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eVanSpankeren\Desktop\"/>
    </mc:Choice>
  </mc:AlternateContent>
  <bookViews>
    <workbookView xWindow="0" yWindow="0" windowWidth="28800" windowHeight="12330"/>
  </bookViews>
  <sheets>
    <sheet name="Signature Page" sheetId="1" r:id="rId1"/>
    <sheet name="Directions" sheetId="2" r:id="rId2"/>
    <sheet name="Governmental Funds" sheetId="5" r:id="rId3"/>
    <sheet name="Revenues" sheetId="6" r:id="rId4"/>
    <sheet name="Expenses" sheetId="7" r:id="rId5"/>
    <sheet name="Employee Benefit Trust Fund" sheetId="8" r:id="rId6"/>
    <sheet name="Internal Service Funds" sheetId="9" r:id="rId7"/>
    <sheet name="Indirect cost instructions" sheetId="10" r:id="rId8"/>
    <sheet name="Indirect cost worksheet" sheetId="4" r:id="rId9"/>
  </sheets>
  <definedNames>
    <definedName name="Administrative_allocation">#REF!</definedName>
  </definedNames>
  <calcPr calcId="162913"/>
</workbook>
</file>

<file path=xl/calcChain.xml><?xml version="1.0" encoding="utf-8"?>
<calcChain xmlns="http://schemas.openxmlformats.org/spreadsheetml/2006/main">
  <c r="K39" i="7" l="1"/>
  <c r="F59" i="4"/>
  <c r="E59" i="4"/>
  <c r="G29" i="4"/>
  <c r="G12" i="4"/>
  <c r="G11" i="4"/>
  <c r="E19" i="5"/>
  <c r="F19" i="5"/>
  <c r="H19" i="5"/>
  <c r="J15" i="5"/>
  <c r="J19" i="5"/>
  <c r="I29" i="5"/>
  <c r="I26" i="5"/>
  <c r="J32" i="5"/>
  <c r="H19" i="7" l="1"/>
  <c r="B21" i="6"/>
  <c r="J51" i="5"/>
  <c r="I51" i="5"/>
  <c r="H51" i="5"/>
  <c r="G51" i="5"/>
  <c r="F51" i="5"/>
  <c r="E51" i="5"/>
  <c r="D51" i="5"/>
  <c r="L33" i="5"/>
  <c r="C32" i="5"/>
  <c r="B32" i="5"/>
  <c r="D32" i="5"/>
  <c r="I32" i="5"/>
  <c r="H32" i="5"/>
  <c r="G32" i="5"/>
  <c r="D22" i="6" l="1"/>
  <c r="E25" i="4"/>
  <c r="E32" i="4" s="1"/>
  <c r="E48" i="4" s="1"/>
  <c r="F14" i="4"/>
  <c r="B22" i="6"/>
  <c r="B16" i="6" s="1"/>
  <c r="N46" i="9"/>
  <c r="K41" i="9"/>
  <c r="J41" i="9"/>
  <c r="I41" i="9"/>
  <c r="H41" i="9"/>
  <c r="G41" i="9"/>
  <c r="F41" i="9"/>
  <c r="E41" i="9"/>
  <c r="D41" i="9"/>
  <c r="C41" i="9"/>
  <c r="N38" i="9"/>
  <c r="N37" i="9"/>
  <c r="N41" i="9" s="1"/>
  <c r="L37" i="9"/>
  <c r="L41" i="9" s="1"/>
  <c r="K34" i="9"/>
  <c r="K44" i="9" s="1"/>
  <c r="K49" i="9" s="1"/>
  <c r="G34" i="9"/>
  <c r="G44" i="9" s="1"/>
  <c r="G49" i="9" s="1"/>
  <c r="C34" i="9"/>
  <c r="C44" i="9" s="1"/>
  <c r="C49" i="9" s="1"/>
  <c r="K30" i="9"/>
  <c r="J30" i="9"/>
  <c r="I30" i="9"/>
  <c r="G30" i="9"/>
  <c r="F30" i="9"/>
  <c r="E30" i="9"/>
  <c r="C30" i="9"/>
  <c r="N28" i="9"/>
  <c r="L27" i="9"/>
  <c r="L30" i="9" s="1"/>
  <c r="H27" i="9"/>
  <c r="H30" i="9" s="1"/>
  <c r="D27" i="9"/>
  <c r="N27" i="9" s="1"/>
  <c r="N30" i="9" s="1"/>
  <c r="K22" i="9"/>
  <c r="J22" i="9"/>
  <c r="J34" i="9" s="1"/>
  <c r="J44" i="9" s="1"/>
  <c r="J49" i="9" s="1"/>
  <c r="I22" i="9"/>
  <c r="I34" i="9" s="1"/>
  <c r="I44" i="9" s="1"/>
  <c r="I49" i="9" s="1"/>
  <c r="G22" i="9"/>
  <c r="F22" i="9"/>
  <c r="F34" i="9" s="1"/>
  <c r="F44" i="9" s="1"/>
  <c r="F49" i="9" s="1"/>
  <c r="E22" i="9"/>
  <c r="E34" i="9" s="1"/>
  <c r="E44" i="9" s="1"/>
  <c r="E49" i="9" s="1"/>
  <c r="D22" i="9"/>
  <c r="C22" i="9"/>
  <c r="N20" i="9"/>
  <c r="L20" i="9"/>
  <c r="H20" i="9"/>
  <c r="H22" i="9" s="1"/>
  <c r="H34" i="9" s="1"/>
  <c r="H44" i="9" s="1"/>
  <c r="H49" i="9" s="1"/>
  <c r="D20" i="9"/>
  <c r="N18" i="9"/>
  <c r="N17" i="9"/>
  <c r="L17" i="9"/>
  <c r="L22" i="9" s="1"/>
  <c r="L34" i="9" s="1"/>
  <c r="L44" i="9" s="1"/>
  <c r="L49" i="9" s="1"/>
  <c r="N16" i="9"/>
  <c r="N22" i="9" s="1"/>
  <c r="N34" i="9" s="1"/>
  <c r="B2" i="9"/>
  <c r="B1" i="9"/>
  <c r="C12" i="8"/>
  <c r="C17" i="8" s="1"/>
  <c r="C21" i="8" s="1"/>
  <c r="B1" i="8"/>
  <c r="I37" i="7"/>
  <c r="G37" i="7"/>
  <c r="K36" i="7"/>
  <c r="K37" i="7" s="1"/>
  <c r="I36" i="7"/>
  <c r="K35" i="7"/>
  <c r="I35" i="7"/>
  <c r="H32" i="7"/>
  <c r="G32" i="7"/>
  <c r="F32" i="7"/>
  <c r="E32" i="7"/>
  <c r="D32" i="7"/>
  <c r="C32" i="7"/>
  <c r="B32" i="7"/>
  <c r="I32" i="7" s="1"/>
  <c r="K31" i="7"/>
  <c r="I31" i="7"/>
  <c r="I30" i="7"/>
  <c r="K30" i="7" s="1"/>
  <c r="K32" i="7" s="1"/>
  <c r="K29" i="7"/>
  <c r="I29" i="7"/>
  <c r="H26" i="7"/>
  <c r="G26" i="7"/>
  <c r="F26" i="7"/>
  <c r="E26" i="7"/>
  <c r="I26" i="7" s="1"/>
  <c r="D26" i="7"/>
  <c r="C26" i="7"/>
  <c r="B26" i="7"/>
  <c r="K25" i="7"/>
  <c r="I25" i="7"/>
  <c r="K24" i="7"/>
  <c r="I24" i="7"/>
  <c r="K23" i="7"/>
  <c r="K26" i="7" s="1"/>
  <c r="I23" i="7"/>
  <c r="G20" i="7"/>
  <c r="C20" i="7"/>
  <c r="I19" i="7"/>
  <c r="K19" i="7" s="1"/>
  <c r="F19" i="7"/>
  <c r="F20" i="7" s="1"/>
  <c r="B19" i="7"/>
  <c r="K18" i="7"/>
  <c r="I18" i="7"/>
  <c r="H17" i="7"/>
  <c r="H20" i="7" s="1"/>
  <c r="E17" i="7"/>
  <c r="D17" i="7"/>
  <c r="C17" i="7"/>
  <c r="B17" i="7"/>
  <c r="B20" i="7" s="1"/>
  <c r="E16" i="7"/>
  <c r="E20" i="7" s="1"/>
  <c r="D16" i="7"/>
  <c r="D20" i="7" s="1"/>
  <c r="I15" i="7"/>
  <c r="K15" i="7" s="1"/>
  <c r="I14" i="7"/>
  <c r="K14" i="7" s="1"/>
  <c r="H12" i="7"/>
  <c r="G12" i="7"/>
  <c r="E12" i="7"/>
  <c r="D12" i="7"/>
  <c r="C12" i="7"/>
  <c r="B12" i="7"/>
  <c r="I11" i="7"/>
  <c r="K11" i="7" s="1"/>
  <c r="F11" i="7"/>
  <c r="F12" i="7" s="1"/>
  <c r="D11" i="7"/>
  <c r="I10" i="7"/>
  <c r="K10" i="7" s="1"/>
  <c r="D10" i="7"/>
  <c r="B1" i="7"/>
  <c r="B43" i="6"/>
  <c r="D42" i="6"/>
  <c r="D40" i="6"/>
  <c r="B37" i="6"/>
  <c r="B36" i="6"/>
  <c r="D36" i="6" s="1"/>
  <c r="D34" i="6"/>
  <c r="D33" i="6"/>
  <c r="D32" i="6"/>
  <c r="B29" i="6"/>
  <c r="D28" i="6"/>
  <c r="D27" i="6"/>
  <c r="D29" i="6" s="1"/>
  <c r="D23" i="6"/>
  <c r="D21" i="6"/>
  <c r="D20" i="6"/>
  <c r="D19" i="6"/>
  <c r="D18" i="6"/>
  <c r="D17" i="6"/>
  <c r="D15" i="6"/>
  <c r="B2" i="6"/>
  <c r="B2" i="8" s="1"/>
  <c r="B1" i="6"/>
  <c r="L51" i="5"/>
  <c r="K46" i="5"/>
  <c r="J46" i="5"/>
  <c r="I46" i="5"/>
  <c r="H46" i="5"/>
  <c r="G46" i="5"/>
  <c r="F46" i="5"/>
  <c r="E46" i="5"/>
  <c r="D46" i="5"/>
  <c r="C46" i="5"/>
  <c r="B46" i="5"/>
  <c r="L43" i="5"/>
  <c r="L42" i="5"/>
  <c r="L46" i="5" s="1"/>
  <c r="K35" i="5"/>
  <c r="G35" i="5"/>
  <c r="H43" i="4" s="1"/>
  <c r="D35" i="5"/>
  <c r="G35" i="4" s="1"/>
  <c r="B35" i="5"/>
  <c r="G33" i="4" s="1"/>
  <c r="H35" i="5"/>
  <c r="L32" i="5"/>
  <c r="L30" i="5"/>
  <c r="J29" i="5"/>
  <c r="J35" i="5" s="1"/>
  <c r="G46" i="4" s="1"/>
  <c r="F29" i="5"/>
  <c r="E29" i="5"/>
  <c r="E35" i="5" s="1"/>
  <c r="C29" i="5"/>
  <c r="C35" i="5" s="1"/>
  <c r="G34" i="4" s="1"/>
  <c r="L27" i="5"/>
  <c r="I35" i="5"/>
  <c r="G45" i="4" s="1"/>
  <c r="K21" i="5"/>
  <c r="K39" i="5" s="1"/>
  <c r="K49" i="5" s="1"/>
  <c r="K54" i="5" s="1"/>
  <c r="G21" i="5"/>
  <c r="G39" i="5" s="1"/>
  <c r="G49" i="5" s="1"/>
  <c r="G54" i="5" s="1"/>
  <c r="E21" i="5"/>
  <c r="D21" i="5"/>
  <c r="B21" i="5"/>
  <c r="I19" i="5"/>
  <c r="L19" i="5"/>
  <c r="L18" i="5"/>
  <c r="J17" i="5"/>
  <c r="L17" i="5" s="1"/>
  <c r="H17" i="5"/>
  <c r="C17" i="5"/>
  <c r="C21" i="5" s="1"/>
  <c r="I15" i="5"/>
  <c r="H15" i="5"/>
  <c r="H21" i="5" s="1"/>
  <c r="H72" i="4"/>
  <c r="G39" i="4"/>
  <c r="H38" i="4"/>
  <c r="H37" i="4"/>
  <c r="I32" i="4"/>
  <c r="G28" i="4"/>
  <c r="H24" i="4"/>
  <c r="H32" i="4" s="1"/>
  <c r="F19" i="4"/>
  <c r="E19" i="4"/>
  <c r="F18" i="4"/>
  <c r="E18" i="4"/>
  <c r="F32" i="4"/>
  <c r="F48" i="4" s="1"/>
  <c r="B2" i="4"/>
  <c r="C5" i="4" s="1"/>
  <c r="B1" i="4"/>
  <c r="I16" i="5" l="1"/>
  <c r="C39" i="5"/>
  <c r="C49" i="5" s="1"/>
  <c r="C54" i="5" s="1"/>
  <c r="L29" i="5"/>
  <c r="B39" i="5"/>
  <c r="B49" i="5" s="1"/>
  <c r="B54" i="5" s="1"/>
  <c r="H48" i="4"/>
  <c r="H76" i="4" s="1"/>
  <c r="D39" i="5"/>
  <c r="D49" i="5" s="1"/>
  <c r="D54" i="5" s="1"/>
  <c r="D43" i="6"/>
  <c r="G32" i="4"/>
  <c r="B24" i="6"/>
  <c r="B45" i="6" s="1"/>
  <c r="D16" i="6"/>
  <c r="D24" i="6"/>
  <c r="J16" i="5"/>
  <c r="L16" i="5"/>
  <c r="I21" i="5"/>
  <c r="I39" i="5" s="1"/>
  <c r="I49" i="5" s="1"/>
  <c r="I54" i="5" s="1"/>
  <c r="I20" i="7"/>
  <c r="N44" i="9"/>
  <c r="N49" i="9" s="1"/>
  <c r="E76" i="4"/>
  <c r="E39" i="5"/>
  <c r="E49" i="5" s="1"/>
  <c r="E54" i="5" s="1"/>
  <c r="K12" i="7"/>
  <c r="I12" i="7"/>
  <c r="I39" i="7" s="1"/>
  <c r="J21" i="5"/>
  <c r="J39" i="5" s="1"/>
  <c r="J49" i="5" s="1"/>
  <c r="J54" i="5" s="1"/>
  <c r="F76" i="4"/>
  <c r="H39" i="5"/>
  <c r="H49" i="5" s="1"/>
  <c r="H54" i="5" s="1"/>
  <c r="D37" i="6"/>
  <c r="L21" i="5"/>
  <c r="F21" i="5"/>
  <c r="I17" i="7"/>
  <c r="K17" i="7" s="1"/>
  <c r="F26" i="5"/>
  <c r="B2" i="7"/>
  <c r="I16" i="7"/>
  <c r="K16" i="7" s="1"/>
  <c r="D30" i="9"/>
  <c r="D34" i="9" s="1"/>
  <c r="D44" i="9" s="1"/>
  <c r="D49" i="9" s="1"/>
  <c r="K20" i="7" l="1"/>
  <c r="D45" i="6"/>
  <c r="F35" i="5"/>
  <c r="L26" i="5"/>
  <c r="L35" i="5" s="1"/>
  <c r="G44" i="4" l="1"/>
  <c r="G48" i="4" s="1"/>
  <c r="G76" i="4" s="1"/>
  <c r="F39" i="5"/>
  <c r="F49" i="5" s="1"/>
  <c r="F54" i="5" s="1"/>
  <c r="L39" i="5"/>
  <c r="L49" i="5" s="1"/>
  <c r="L54" i="5" s="1"/>
  <c r="E55" i="4" l="1"/>
  <c r="E53" i="4"/>
  <c r="I48" i="4"/>
  <c r="E82" i="4"/>
  <c r="E80" i="4"/>
  <c r="I76" i="4" l="1"/>
</calcChain>
</file>

<file path=xl/comments1.xml><?xml version="1.0" encoding="utf-8"?>
<comments xmlns="http://schemas.openxmlformats.org/spreadsheetml/2006/main">
  <authors>
    <author/>
    <author>Dave Van Spankeren</author>
  </authors>
  <commentList>
    <comment ref="B21" authorId="0" shapeId="0">
      <text>
        <r>
          <rPr>
            <sz val="10"/>
            <color rgb="FF000000"/>
            <rFont val="Arial"/>
          </rPr>
          <t>Source 100 800 900</t>
        </r>
      </text>
    </comment>
    <comment ref="B22" authorId="1" shapeId="0">
      <text>
        <r>
          <rPr>
            <b/>
            <sz val="9"/>
            <color indexed="81"/>
            <rFont val="Tahoma"/>
            <charset val="1"/>
          </rPr>
          <t>Dave Van Spankeren:</t>
        </r>
        <r>
          <rPr>
            <sz val="9"/>
            <color indexed="81"/>
            <rFont val="Tahoma"/>
            <charset val="1"/>
          </rPr>
          <t xml:space="preserve">
less $2,814.04 Fiduciary Interest</t>
        </r>
      </text>
    </comment>
    <comment ref="A32" authorId="0" shapeId="0">
      <text>
        <r>
          <rPr>
            <sz val="10"/>
            <color rgb="FF000000"/>
            <rFont val="Arial"/>
          </rPr>
          <t>Department of Public Instruction:
 Grants through DPI should reconcile to Schedule of Expenditures of State Awards.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8" authorId="0" shapeId="0">
      <text>
        <r>
          <rPr>
            <sz val="10"/>
            <color rgb="FF000000"/>
            <rFont val="Arial"/>
          </rPr>
          <t xml:space="preserve">all 382,386 object codes ---from school districts and ccdebs
</t>
        </r>
      </text>
    </comment>
    <comment ref="A24" authorId="0" shapeId="0">
      <text>
        <r>
          <rPr>
            <sz val="10"/>
            <color rgb="FF000000"/>
            <rFont val="Arial"/>
          </rPr>
          <t xml:space="preserve">Include cost of utilities purchased for other entities
</t>
        </r>
      </text>
    </comment>
  </commentList>
</comments>
</file>

<file path=xl/sharedStrings.xml><?xml version="1.0" encoding="utf-8"?>
<sst xmlns="http://schemas.openxmlformats.org/spreadsheetml/2006/main" count="508" uniqueCount="366">
  <si>
    <t>CESA ANNUAL REPORT AND INDIRECT COST WORKSHEET</t>
  </si>
  <si>
    <t>Wisconsin Department of Public Instruction</t>
  </si>
  <si>
    <t xml:space="preserve">Please read carefully the following directions for completing the CESA annual report that is required by  the </t>
  </si>
  <si>
    <t>1)-  Complete the Schedule of Revenues, Expenditures, and Changes in Fund Balance.  This schedule is located</t>
  </si>
  <si>
    <t>in the governmental funds tab section of this file. (Please note that additional columns may be added for additional</t>
  </si>
  <si>
    <t>funds).  The amounts on this schedule should be taken from your general ledger.  Please note that your audit</t>
  </si>
  <si>
    <t>report may have a similar schedule.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</si>
  <si>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</si>
  <si>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</si>
  <si>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Revenues, Expenditures and Changes in Fund Balance (Governmental Funds Tab below).  Please enter the </t>
  </si>
  <si>
    <t>"conversion" entries in the GASB # 34 column.</t>
  </si>
  <si>
    <t xml:space="preserve">The GASB # 34 revenues column should be reconciled to the revenues per the "Statement of Revenues, </t>
  </si>
  <si>
    <t>Expenses, and Changes in Net Position" in the audited financials.</t>
  </si>
  <si>
    <t>INSTRUCTIONS:</t>
  </si>
  <si>
    <t>ANNUAL REPORT COVERPAGE</t>
  </si>
  <si>
    <t xml:space="preserve">3)-  Complete the expense summary.  See the expense tab below.  The general ledger columns numbers on this </t>
  </si>
  <si>
    <t>1.</t>
  </si>
  <si>
    <t>Complete this cover page, print and keep on file with appropriate signatures.</t>
  </si>
  <si>
    <t xml:space="preserve">summary can be taken from the general ledger and should be reconciled to the expenses per the Schedule of Revenues, </t>
  </si>
  <si>
    <t>Expenditures, and Changes in Fund Balance.  Please enter the "conversion" entries in the GASB # 34 Adjustments</t>
  </si>
  <si>
    <t>PI-1523 (Rev. Spring, 2019)</t>
  </si>
  <si>
    <t xml:space="preserve">column.  </t>
  </si>
  <si>
    <t>2.</t>
  </si>
  <si>
    <t>Complete the Excel executable file Annual Report and submit email attachment to:</t>
  </si>
  <si>
    <t xml:space="preserve">The GASB # 34 expenses column should be reconciled to the "Statement of Revenues, Expenses, and </t>
  </si>
  <si>
    <t>Changes in Net Position" in the audited financials.</t>
  </si>
  <si>
    <t>dpisfsreports@dpi.wi.gov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</si>
  <si>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</si>
  <si>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</si>
  <si>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 xml:space="preserve">5)-  Complete the internal service fund summary.  See the internal service fund tab below.  Please note that </t>
  </si>
  <si>
    <t>With the subject line CESA (No.) 2018-2019 Annual Report</t>
  </si>
  <si>
    <t>additional columns can be added for additional funds.</t>
  </si>
  <si>
    <t xml:space="preserve">6)-  Complete the indirect cost summary of expenditures.  See the indirect cost tab below.  Please note that </t>
  </si>
  <si>
    <t>the expenditures reported on this schedule must be before any GASB Statement # 34 conversion entries.</t>
  </si>
  <si>
    <t>CESA</t>
  </si>
  <si>
    <t>Street Address</t>
  </si>
  <si>
    <t>626 E. Slifer St</t>
  </si>
  <si>
    <t>City</t>
  </si>
  <si>
    <t>State</t>
  </si>
  <si>
    <t>Zip</t>
  </si>
  <si>
    <t>Portage</t>
  </si>
  <si>
    <t>WI</t>
  </si>
  <si>
    <t>Treasurer for the year ending June 30, 2019</t>
  </si>
  <si>
    <t>Treasurer's Home Address (Street, City, State, Zip)</t>
  </si>
  <si>
    <t>Treasurer Bond Information</t>
  </si>
  <si>
    <t>Bond Amount</t>
  </si>
  <si>
    <t>Expiration Date Mo./Day/Yr.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</si>
  <si>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</si>
  <si>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</si>
  <si>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</si>
  <si>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</si>
  <si>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</si>
  <si>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position and operations on and for the period ending June 30, 2019.</t>
  </si>
  <si>
    <t>Signature of Administrator</t>
  </si>
  <si>
    <t>Date Signed</t>
  </si>
  <si>
    <t>Signature of Treasurer</t>
  </si>
  <si>
    <t>Signature of Board of Control Chairperson</t>
  </si>
  <si>
    <t>FISCAL YEAR</t>
  </si>
  <si>
    <t>INDIRECT COST RATE PROPOSAL</t>
  </si>
  <si>
    <t>Prepared by:___________________</t>
  </si>
  <si>
    <t xml:space="preserve">FISCAL YEAR </t>
  </si>
  <si>
    <t>BASED ON CURRENT FISCAL YEAR EXPENDITURES</t>
  </si>
  <si>
    <t>Date: _________________________</t>
  </si>
  <si>
    <t>COST</t>
  </si>
  <si>
    <t>INDIRECT</t>
  </si>
  <si>
    <t>DIRECT</t>
  </si>
  <si>
    <t>EXCLUDED</t>
  </si>
  <si>
    <t>TOTAL</t>
  </si>
  <si>
    <t>CTR</t>
  </si>
  <si>
    <t>FUNCTION</t>
  </si>
  <si>
    <t>OBJECT</t>
  </si>
  <si>
    <t>ACCOUNT NAME</t>
  </si>
  <si>
    <t>RESTRICTED</t>
  </si>
  <si>
    <t>UNRESTRICTED</t>
  </si>
  <si>
    <t>25</t>
  </si>
  <si>
    <t>200 000</t>
  </si>
  <si>
    <t>100</t>
  </si>
  <si>
    <t>SALARIES</t>
  </si>
  <si>
    <t>200</t>
  </si>
  <si>
    <t>EMPLOYE BENEFITS</t>
  </si>
  <si>
    <t>310</t>
  </si>
  <si>
    <t>PERSONAL SERVICES</t>
  </si>
  <si>
    <t>320</t>
  </si>
  <si>
    <t>PROPERTY SERVICES</t>
  </si>
  <si>
    <t>330</t>
  </si>
  <si>
    <t>UTILITIES</t>
  </si>
  <si>
    <t>340</t>
  </si>
  <si>
    <t>TRAVEL</t>
  </si>
  <si>
    <t>350</t>
  </si>
  <si>
    <t>COMMUNICATION</t>
  </si>
  <si>
    <t>360</t>
  </si>
  <si>
    <t>INFORMATION TECHNOLOGY</t>
  </si>
  <si>
    <t>370</t>
  </si>
  <si>
    <t>PAYMENT TO NON-GOVERNMENTAL AGENCIES</t>
  </si>
  <si>
    <t>380</t>
  </si>
  <si>
    <t>INTER-GOVERNMENTAL PAYMENTS FOR SERVICES</t>
  </si>
  <si>
    <t>390</t>
  </si>
  <si>
    <t>INTERFUND PAYMENTS</t>
  </si>
  <si>
    <t>400</t>
  </si>
  <si>
    <t>NON-CAPITAL OBJECTS</t>
  </si>
  <si>
    <t>500</t>
  </si>
  <si>
    <t>CAPITAL OBJECTS</t>
  </si>
  <si>
    <t>600</t>
  </si>
  <si>
    <t>DEBT RETIREMENT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</si>
  <si>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</si>
  <si>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</si>
  <si>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</si>
  <si>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</si>
  <si>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</si>
  <si>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</si>
  <si>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</si>
  <si>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</si>
  <si>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</si>
  <si>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</si>
  <si>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</si>
  <si>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</si>
  <si>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NON-PROGRAM TRANSACTIONS</t>
  </si>
  <si>
    <t>000 000</t>
  </si>
  <si>
    <t>TOTAL GENERAL ADMIN. COST CENTER 25</t>
  </si>
  <si>
    <t>21</t>
  </si>
  <si>
    <t>STATE PROJECTS</t>
  </si>
  <si>
    <t>22</t>
  </si>
  <si>
    <t>FEDERAL ECIA PROJECTS</t>
  </si>
  <si>
    <t>FEDERAL HAND. PROJECTS</t>
  </si>
  <si>
    <t>29</t>
  </si>
  <si>
    <t>OTHER SPECIAL PROJECTS</t>
  </si>
  <si>
    <t>30</t>
  </si>
  <si>
    <t>DEBT SERVICE</t>
  </si>
  <si>
    <t>40</t>
  </si>
  <si>
    <t xml:space="preserve">CAPITAL PROJECTS </t>
  </si>
  <si>
    <t>50</t>
  </si>
  <si>
    <t xml:space="preserve">FOOD SERVICE </t>
  </si>
  <si>
    <t>60</t>
  </si>
  <si>
    <t>INTERNAL SERVICE</t>
  </si>
  <si>
    <t>75</t>
  </si>
  <si>
    <t xml:space="preserve">CASH EQUITY TRUST </t>
  </si>
  <si>
    <t/>
  </si>
  <si>
    <t>80</t>
  </si>
  <si>
    <t xml:space="preserve">DEFERRED CLASSIFICATION </t>
  </si>
  <si>
    <t xml:space="preserve">CESA PACKAGE SERVICES </t>
  </si>
  <si>
    <t>97</t>
  </si>
  <si>
    <t>GEN. EDUCATION SHARED SERV.</t>
  </si>
  <si>
    <t>98</t>
  </si>
  <si>
    <t>GEN. NON-EDUC. SHARED SERV.</t>
  </si>
  <si>
    <t>99</t>
  </si>
  <si>
    <t xml:space="preserve">MISCELLANEOUS </t>
  </si>
  <si>
    <t>UNADJUSTED INDIRECT RATES:</t>
  </si>
  <si>
    <t>COMMON ADJUSTMENTS FROM DIRECT TO INDIRECT:</t>
  </si>
  <si>
    <t>COST CENTER 25 COST OF SUPPORT STAFF</t>
  </si>
  <si>
    <t>MEMBERSHIP DUES</t>
  </si>
  <si>
    <t>LEGAL  COST</t>
  </si>
  <si>
    <t>AUDIT COST</t>
  </si>
  <si>
    <t>UNEMPLOYMENT INSURANCE OPERATIONS STAFF</t>
  </si>
  <si>
    <t>LIABILITY, PROP., FIDELITY BOND PREM</t>
  </si>
  <si>
    <t>AND WORKER'S COMP.</t>
  </si>
  <si>
    <t>COST CENTER 25 COST OF SUPPORT STAFF TRAVEL</t>
  </si>
  <si>
    <t>2018-2019</t>
  </si>
  <si>
    <t>CESA Annual Report</t>
  </si>
  <si>
    <t>Schedule of Revenues, Expenditures, and Changes in Fund Balance</t>
  </si>
  <si>
    <t>Governmental Funds - General Ledger Expenses</t>
  </si>
  <si>
    <t>General</t>
  </si>
  <si>
    <t>Federal</t>
  </si>
  <si>
    <t>Other</t>
  </si>
  <si>
    <t>Education</t>
  </si>
  <si>
    <t>Noneducation</t>
  </si>
  <si>
    <t>07</t>
  </si>
  <si>
    <t>ECIA</t>
  </si>
  <si>
    <t>Handicapped</t>
  </si>
  <si>
    <t>Special</t>
  </si>
  <si>
    <t>Shared</t>
  </si>
  <si>
    <t>Miscellaneous</t>
  </si>
  <si>
    <t>Capital</t>
  </si>
  <si>
    <t>EXCLUDED COSTS:</t>
  </si>
  <si>
    <t>Projects</t>
  </si>
  <si>
    <t>Administration</t>
  </si>
  <si>
    <t>Services</t>
  </si>
  <si>
    <t>Programs</t>
  </si>
  <si>
    <t>INTERGOVERNMENTAL PAYMENT FOR</t>
  </si>
  <si>
    <t>Total</t>
  </si>
  <si>
    <t>Revenues:</t>
  </si>
  <si>
    <t xml:space="preserve">  Local Sources</t>
  </si>
  <si>
    <t>TRANSIT OF AIDS</t>
  </si>
  <si>
    <t>INTER-FUND OPERATING TRANSFERS</t>
  </si>
  <si>
    <t>DEBT PAYMENTS</t>
  </si>
  <si>
    <t xml:space="preserve">  Intermediate Sources</t>
  </si>
  <si>
    <t>OTHER</t>
  </si>
  <si>
    <t>ADJUSTED TOTALS</t>
  </si>
  <si>
    <t xml:space="preserve">  State Sources</t>
  </si>
  <si>
    <t xml:space="preserve">  Federal Sources</t>
  </si>
  <si>
    <t>ADJUSTED INDIRECT RATES: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</si>
  <si>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</si>
  <si>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</si>
  <si>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</si>
  <si>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</si>
  <si>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</si>
  <si>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</si>
  <si>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</si>
  <si>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</si>
  <si>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</si>
  <si>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</si>
  <si>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</si>
  <si>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</si>
  <si>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</si>
  <si>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</si>
  <si>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</si>
  <si>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</si>
  <si>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</si>
  <si>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</si>
  <si>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</si>
  <si>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CESA ANNUAL REPORT</t>
  </si>
  <si>
    <t>REVENUES (Operating and Non-operating)</t>
  </si>
  <si>
    <t>GENERAL</t>
  </si>
  <si>
    <t>BOOKED</t>
  </si>
  <si>
    <t>LEDGER</t>
  </si>
  <si>
    <t>GASB 34</t>
  </si>
  <si>
    <t>PRE-GASB 34</t>
  </si>
  <si>
    <t>REVENUES</t>
  </si>
  <si>
    <t>ADJUSTMENTS</t>
  </si>
  <si>
    <t>From Local Sources</t>
  </si>
  <si>
    <t>Administrative allocation</t>
  </si>
  <si>
    <t>Shared service fees</t>
  </si>
  <si>
    <t>Cooperative purchasing reimbursements</t>
  </si>
  <si>
    <t>Packaged programs</t>
  </si>
  <si>
    <t>Rentals and other fees</t>
  </si>
  <si>
    <t>Pooled insurance programs</t>
  </si>
  <si>
    <t>Other individuals or organizations</t>
  </si>
  <si>
    <t>Investment income</t>
  </si>
  <si>
    <t>Long-term debt proceeds</t>
  </si>
  <si>
    <t>Total Local Receipts</t>
  </si>
  <si>
    <t>From Intermediate Sources</t>
  </si>
  <si>
    <t>Payments from CESAs</t>
  </si>
  <si>
    <t>Payments from counties</t>
  </si>
  <si>
    <t>Total Intermediate Sources</t>
  </si>
  <si>
    <t>From State Sources</t>
  </si>
  <si>
    <t>Grants through DPI</t>
  </si>
  <si>
    <t>Grants through other state agencies</t>
  </si>
  <si>
    <t>State administrative allocation</t>
  </si>
  <si>
    <t>Special education aids</t>
  </si>
  <si>
    <t>Other State Revenues</t>
  </si>
  <si>
    <t>Total State Sources</t>
  </si>
  <si>
    <t>From Federal Sources</t>
  </si>
  <si>
    <t>Direct federal grants</t>
  </si>
  <si>
    <t>Federal grants through DPI</t>
  </si>
  <si>
    <t>Federal grants through other entities</t>
  </si>
  <si>
    <t>Total Federal Sources</t>
  </si>
  <si>
    <t>TOTAL ALL REVENUES</t>
  </si>
  <si>
    <r>
      <t xml:space="preserve">Please note that the total revenues in </t>
    </r>
    <r>
      <rPr>
        <b/>
        <sz val="12"/>
        <rFont val="Arial"/>
      </rPr>
      <t>Column B</t>
    </r>
    <r>
      <rPr>
        <sz val="12"/>
        <rFont val="Arial"/>
      </rPr>
      <t xml:space="preserve"> must be reconciled (match) the total revenues per the "Schedule of Revenues, Expenditures, and Changes in Fund Balance. - Governmental Funds-General Ledger Revenues" located in the  Governmental Funds tab per this spreadsheet.</t>
    </r>
  </si>
  <si>
    <r>
      <t xml:space="preserve">Please note that the total revenues in </t>
    </r>
    <r>
      <rPr>
        <b/>
        <sz val="12"/>
        <rFont val="Arial"/>
      </rPr>
      <t>Column D</t>
    </r>
    <r>
      <rPr>
        <sz val="12"/>
        <rFont val="Arial"/>
      </rPr>
      <t xml:space="preserve"> must be reconciled (match) the total revenues (operating and non-operating) per the "Statement of Revenues, Expenses and Changes in Net Position" per the audited Financial Statements.</t>
    </r>
  </si>
  <si>
    <t>EXPENDITURES</t>
  </si>
  <si>
    <t>Booked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</si>
  <si>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</si>
  <si>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</si>
  <si>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</si>
  <si>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</si>
  <si>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</si>
  <si>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</si>
  <si>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Ledger</t>
  </si>
  <si>
    <t>Pre-GASB 34</t>
  </si>
  <si>
    <t>Benefits</t>
  </si>
  <si>
    <t>Supplies</t>
  </si>
  <si>
    <t>Items</t>
  </si>
  <si>
    <t>Expenses</t>
  </si>
  <si>
    <t>Adjustments</t>
  </si>
  <si>
    <t>Instruction</t>
  </si>
  <si>
    <t>EMPLOYEE BENEFIT TRUST FUND</t>
  </si>
  <si>
    <t>Purchased package instructional service</t>
  </si>
  <si>
    <t>Additions</t>
  </si>
  <si>
    <t xml:space="preserve">     Employer Contribution</t>
  </si>
  <si>
    <t xml:space="preserve">     Retiree Contribution</t>
  </si>
  <si>
    <t xml:space="preserve">     Investment Earnings</t>
  </si>
  <si>
    <t>Deductions</t>
  </si>
  <si>
    <t xml:space="preserve">     Post retirement benefit expense</t>
  </si>
  <si>
    <t>Changes in Net Assets</t>
  </si>
  <si>
    <t>CESA provided services</t>
  </si>
  <si>
    <t>Net Position, beginning of year</t>
  </si>
  <si>
    <t>Net Position, end of year</t>
  </si>
  <si>
    <t>Total Instructional Services</t>
  </si>
  <si>
    <t>Support Services</t>
  </si>
  <si>
    <t>Pupil support 200000-219999</t>
  </si>
  <si>
    <t>Instructional staff support 220000</t>
  </si>
  <si>
    <t>General administration 230000-249999</t>
  </si>
  <si>
    <t>Maintenance/operations 250-256 257-259</t>
  </si>
  <si>
    <t>Schedule of Revenues, Expenses, and Changes in Net Position</t>
  </si>
  <si>
    <t>Internal Service Funds - General Ledger Expenses</t>
  </si>
  <si>
    <t>Printing</t>
  </si>
  <si>
    <t>and</t>
  </si>
  <si>
    <t>Student transportation 256000</t>
  </si>
  <si>
    <t>Other support services 260-299 410000-492000</t>
  </si>
  <si>
    <t>Delivery</t>
  </si>
  <si>
    <t>Agency</t>
  </si>
  <si>
    <t>Copying</t>
  </si>
  <si>
    <t>Service</t>
  </si>
  <si>
    <t>Bookkeeping</t>
  </si>
  <si>
    <t>Buildings</t>
  </si>
  <si>
    <t>Insurance</t>
  </si>
  <si>
    <t>Audit</t>
  </si>
  <si>
    <t>Technology</t>
  </si>
  <si>
    <t>Postage</t>
  </si>
  <si>
    <t>Telephone</t>
  </si>
  <si>
    <t>Expense</t>
  </si>
  <si>
    <t xml:space="preserve">  Local Sources:</t>
  </si>
  <si>
    <t xml:space="preserve">    Interfund Payments</t>
  </si>
  <si>
    <t>Total Support Services</t>
  </si>
  <si>
    <t xml:space="preserve">    Charges for Services</t>
  </si>
  <si>
    <t xml:space="preserve">    Other Local Services</t>
  </si>
  <si>
    <t>.</t>
  </si>
  <si>
    <t xml:space="preserve">  Other Sources:</t>
  </si>
  <si>
    <t>Non-Instructional Services</t>
  </si>
  <si>
    <t xml:space="preserve">    Miscellaneous</t>
  </si>
  <si>
    <t xml:space="preserve">Cooperative purchasing- supplies </t>
  </si>
  <si>
    <t>Cooperative purchasing-utilities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</si>
  <si>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</si>
  <si>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</si>
  <si>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</si>
  <si>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</si>
  <si>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</si>
  <si>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 xml:space="preserve">   Total Expenses</t>
  </si>
  <si>
    <t>Equipment</t>
  </si>
  <si>
    <t>Total Facilities Acquisition</t>
  </si>
  <si>
    <t xml:space="preserve"> Revenues Over Expenses</t>
  </si>
  <si>
    <t>Debt Service</t>
  </si>
  <si>
    <t>Principal (CESA Operations)</t>
  </si>
  <si>
    <t>Interest (CESA Operations)</t>
  </si>
  <si>
    <t>Total Debt Service</t>
  </si>
  <si>
    <t>TOTAL ALL EXPENSES</t>
  </si>
  <si>
    <r>
      <t xml:space="preserve">Please note that the total expenses in </t>
    </r>
    <r>
      <rPr>
        <b/>
        <sz val="12"/>
        <rFont val="Arial"/>
      </rPr>
      <t>Column I</t>
    </r>
    <r>
      <rPr>
        <sz val="12"/>
        <rFont val="Arial"/>
      </rPr>
      <t xml:space="preserve"> must be reconciled (match) the total expenses per the "Schedule of Revenues,Expenditures, and Changes in Fund Balance. - Governmental Funds-General Ledger Expenses" located in the Governmental Funds tab per this spreadsheet.</t>
    </r>
  </si>
  <si>
    <r>
      <t xml:space="preserve">Please note that the total expenses in </t>
    </r>
    <r>
      <rPr>
        <b/>
        <sz val="12"/>
        <rFont val="Arial"/>
      </rPr>
      <t>Column K</t>
    </r>
    <r>
      <rPr>
        <sz val="12"/>
        <rFont val="Arial"/>
      </rPr>
      <t xml:space="preserve"> must be reconciled (match)the total expenses per the "Statement of Revenues, Expenses and Changes in Net Position" per the audited Financial Statements.</t>
    </r>
  </si>
  <si>
    <t>Change in Net Position</t>
  </si>
  <si>
    <t>Net Position, Beginning of Year</t>
  </si>
  <si>
    <t>Using current fiscal year audited data, enter total cost per individual line item.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</si>
  <si>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</si>
  <si>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</si>
  <si>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</si>
  <si>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Net Position, End of Year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</si>
  <si>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</si>
  <si>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</si>
  <si>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</si>
  <si>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</si>
  <si>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COMMON ADJUSTMENTS</t>
  </si>
  <si>
    <t>Fund 25:</t>
  </si>
  <si>
    <t>For indirect cost worksheet purposes all salaries, fringe benefits and travel accounted for in Fund 25</t>
  </si>
  <si>
    <t>are classified as direct costs.  This is based on the assumption that the largest portion of this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</si>
  <si>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</si>
  <si>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</si>
  <si>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</si>
  <si>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Per the indirect cost worksheet, all other objects (900) are classified as direct costs.  If membership</t>
  </si>
  <si>
    <t xml:space="preserve">dues are required to do business effectively they are allowable indirect costs and should be adjusted.  </t>
  </si>
  <si>
    <t>OTHER ADJUSTMENTS:</t>
  </si>
  <si>
    <t>Allowable indirect costs: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</si>
  <si>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</si>
  <si>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</si>
  <si>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</si>
  <si>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</si>
  <si>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</si>
  <si>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Excluded costs that should not be included in the direct or indirect costs:</t>
  </si>
  <si>
    <t>Any intergovernmental payments for transit of aids</t>
  </si>
  <si>
    <t>Inter-fund operating transfers</t>
  </si>
  <si>
    <t>Capital objects</t>
  </si>
  <si>
    <t>Debt payments</t>
  </si>
  <si>
    <t>These adjustments are not all inclusive.  Please contact the DPI with any questions regarding an</t>
  </si>
  <si>
    <t>adjustment.</t>
  </si>
  <si>
    <t>Fund Balance, Beginning Add'l Auditor</t>
  </si>
  <si>
    <t>Rick Pease</t>
  </si>
  <si>
    <t>1926 13th Drive Friendship, WI 53934</t>
  </si>
  <si>
    <t>Aegis</t>
  </si>
  <si>
    <t>Dave Van Spankeren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</si>
</sst>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37" x14ac:knownFonts="1">
    <font>
      <sz val="10"/>
      <color rgb="FF000000"/>
      <name val="Arial"/>
    </font>
    <font>
      <sz val="10"/>
      <color theme="1"/>
      <name val="Arial"/>
    </font>
    <font>
      <b/>
      <sz val="12"/>
      <color theme="1"/>
      <name val="Arial"/>
    </font>
    <font>
      <sz val="10"/>
      <color theme="1"/>
      <name val="Arial"/>
    </font>
    <font>
      <sz val="10"/>
      <color theme="1"/>
      <name val="Calibri"/>
    </font>
    <font>
      <b/>
      <sz val="10"/>
      <color theme="1"/>
      <name val="Arial"/>
    </font>
    <font>
      <sz val="8"/>
      <color theme="1"/>
      <name val="Arial"/>
    </font>
    <font>
      <b/>
      <sz val="8"/>
      <color theme="1"/>
      <name val="Arial"/>
    </font>
    <font>
      <sz val="12"/>
      <color theme="1"/>
      <name val="Arial"/>
    </font>
    <font>
      <u/>
      <sz val="10"/>
      <color rgb="FF0000FF"/>
      <name val="Arial"/>
    </font>
    <font>
      <i/>
      <sz val="8"/>
      <color theme="1"/>
      <name val="Arial"/>
    </font>
    <font>
      <sz val="14"/>
      <color theme="1"/>
      <name val="Arial"/>
    </font>
    <font>
      <sz val="10"/>
      <color rgb="FF0000FF"/>
      <name val="Courier"/>
    </font>
    <font>
      <b/>
      <sz val="20"/>
      <color theme="1"/>
      <name val="Arial"/>
    </font>
    <font>
      <b/>
      <sz val="10"/>
      <color theme="1"/>
      <name val="Courier"/>
    </font>
    <font>
      <b/>
      <sz val="14"/>
      <color theme="1"/>
      <name val="Arial"/>
    </font>
    <font>
      <u/>
      <sz val="10"/>
      <color theme="1"/>
      <name val="Arial"/>
    </font>
    <font>
      <sz val="10"/>
      <color rgb="FF000000"/>
      <name val="Calibri"/>
    </font>
    <font>
      <sz val="10"/>
      <name val="Arial"/>
    </font>
    <font>
      <sz val="10"/>
      <color rgb="FF000000"/>
      <name val="Calibri"/>
    </font>
    <font>
      <sz val="10"/>
      <color rgb="FFFF0000"/>
      <name val="Arial"/>
    </font>
    <font>
      <b/>
      <u/>
      <sz val="12"/>
      <color theme="1"/>
      <name val="Arial"/>
    </font>
    <font>
      <sz val="10"/>
      <color rgb="FF0000FF"/>
      <name val="Arial"/>
    </font>
    <font>
      <u/>
      <sz val="10"/>
      <color theme="1"/>
      <name val="Arial"/>
    </font>
    <font>
      <sz val="11"/>
      <color theme="1"/>
      <name val="Arial"/>
    </font>
    <font>
      <u/>
      <sz val="10"/>
      <color rgb="FF000000"/>
      <name val="Arial"/>
    </font>
    <font>
      <sz val="8"/>
      <name val="Arial"/>
    </font>
    <font>
      <b/>
      <sz val="12"/>
      <name val="Arial"/>
    </font>
    <font>
      <sz val="12"/>
      <name val="Arial"/>
    </font>
    <font>
      <sz val="10"/>
      <color rgb="FF00000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ajor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dotted">
        <color rgb="FF000000"/>
      </right>
      <top/>
      <bottom/>
      <diagonal/>
    </border>
    <border>
      <left/>
      <right style="dotted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</cellStyleXfs>
  <cellXfs count="128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0" fillId="0" borderId="1" xfId="0" applyFont="1" applyBorder="1" applyAlignment="1"/>
    <xf numFmtId="0" fontId="6" fillId="0" borderId="1" xfId="0" applyFont="1" applyBorder="1" applyAlignment="1"/>
    <xf numFmtId="1" fontId="6" fillId="0" borderId="0" xfId="0" applyNumberFormat="1" applyFont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11" xfId="0" applyFont="1" applyBorder="1" applyAlignment="1"/>
    <xf numFmtId="0" fontId="10" fillId="0" borderId="0" xfId="0" applyFont="1" applyAlignment="1">
      <alignment horizontal="center"/>
    </xf>
    <xf numFmtId="0" fontId="11" fillId="3" borderId="12" xfId="0" applyFont="1" applyFill="1" applyBorder="1" applyAlignment="1"/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7" fontId="3" fillId="4" borderId="12" xfId="0" applyNumberFormat="1" applyFont="1" applyFill="1" applyBorder="1" applyAlignment="1"/>
    <xf numFmtId="37" fontId="3" fillId="0" borderId="0" xfId="0" applyNumberFormat="1" applyFont="1" applyAlignment="1"/>
    <xf numFmtId="0" fontId="3" fillId="4" borderId="12" xfId="0" applyFont="1" applyFill="1" applyBorder="1" applyAlignment="1"/>
    <xf numFmtId="37" fontId="3" fillId="0" borderId="0" xfId="0" applyNumberFormat="1" applyFont="1" applyAlignment="1"/>
    <xf numFmtId="0" fontId="4" fillId="0" borderId="0" xfId="0" applyFont="1" applyAlignment="1"/>
    <xf numFmtId="37" fontId="12" fillId="0" borderId="0" xfId="0" applyNumberFormat="1" applyFont="1" applyAlignment="1"/>
    <xf numFmtId="0" fontId="3" fillId="0" borderId="0" xfId="0" applyFont="1" applyAlignment="1"/>
    <xf numFmtId="37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 horizontal="right"/>
    </xf>
    <xf numFmtId="37" fontId="3" fillId="4" borderId="12" xfId="0" applyNumberFormat="1" applyFont="1" applyFill="1" applyBorder="1" applyAlignment="1">
      <alignment horizontal="right"/>
    </xf>
    <xf numFmtId="37" fontId="3" fillId="4" borderId="12" xfId="0" applyNumberFormat="1" applyFont="1" applyFill="1" applyBorder="1" applyAlignment="1">
      <alignment horizontal="left"/>
    </xf>
    <xf numFmtId="0" fontId="4" fillId="0" borderId="0" xfId="0" applyFont="1"/>
    <xf numFmtId="37" fontId="0" fillId="0" borderId="0" xfId="0" applyNumberFormat="1" applyFont="1" applyAlignment="1"/>
    <xf numFmtId="0" fontId="2" fillId="0" borderId="0" xfId="0" applyFont="1" applyAlignment="1">
      <alignment horizontal="center"/>
    </xf>
    <xf numFmtId="2" fontId="13" fillId="0" borderId="0" xfId="0" applyNumberFormat="1" applyFont="1" applyAlignment="1"/>
    <xf numFmtId="37" fontId="4" fillId="0" borderId="0" xfId="0" applyNumberFormat="1" applyFont="1"/>
    <xf numFmtId="39" fontId="3" fillId="0" borderId="0" xfId="0" applyNumberFormat="1" applyFont="1" applyAlignment="1"/>
    <xf numFmtId="0" fontId="12" fillId="0" borderId="0" xfId="0" applyFont="1" applyAlignment="1">
      <alignment horizontal="left"/>
    </xf>
    <xf numFmtId="10" fontId="3" fillId="0" borderId="0" xfId="0" applyNumberFormat="1" applyFont="1" applyAlignment="1"/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/>
    <xf numFmtId="0" fontId="3" fillId="0" borderId="0" xfId="0" applyFont="1"/>
    <xf numFmtId="0" fontId="16" fillId="0" borderId="0" xfId="0" applyFont="1" applyAlignment="1">
      <alignment horizontal="center"/>
    </xf>
    <xf numFmtId="4" fontId="4" fillId="0" borderId="0" xfId="0" applyNumberFormat="1" applyFont="1"/>
    <xf numFmtId="0" fontId="12" fillId="0" borderId="0" xfId="0" applyFont="1" applyAlignment="1">
      <alignment horizontal="center"/>
    </xf>
    <xf numFmtId="0" fontId="18" fillId="0" borderId="0" xfId="0" applyFont="1" applyAlignment="1"/>
    <xf numFmtId="37" fontId="3" fillId="0" borderId="0" xfId="0" applyNumberFormat="1" applyFont="1" applyAlignment="1">
      <alignment horizontal="left"/>
    </xf>
    <xf numFmtId="0" fontId="4" fillId="5" borderId="0" xfId="0" applyFont="1" applyFill="1"/>
    <xf numFmtId="0" fontId="19" fillId="5" borderId="0" xfId="0" applyFont="1" applyFill="1"/>
    <xf numFmtId="4" fontId="3" fillId="0" borderId="14" xfId="0" applyNumberFormat="1" applyFont="1" applyBorder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/>
    <xf numFmtId="37" fontId="12" fillId="0" borderId="0" xfId="0" applyNumberFormat="1" applyFont="1" applyAlignment="1">
      <alignment horizontal="left"/>
    </xf>
    <xf numFmtId="2" fontId="22" fillId="0" borderId="0" xfId="0" applyNumberFormat="1" applyFont="1" applyAlignment="1"/>
    <xf numFmtId="2" fontId="22" fillId="0" borderId="3" xfId="0" applyNumberFormat="1" applyFont="1" applyBorder="1" applyAlignment="1"/>
    <xf numFmtId="2" fontId="3" fillId="0" borderId="3" xfId="0" applyNumberFormat="1" applyFont="1" applyBorder="1" applyAlignment="1"/>
    <xf numFmtId="0" fontId="5" fillId="0" borderId="0" xfId="0" applyFont="1" applyAlignment="1">
      <alignment horizontal="left"/>
    </xf>
    <xf numFmtId="2" fontId="23" fillId="0" borderId="0" xfId="0" applyNumberFormat="1" applyFont="1" applyAlignment="1"/>
    <xf numFmtId="2" fontId="3" fillId="0" borderId="0" xfId="0" applyNumberFormat="1" applyFont="1" applyAlignment="1"/>
    <xf numFmtId="0" fontId="8" fillId="0" borderId="15" xfId="0" applyFont="1" applyBorder="1" applyAlignment="1">
      <alignment vertical="top" wrapText="1"/>
    </xf>
    <xf numFmtId="0" fontId="24" fillId="0" borderId="0" xfId="0" applyFont="1" applyAlignment="1"/>
    <xf numFmtId="4" fontId="3" fillId="0" borderId="0" xfId="0" applyNumberFormat="1" applyFont="1" applyAlignment="1"/>
    <xf numFmtId="4" fontId="3" fillId="0" borderId="3" xfId="0" applyNumberFormat="1" applyFont="1" applyBorder="1" applyAlignment="1"/>
    <xf numFmtId="4" fontId="3" fillId="0" borderId="1" xfId="0" applyNumberFormat="1" applyFont="1" applyBorder="1" applyAlignment="1"/>
    <xf numFmtId="2" fontId="0" fillId="0" borderId="0" xfId="0" applyNumberFormat="1" applyFont="1" applyAlignment="1"/>
    <xf numFmtId="2" fontId="0" fillId="0" borderId="3" xfId="0" applyNumberFormat="1" applyFont="1" applyBorder="1" applyAlignment="1"/>
    <xf numFmtId="2" fontId="25" fillId="0" borderId="0" xfId="0" applyNumberFormat="1" applyFont="1" applyAlignment="1"/>
    <xf numFmtId="0" fontId="0" fillId="0" borderId="0" xfId="0" applyFont="1" applyAlignment="1"/>
    <xf numFmtId="43" fontId="0" fillId="0" borderId="0" xfId="1" applyFont="1" applyAlignment="1"/>
    <xf numFmtId="43" fontId="4" fillId="0" borderId="0" xfId="1" applyFont="1"/>
    <xf numFmtId="43" fontId="4" fillId="0" borderId="0" xfId="1" applyFont="1" applyAlignment="1"/>
    <xf numFmtId="43" fontId="3" fillId="0" borderId="13" xfId="1" applyFont="1" applyBorder="1" applyAlignment="1"/>
    <xf numFmtId="43" fontId="3" fillId="0" borderId="0" xfId="1" applyFont="1" applyAlignment="1"/>
    <xf numFmtId="165" fontId="3" fillId="0" borderId="0" xfId="1" applyNumberFormat="1" applyFont="1" applyAlignment="1"/>
    <xf numFmtId="165" fontId="3" fillId="0" borderId="0" xfId="1" applyNumberFormat="1" applyFont="1" applyAlignment="1">
      <alignment horizontal="right"/>
    </xf>
    <xf numFmtId="43" fontId="22" fillId="0" borderId="0" xfId="1" applyFont="1" applyAlignment="1"/>
    <xf numFmtId="43" fontId="22" fillId="0" borderId="3" xfId="1" applyFont="1" applyBorder="1" applyAlignment="1"/>
    <xf numFmtId="43" fontId="1" fillId="0" borderId="0" xfId="1" applyFont="1" applyAlignment="1"/>
    <xf numFmtId="43" fontId="23" fillId="0" borderId="0" xfId="1" applyFont="1" applyAlignment="1"/>
    <xf numFmtId="43" fontId="3" fillId="0" borderId="3" xfId="1" applyFont="1" applyBorder="1" applyAlignment="1"/>
    <xf numFmtId="0" fontId="33" fillId="6" borderId="0" xfId="0" applyFont="1" applyFill="1" applyAlignment="1"/>
    <xf numFmtId="43" fontId="0" fillId="0" borderId="0" xfId="0" applyNumberFormat="1" applyFont="1" applyAlignment="1"/>
    <xf numFmtId="0" fontId="32" fillId="0" borderId="0" xfId="0" applyFont="1" applyAlignment="1"/>
    <xf numFmtId="43" fontId="35" fillId="0" borderId="0" xfId="1" applyFont="1" applyAlignment="1"/>
    <xf numFmtId="4" fontId="0" fillId="0" borderId="0" xfId="0" applyNumberFormat="1" applyFont="1" applyAlignment="1"/>
    <xf numFmtId="0" fontId="6" fillId="0" borderId="0" xfId="0" applyFont="1" applyAlignment="1">
      <alignment wrapText="1"/>
    </xf>
    <xf numFmtId="0" fontId="0" fillId="0" borderId="0" xfId="0" applyFont="1" applyAlignment="1"/>
    <xf numFmtId="0" fontId="8" fillId="0" borderId="16" xfId="0" applyFont="1" applyBorder="1" applyAlignment="1">
      <alignment horizontal="left" vertical="top" wrapText="1"/>
    </xf>
    <xf numFmtId="0" fontId="18" fillId="0" borderId="17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4" fontId="0" fillId="0" borderId="0" xfId="2" applyFont="1" applyAlignment="1"/>
    <xf numFmtId="43" fontId="32" fillId="0" borderId="0" xfId="1" applyFont="1" applyAlignment="1"/>
    <xf numFmtId="43" fontId="3" fillId="0" borderId="1" xfId="1" applyFont="1" applyBorder="1" applyAlignment="1"/>
    <xf numFmtId="0" fontId="36" fillId="0" borderId="0" xfId="0" applyFont="1" applyAlignment="1"/>
    <xf numFmtId="14" fontId="6" fillId="0" borderId="1" xfId="0" applyNumberFormat="1" applyFont="1" applyBorder="1" applyAlignment="1"/>
    <xf numFmtId="0" fontId="36" fillId="0" borderId="1" xfId="0" applyFont="1" applyBorder="1" applyAlignment="1"/>
    <xf numFmtId="44" fontId="6" fillId="0" borderId="1" xfId="2" applyFont="1" applyBorder="1" applyAlignment="1"/>
    <xf numFmtId="14" fontId="3" fillId="0" borderId="0" xfId="0" applyNumberFormat="1" applyFont="1" applyAlignment="1"/>
    <xf numFmtId="43" fontId="3" fillId="0" borderId="18" xfId="1" applyFont="1" applyBorder="1" applyAlignment="1"/>
    <xf numFmtId="43" fontId="17" fillId="5" borderId="0" xfId="1" applyFont="1" applyFill="1" applyAlignment="1"/>
    <xf numFmtId="43" fontId="3" fillId="7" borderId="13" xfId="1" applyFont="1" applyFill="1" applyBorder="1" applyAlignment="1"/>
    <xf numFmtId="43" fontId="3" fillId="8" borderId="13" xfId="1" applyFont="1" applyFill="1" applyBorder="1" applyAlignment="1"/>
    <xf numFmtId="43" fontId="33" fillId="6" borderId="0" xfId="1" applyFont="1" applyFill="1" applyAlignment="1"/>
    <xf numFmtId="43" fontId="4" fillId="5" borderId="0" xfId="1" applyFont="1" applyFill="1"/>
    <xf numFmtId="43" fontId="19" fillId="5" borderId="0" xfId="1" applyFont="1" applyFill="1"/>
    <xf numFmtId="43" fontId="34" fillId="0" borderId="0" xfId="1" applyFont="1" applyAlignment="1"/>
    <xf numFmtId="43" fontId="4" fillId="0" borderId="0" xfId="1" applyFont="1" applyFill="1" applyAlignment="1"/>
    <xf numFmtId="43" fontId="3" fillId="0" borderId="14" xfId="1" applyFont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57225" cy="666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pisfsreports@dpi.wi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I6" sqref="I6"/>
    </sheetView>
  </sheetViews>
  <sheetFormatPr defaultColWidth="14.42578125" defaultRowHeight="15" customHeight="1" x14ac:dyDescent="0.2"/>
  <cols>
    <col min="1" max="1" width="12" customWidth="1"/>
    <col min="2" max="2" width="7.5703125" customWidth="1"/>
    <col min="3" max="3" width="9" customWidth="1"/>
    <col min="4" max="4" width="8.85546875" customWidth="1"/>
    <col min="5" max="5" width="5.42578125" customWidth="1"/>
    <col min="6" max="6" width="7.5703125" customWidth="1"/>
    <col min="7" max="7" width="2.42578125" customWidth="1"/>
    <col min="8" max="8" width="3" customWidth="1"/>
    <col min="9" max="15" width="8.85546875" customWidth="1"/>
    <col min="16" max="26" width="8" customWidth="1"/>
  </cols>
  <sheetData>
    <row r="1" spans="1:26" ht="12.75" customHeight="1" x14ac:dyDescent="0.2">
      <c r="A1" s="2"/>
      <c r="B1" s="2"/>
      <c r="C1" s="4" t="s">
        <v>1</v>
      </c>
      <c r="D1" s="4"/>
      <c r="E1" s="2"/>
      <c r="F1" s="2"/>
      <c r="G1" s="2"/>
      <c r="H1" s="5" t="s">
        <v>13</v>
      </c>
      <c r="I1" s="4"/>
      <c r="J1" s="4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2"/>
      <c r="B2" s="2"/>
      <c r="C2" s="5" t="s">
        <v>14</v>
      </c>
      <c r="D2" s="4"/>
      <c r="E2" s="2"/>
      <c r="F2" s="2"/>
      <c r="G2" s="2"/>
      <c r="H2" s="6" t="s">
        <v>16</v>
      </c>
      <c r="I2" s="104" t="s">
        <v>17</v>
      </c>
      <c r="J2" s="105"/>
      <c r="K2" s="105"/>
      <c r="L2" s="105"/>
      <c r="M2" s="105"/>
      <c r="N2" s="4"/>
      <c r="O2" s="4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2"/>
      <c r="B3" s="2"/>
      <c r="C3" s="4" t="s">
        <v>20</v>
      </c>
      <c r="D3" s="4"/>
      <c r="E3" s="2"/>
      <c r="F3" s="2"/>
      <c r="G3" s="2"/>
      <c r="H3" s="2"/>
      <c r="I3" s="105"/>
      <c r="J3" s="105"/>
      <c r="K3" s="105"/>
      <c r="L3" s="105"/>
      <c r="M3" s="105"/>
      <c r="N3" s="4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2"/>
      <c r="B4" s="2"/>
      <c r="C4" s="2"/>
      <c r="D4" s="2"/>
      <c r="E4" s="2"/>
      <c r="F4" s="2"/>
      <c r="G4" s="2"/>
      <c r="H4" s="6" t="s">
        <v>22</v>
      </c>
      <c r="I4" s="104" t="s">
        <v>23</v>
      </c>
      <c r="J4" s="105"/>
      <c r="K4" s="105"/>
      <c r="L4" s="105"/>
      <c r="M4" s="105"/>
      <c r="N4" s="6"/>
      <c r="O4" s="6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2"/>
      <c r="B5" s="2"/>
      <c r="C5" s="2"/>
      <c r="D5" s="2"/>
      <c r="E5" s="2"/>
      <c r="F5" s="2"/>
      <c r="G5" s="2"/>
      <c r="H5" s="6"/>
      <c r="I5" s="105"/>
      <c r="J5" s="105"/>
      <c r="K5" s="105"/>
      <c r="L5" s="105"/>
      <c r="M5" s="105"/>
      <c r="N5" s="6"/>
      <c r="O5" s="6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2"/>
      <c r="B6" s="2"/>
      <c r="C6" s="2"/>
      <c r="D6" s="2"/>
      <c r="E6" s="2"/>
      <c r="F6" s="2"/>
      <c r="G6" s="2"/>
      <c r="H6" s="4"/>
      <c r="I6" s="8" t="s">
        <v>26</v>
      </c>
      <c r="J6" s="4"/>
      <c r="K6" s="2"/>
      <c r="L6" s="6"/>
      <c r="M6" s="6"/>
      <c r="N6" s="6"/>
      <c r="O6" s="6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1.25" customHeight="1" x14ac:dyDescent="0.2">
      <c r="A7" s="9"/>
      <c r="B7" s="4"/>
      <c r="C7" s="4"/>
      <c r="D7" s="4"/>
      <c r="E7" s="4"/>
      <c r="F7" s="4"/>
      <c r="G7" s="4"/>
      <c r="H7" s="4"/>
      <c r="I7" s="4" t="s">
        <v>30</v>
      </c>
      <c r="J7" s="4"/>
      <c r="K7" s="4"/>
      <c r="L7" s="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" customHeight="1" x14ac:dyDescent="0.2">
      <c r="A8" s="10"/>
      <c r="B8" s="11"/>
      <c r="C8" s="11"/>
      <c r="D8" s="11"/>
      <c r="E8" s="11"/>
      <c r="F8" s="11"/>
      <c r="G8" s="11"/>
      <c r="H8" s="4"/>
      <c r="I8" s="4"/>
      <c r="J8" s="4"/>
      <c r="K8" s="4"/>
      <c r="L8" s="6"/>
      <c r="M8" s="11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1.25" customHeight="1" x14ac:dyDescent="0.2">
      <c r="A9" s="4" t="s">
        <v>34</v>
      </c>
      <c r="B9" s="12">
        <v>5</v>
      </c>
      <c r="C9" s="4"/>
      <c r="D9" s="4"/>
      <c r="E9" s="4"/>
      <c r="F9" s="4"/>
      <c r="G9" s="4"/>
      <c r="H9" s="13"/>
      <c r="I9" s="13"/>
      <c r="J9" s="13"/>
      <c r="K9" s="13"/>
      <c r="L9" s="1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1.25" customHeight="1" x14ac:dyDescent="0.2">
      <c r="A10" s="4"/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1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 x14ac:dyDescent="0.2">
      <c r="A12" s="4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1.25" customHeight="1" x14ac:dyDescent="0.2">
      <c r="A13" s="4" t="s">
        <v>36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1.25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 x14ac:dyDescent="0.2">
      <c r="A15" s="4" t="s">
        <v>37</v>
      </c>
      <c r="B15" s="4"/>
      <c r="C15" s="4"/>
      <c r="D15" s="4"/>
      <c r="E15" s="4"/>
      <c r="F15" s="4"/>
      <c r="G15" s="4"/>
      <c r="H15" s="4"/>
      <c r="I15" s="4"/>
      <c r="J15" s="15" t="s">
        <v>38</v>
      </c>
      <c r="K15" s="16"/>
      <c r="L15" s="15" t="s">
        <v>39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1.25" customHeight="1" x14ac:dyDescent="0.2">
      <c r="A16" s="4" t="s">
        <v>40</v>
      </c>
      <c r="B16" s="4"/>
      <c r="C16" s="4"/>
      <c r="D16" s="4"/>
      <c r="E16" s="4"/>
      <c r="F16" s="4"/>
      <c r="G16" s="4"/>
      <c r="H16" s="4"/>
      <c r="I16" s="4"/>
      <c r="J16" s="17" t="s">
        <v>41</v>
      </c>
      <c r="K16" s="4"/>
      <c r="L16" s="17">
        <v>53901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8"/>
      <c r="K17" s="11"/>
      <c r="L17" s="18"/>
      <c r="M17" s="11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 x14ac:dyDescent="0.2">
      <c r="A18" s="4" t="s">
        <v>42</v>
      </c>
      <c r="B18" s="4"/>
      <c r="C18" s="4"/>
      <c r="D18" s="4"/>
      <c r="E18" s="4"/>
      <c r="F18" s="4"/>
      <c r="G18" s="13"/>
      <c r="H18" s="19" t="s">
        <v>43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1.25" customHeight="1" x14ac:dyDescent="0.2">
      <c r="A19" s="113" t="s">
        <v>362</v>
      </c>
      <c r="B19" s="4"/>
      <c r="C19" s="4"/>
      <c r="D19" s="4"/>
      <c r="E19" s="4"/>
      <c r="F19" s="4"/>
      <c r="G19" s="4"/>
      <c r="H19" s="17"/>
      <c r="I19" s="113" t="s">
        <v>363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1.25" customHeight="1" x14ac:dyDescent="0.2">
      <c r="A20" s="14"/>
      <c r="B20" s="14"/>
      <c r="C20" s="14"/>
      <c r="D20" s="14"/>
      <c r="E20" s="14"/>
      <c r="F20" s="14"/>
      <c r="G20" s="14"/>
      <c r="H20" s="20"/>
      <c r="I20" s="14"/>
      <c r="J20" s="14"/>
      <c r="K20" s="14"/>
      <c r="L20" s="14"/>
      <c r="M20" s="1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 x14ac:dyDescent="0.2">
      <c r="A21" s="4"/>
      <c r="B21" s="4"/>
      <c r="C21" s="4"/>
      <c r="D21" s="4"/>
      <c r="E21" s="4"/>
      <c r="F21" s="5" t="s">
        <v>44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1.25" customHeight="1" x14ac:dyDescent="0.2">
      <c r="A22" s="4" t="s">
        <v>45</v>
      </c>
      <c r="B22" s="21"/>
      <c r="C22" s="4" t="s">
        <v>46</v>
      </c>
      <c r="D22" s="4"/>
      <c r="E22" s="21"/>
      <c r="F22" s="4" t="s">
        <v>47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1.25" customHeight="1" x14ac:dyDescent="0.2">
      <c r="A23" s="4"/>
      <c r="B23" s="21"/>
      <c r="C23" s="4"/>
      <c r="D23" s="4"/>
      <c r="E23" s="2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" customHeight="1" x14ac:dyDescent="0.2">
      <c r="A24" s="116">
        <v>500000</v>
      </c>
      <c r="B24" s="22"/>
      <c r="C24" s="114">
        <v>44012</v>
      </c>
      <c r="D24" s="11"/>
      <c r="E24" s="22"/>
      <c r="F24" s="115" t="s">
        <v>364</v>
      </c>
      <c r="G24" s="11"/>
      <c r="H24" s="11"/>
      <c r="I24" s="11"/>
      <c r="J24" s="11"/>
      <c r="K24" s="11"/>
      <c r="L24" s="11"/>
      <c r="M24" s="11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.5" customHeight="1" x14ac:dyDescent="0.2">
      <c r="A25" s="4"/>
      <c r="B25" s="4"/>
      <c r="C25" s="4"/>
      <c r="D25" s="4"/>
      <c r="E25" s="4"/>
      <c r="F25" s="5" t="s">
        <v>48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1.25" customHeight="1" x14ac:dyDescent="0.2">
      <c r="A26" s="4" t="s">
        <v>45</v>
      </c>
      <c r="B26" s="21"/>
      <c r="C26" s="4" t="s">
        <v>46</v>
      </c>
      <c r="D26" s="4"/>
      <c r="E26" s="21"/>
      <c r="F26" s="4" t="s">
        <v>47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1.25" customHeight="1" x14ac:dyDescent="0.2">
      <c r="A27" s="4"/>
      <c r="B27" s="21"/>
      <c r="C27" s="4"/>
      <c r="D27" s="4"/>
      <c r="E27" s="2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" customHeight="1" x14ac:dyDescent="0.2">
      <c r="A28" s="116">
        <v>500000</v>
      </c>
      <c r="B28" s="22"/>
      <c r="C28" s="114">
        <v>44012</v>
      </c>
      <c r="D28" s="11"/>
      <c r="E28" s="22"/>
      <c r="F28" s="115" t="s">
        <v>364</v>
      </c>
      <c r="G28" s="11"/>
      <c r="H28" s="11"/>
      <c r="I28" s="11"/>
      <c r="J28" s="11"/>
      <c r="K28" s="11"/>
      <c r="L28" s="11"/>
      <c r="M28" s="11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 x14ac:dyDescent="0.2">
      <c r="A29" s="5" t="s">
        <v>49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1.25" customHeight="1" x14ac:dyDescent="0.2">
      <c r="A30" s="4" t="s">
        <v>50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1.25" customHeight="1" x14ac:dyDescent="0.2">
      <c r="A31" s="4" t="s">
        <v>51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1.25" customHeight="1" x14ac:dyDescent="0.2">
      <c r="A32" s="14" t="s">
        <v>52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 x14ac:dyDescent="0.2">
      <c r="A33" s="4" t="s">
        <v>53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15" t="s">
        <v>54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1.2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17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1.2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20"/>
      <c r="M35" s="1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 x14ac:dyDescent="0.2">
      <c r="A36" s="4" t="s">
        <v>55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17" t="s">
        <v>54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1.2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17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1.2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20"/>
      <c r="M38" s="1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 x14ac:dyDescent="0.2">
      <c r="A39" s="4" t="s">
        <v>56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17" t="s">
        <v>54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1.2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17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" customHeight="1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8"/>
      <c r="M41" s="11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 x14ac:dyDescent="0.2">
      <c r="A44" s="4"/>
      <c r="B44" s="4"/>
      <c r="C44" s="4"/>
      <c r="D44" s="4"/>
      <c r="E44" s="4"/>
      <c r="F44" s="4"/>
      <c r="G44" s="4"/>
      <c r="H44" s="4"/>
      <c r="I44" s="6"/>
      <c r="J44" s="6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1.25" customHeight="1" x14ac:dyDescent="0.2">
      <c r="A45" s="4"/>
      <c r="B45" s="4"/>
      <c r="C45" s="4"/>
      <c r="D45" s="4"/>
      <c r="E45" s="4"/>
      <c r="F45" s="4"/>
      <c r="G45" s="4"/>
      <c r="H45" s="4"/>
      <c r="I45" s="6"/>
      <c r="J45" s="6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1.25" customHeight="1" x14ac:dyDescent="0.2">
      <c r="A46" s="4"/>
      <c r="B46" s="4"/>
      <c r="C46" s="4"/>
      <c r="D46" s="23"/>
      <c r="E46" s="6"/>
      <c r="F46" s="6"/>
      <c r="G46" s="6"/>
      <c r="H46" s="6"/>
      <c r="I46" s="6"/>
      <c r="J46" s="6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1.2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1.2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1.2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1.2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1.2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1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1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1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1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1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1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1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1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1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1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1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1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1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1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1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I2:M3"/>
    <mergeCell ref="I4:M5"/>
  </mergeCells>
  <hyperlinks>
    <hyperlink ref="I6" r:id="rId1"/>
  </hyperlinks>
  <pageMargins left="0.7" right="0.7" top="0.75" bottom="0.75" header="0" footer="0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4.42578125" defaultRowHeight="15" customHeight="1" x14ac:dyDescent="0.2"/>
  <cols>
    <col min="1" max="3" width="5.5703125" customWidth="1"/>
    <col min="4" max="26" width="8" customWidth="1"/>
  </cols>
  <sheetData>
    <row r="1" spans="1:13" ht="15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 customHeight="1" x14ac:dyDescent="0.2">
      <c r="A4" s="3" t="s">
        <v>2</v>
      </c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</row>
    <row r="5" spans="1:13" ht="12.75" customHeight="1" x14ac:dyDescent="0.2">
      <c r="A5" s="3"/>
      <c r="B5" s="3" t="s">
        <v>1</v>
      </c>
      <c r="C5" s="3"/>
      <c r="D5" s="3"/>
      <c r="E5" s="2"/>
      <c r="F5" s="2"/>
      <c r="G5" s="2"/>
      <c r="H5" s="2"/>
      <c r="I5" s="2"/>
      <c r="J5" s="2"/>
      <c r="K5" s="2"/>
      <c r="L5" s="2"/>
      <c r="M5" s="2"/>
    </row>
    <row r="6" spans="1:13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customHeight="1" x14ac:dyDescent="0.2">
      <c r="A7" s="2"/>
      <c r="B7" s="2" t="s">
        <v>3</v>
      </c>
      <c r="C7" s="3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 customHeight="1" x14ac:dyDescent="0.2">
      <c r="A8" s="2"/>
      <c r="B8" s="2" t="s">
        <v>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 customHeight="1" x14ac:dyDescent="0.2">
      <c r="A9" s="2"/>
      <c r="B9" s="2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 customHeight="1" x14ac:dyDescent="0.2">
      <c r="A10" s="2"/>
      <c r="B10" s="2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 customHeight="1" x14ac:dyDescent="0.2">
      <c r="A13" s="2"/>
      <c r="B13" s="2" t="s">
        <v>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 customHeight="1" x14ac:dyDescent="0.2">
      <c r="A14" s="2"/>
      <c r="B14" s="2" t="s">
        <v>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 customHeight="1" x14ac:dyDescent="0.2">
      <c r="A15" s="2"/>
      <c r="B15" s="2" t="s">
        <v>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 customHeight="1" x14ac:dyDescent="0.2">
      <c r="A16" s="2"/>
      <c r="B16" s="2" t="s">
        <v>10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 customHeight="1" x14ac:dyDescent="0.2">
      <c r="A18" s="2"/>
      <c r="B18" s="3" t="s">
        <v>11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 customHeight="1" x14ac:dyDescent="0.2">
      <c r="A19" s="2"/>
      <c r="B19" s="3" t="s">
        <v>12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 customHeight="1" x14ac:dyDescent="0.2">
      <c r="A22" s="2"/>
      <c r="B22" s="2" t="s">
        <v>15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 customHeight="1" x14ac:dyDescent="0.2">
      <c r="A23" s="2"/>
      <c r="B23" s="2" t="s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 customHeight="1" x14ac:dyDescent="0.2">
      <c r="A24" s="2"/>
      <c r="B24" s="2" t="s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 x14ac:dyDescent="0.2">
      <c r="A25" s="2"/>
      <c r="B25" s="2" t="s">
        <v>21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 x14ac:dyDescent="0.2">
      <c r="A27" s="2"/>
      <c r="B27" s="3" t="s">
        <v>24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 x14ac:dyDescent="0.2">
      <c r="A28" s="2"/>
      <c r="B28" s="3" t="s">
        <v>25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2"/>
      <c r="M30" s="2"/>
    </row>
    <row r="31" spans="1:13" ht="12.75" customHeight="1" x14ac:dyDescent="0.2">
      <c r="A31" s="7"/>
      <c r="B31" s="2" t="s">
        <v>27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customHeight="1" x14ac:dyDescent="0.2">
      <c r="A32" s="7"/>
      <c r="B32" s="2" t="s">
        <v>28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 customHeight="1" x14ac:dyDescent="0.2">
      <c r="A33" s="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 customHeight="1" x14ac:dyDescent="0.2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 customHeight="1" x14ac:dyDescent="0.2">
      <c r="A35" s="7"/>
      <c r="B35" s="2" t="s">
        <v>29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 customHeight="1" x14ac:dyDescent="0.2">
      <c r="A36" s="7"/>
      <c r="B36" s="2" t="s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 customHeight="1" x14ac:dyDescent="0.2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 customHeight="1" x14ac:dyDescent="0.2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 customHeight="1" x14ac:dyDescent="0.2">
      <c r="A39" s="7"/>
      <c r="B39" s="2" t="s">
        <v>32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 customHeight="1" x14ac:dyDescent="0.2">
      <c r="A40" s="7"/>
      <c r="B40" s="2" t="s">
        <v>33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 customHeight="1" x14ac:dyDescent="0.2">
      <c r="A41" s="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 customHeight="1" x14ac:dyDescent="0.2">
      <c r="A42" s="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 customHeight="1" x14ac:dyDescent="0.2">
      <c r="A43" s="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 customHeight="1" x14ac:dyDescent="0.2">
      <c r="A44" s="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 customHeight="1" x14ac:dyDescent="0.2">
      <c r="A45" s="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 customHeight="1" x14ac:dyDescent="0.2">
      <c r="A46" s="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 customHeight="1" x14ac:dyDescent="0.2">
      <c r="A47" s="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 customHeight="1" x14ac:dyDescent="0.2">
      <c r="A48" s="7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1" ht="12.7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.7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2.7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2.7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2.7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2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ht="12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2.7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ht="1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ht="1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ht="1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ht="1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5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ht="1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ht="15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ht="15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ht="15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ht="15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15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15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5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5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5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5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5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5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5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5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5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5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5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5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15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ht="15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15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15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ht="15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15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1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ht="1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1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ht="1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ht="1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ht="15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5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ht="1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ht="1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ht="1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0"/>
  <sheetViews>
    <sheetView topLeftCell="A36" workbookViewId="0">
      <selection activeCell="B55" sqref="B55:L57"/>
    </sheetView>
  </sheetViews>
  <sheetFormatPr defaultColWidth="14.42578125" defaultRowHeight="15" customHeight="1" x14ac:dyDescent="0.2"/>
  <cols>
    <col min="1" max="1" width="34.42578125" customWidth="1"/>
    <col min="2" max="2" width="14.85546875" customWidth="1"/>
    <col min="3" max="3" width="11.5703125" customWidth="1"/>
    <col min="4" max="4" width="12.85546875" bestFit="1" customWidth="1"/>
    <col min="5" max="5" width="12.85546875" customWidth="1"/>
    <col min="6" max="6" width="14.140625" customWidth="1"/>
    <col min="7" max="7" width="13.140625" bestFit="1" customWidth="1"/>
    <col min="8" max="9" width="12.85546875" bestFit="1" customWidth="1"/>
    <col min="10" max="10" width="12.85546875" customWidth="1"/>
    <col min="11" max="11" width="13" customWidth="1"/>
    <col min="12" max="12" width="16.7109375" customWidth="1"/>
    <col min="13" max="13" width="11.140625" customWidth="1"/>
    <col min="14" max="25" width="8" customWidth="1"/>
  </cols>
  <sheetData>
    <row r="1" spans="1:13" ht="18" customHeight="1" x14ac:dyDescent="0.25">
      <c r="A1" s="24" t="s">
        <v>34</v>
      </c>
      <c r="B1" s="54">
        <v>5</v>
      </c>
    </row>
    <row r="2" spans="1:13" ht="18" customHeight="1" x14ac:dyDescent="0.25">
      <c r="A2" s="24" t="s">
        <v>57</v>
      </c>
      <c r="B2" s="26" t="s">
        <v>156</v>
      </c>
    </row>
    <row r="3" spans="1:13" ht="12.75" customHeight="1" x14ac:dyDescent="0.2"/>
    <row r="4" spans="1:13" ht="18" customHeight="1" x14ac:dyDescent="0.25">
      <c r="F4" s="55" t="s">
        <v>157</v>
      </c>
    </row>
    <row r="5" spans="1:13" ht="18" customHeight="1" x14ac:dyDescent="0.25">
      <c r="F5" s="55" t="s">
        <v>158</v>
      </c>
    </row>
    <row r="6" spans="1:13" ht="18" customHeight="1" x14ac:dyDescent="0.25">
      <c r="F6" s="55" t="s">
        <v>159</v>
      </c>
    </row>
    <row r="7" spans="1:13" ht="12.75" customHeight="1" x14ac:dyDescent="0.2">
      <c r="B7" s="56"/>
      <c r="C7" s="56"/>
      <c r="D7" s="56"/>
      <c r="E7" s="56"/>
      <c r="F7" s="56"/>
      <c r="G7" s="56"/>
      <c r="H7" s="57"/>
      <c r="I7" s="56"/>
      <c r="J7" s="57"/>
    </row>
    <row r="8" spans="1:13" ht="12.75" customHeight="1" x14ac:dyDescent="0.2">
      <c r="E8" s="44"/>
      <c r="F8" s="36"/>
      <c r="G8" s="36"/>
      <c r="H8" s="36"/>
      <c r="I8" s="36"/>
      <c r="J8" s="36"/>
    </row>
    <row r="9" spans="1:13" ht="12.75" customHeight="1" x14ac:dyDescent="0.2">
      <c r="B9" s="31"/>
      <c r="H9" s="31" t="s">
        <v>160</v>
      </c>
      <c r="I9" s="31" t="s">
        <v>160</v>
      </c>
      <c r="J9" s="36"/>
    </row>
    <row r="10" spans="1:13" ht="12.75" customHeight="1" x14ac:dyDescent="0.2">
      <c r="C10" s="31" t="s">
        <v>161</v>
      </c>
      <c r="D10" s="31" t="s">
        <v>161</v>
      </c>
      <c r="G10" s="31" t="s">
        <v>162</v>
      </c>
      <c r="H10" s="31" t="s">
        <v>163</v>
      </c>
      <c r="I10" s="31" t="s">
        <v>164</v>
      </c>
      <c r="K10" s="58" t="s">
        <v>165</v>
      </c>
    </row>
    <row r="11" spans="1:13" ht="12.75" customHeight="1" x14ac:dyDescent="0.2">
      <c r="B11" s="31" t="s">
        <v>38</v>
      </c>
      <c r="C11" s="31" t="s">
        <v>166</v>
      </c>
      <c r="D11" s="31" t="s">
        <v>167</v>
      </c>
      <c r="E11" s="31" t="s">
        <v>160</v>
      </c>
      <c r="F11" s="31" t="s">
        <v>168</v>
      </c>
      <c r="G11" s="31" t="s">
        <v>168</v>
      </c>
      <c r="H11" s="31" t="s">
        <v>169</v>
      </c>
      <c r="I11" s="31" t="s">
        <v>169</v>
      </c>
      <c r="J11" s="31" t="s">
        <v>170</v>
      </c>
      <c r="K11" s="31" t="s">
        <v>171</v>
      </c>
    </row>
    <row r="12" spans="1:13" ht="12.75" customHeight="1" x14ac:dyDescent="0.2">
      <c r="B12" s="59" t="s">
        <v>173</v>
      </c>
      <c r="C12" s="59" t="s">
        <v>173</v>
      </c>
      <c r="D12" s="59" t="s">
        <v>173</v>
      </c>
      <c r="E12" s="59" t="s">
        <v>174</v>
      </c>
      <c r="F12" s="59" t="s">
        <v>163</v>
      </c>
      <c r="G12" s="59" t="s">
        <v>173</v>
      </c>
      <c r="H12" s="59" t="s">
        <v>175</v>
      </c>
      <c r="I12" s="59" t="s">
        <v>175</v>
      </c>
      <c r="J12" s="59" t="s">
        <v>176</v>
      </c>
      <c r="K12" s="59" t="s">
        <v>173</v>
      </c>
      <c r="L12" s="59" t="s">
        <v>178</v>
      </c>
    </row>
    <row r="13" spans="1:13" ht="12.75" customHeight="1" x14ac:dyDescent="0.2"/>
    <row r="14" spans="1:13" ht="12.75" customHeight="1" x14ac:dyDescent="0.2">
      <c r="A14" s="3" t="s">
        <v>179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3" ht="12.75" customHeight="1" x14ac:dyDescent="0.2">
      <c r="A15" s="2" t="s">
        <v>180</v>
      </c>
      <c r="B15" s="88"/>
      <c r="C15" s="88"/>
      <c r="D15" s="88"/>
      <c r="E15" s="89">
        <v>328533.40000000002</v>
      </c>
      <c r="F15" s="89">
        <v>10566415.460000001</v>
      </c>
      <c r="G15" s="89">
        <v>1475100.02</v>
      </c>
      <c r="H15" s="119">
        <f>1465028.53+14465.17+14465.17</f>
        <v>1493958.8699999999</v>
      </c>
      <c r="I15" s="89">
        <f>116907+76977+258104.52</f>
        <v>451988.52</v>
      </c>
      <c r="J15" s="89">
        <f>17470353.44-I15-H15-G15-F15-E15</f>
        <v>3154357.1700000023</v>
      </c>
      <c r="K15" s="88"/>
      <c r="L15" s="88">
        <v>17484818.600000001</v>
      </c>
      <c r="M15" s="44"/>
    </row>
    <row r="16" spans="1:13" ht="12.75" customHeight="1" x14ac:dyDescent="0.2">
      <c r="A16" s="2" t="s">
        <v>184</v>
      </c>
      <c r="B16" s="89">
        <v>240492.35</v>
      </c>
      <c r="C16" s="88"/>
      <c r="D16" s="88"/>
      <c r="E16" s="88"/>
      <c r="F16" s="88"/>
      <c r="G16" s="88"/>
      <c r="H16" s="89">
        <v>359996.38</v>
      </c>
      <c r="I16" s="89">
        <f>1470174.55-I15-I19</f>
        <v>907096.35</v>
      </c>
      <c r="J16" s="88">
        <f>1429263.55-I16-H16-B16</f>
        <v>-78321.529999999941</v>
      </c>
      <c r="K16" s="88"/>
      <c r="L16" s="88">
        <f>SUM(B16:J16)</f>
        <v>1429263.55</v>
      </c>
      <c r="M16" s="36"/>
    </row>
    <row r="17" spans="1:13" ht="12.75" customHeight="1" x14ac:dyDescent="0.2">
      <c r="A17" s="2" t="s">
        <v>187</v>
      </c>
      <c r="B17" s="89">
        <v>4100008.78</v>
      </c>
      <c r="C17" s="89">
        <f>429595.96+33057.13</f>
        <v>462653.09</v>
      </c>
      <c r="D17" s="89">
        <v>5166964.4400000004</v>
      </c>
      <c r="E17" s="89">
        <v>12326.1</v>
      </c>
      <c r="F17" s="89"/>
      <c r="G17" s="88"/>
      <c r="H17" s="89">
        <f>26674+33057.13</f>
        <v>59731.13</v>
      </c>
      <c r="I17" s="88"/>
      <c r="J17" s="88">
        <f>9859938.94-H17-E17-D17-C17-B17-H18</f>
        <v>58255.399999998976</v>
      </c>
      <c r="K17" s="88"/>
      <c r="L17" s="88">
        <f>SUM(B17:J17)</f>
        <v>9859938.9399999995</v>
      </c>
      <c r="M17" s="36"/>
    </row>
    <row r="18" spans="1:13" ht="12.75" customHeight="1" x14ac:dyDescent="0.2">
      <c r="A18" s="2" t="s">
        <v>188</v>
      </c>
      <c r="B18" s="88"/>
      <c r="C18" s="88"/>
      <c r="D18" s="88"/>
      <c r="E18" s="88"/>
      <c r="F18" s="88"/>
      <c r="G18" s="88"/>
      <c r="H18" s="89"/>
      <c r="I18" s="88"/>
      <c r="J18" s="88"/>
      <c r="K18" s="88"/>
      <c r="L18" s="88">
        <f>SUM(B18:J18)</f>
        <v>0</v>
      </c>
      <c r="M18" s="36"/>
    </row>
    <row r="19" spans="1:13" ht="12.75" customHeight="1" x14ac:dyDescent="0.2">
      <c r="A19" s="2" t="s">
        <v>190</v>
      </c>
      <c r="B19" s="88"/>
      <c r="C19" s="88"/>
      <c r="D19" s="88">
        <v>-710.46</v>
      </c>
      <c r="E19" s="89">
        <f>1749718.23+19565.1-732.32</f>
        <v>1768551.01</v>
      </c>
      <c r="F19" s="88">
        <f>547795.73+1145765.72-111089.68+632251.28</f>
        <v>2214723.0499999998</v>
      </c>
      <c r="G19" s="89">
        <v>-1076285.52</v>
      </c>
      <c r="H19" s="119">
        <f>1721332.8+730419.78+377537.39</f>
        <v>2829289.97</v>
      </c>
      <c r="I19" s="88">
        <f>26992.08+84097.6</f>
        <v>111089.68000000001</v>
      </c>
      <c r="J19" s="88">
        <f>8927.76+77867.27+622.51+249999.99+324430.71-0.1-8927.66-2814.03</f>
        <v>650106.44999999995</v>
      </c>
      <c r="K19" s="88"/>
      <c r="L19" s="88">
        <f>SUM(B19:J19)</f>
        <v>6496764.1799999997</v>
      </c>
      <c r="M19" s="62"/>
    </row>
    <row r="20" spans="1:13" ht="12.75" customHeight="1" x14ac:dyDescent="0.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7"/>
    </row>
    <row r="21" spans="1:13" ht="12.75" customHeight="1" x14ac:dyDescent="0.2">
      <c r="A21" s="2" t="s">
        <v>191</v>
      </c>
      <c r="B21" s="90">
        <f t="shared" ref="B21:K21" si="0">SUM(B15:B19)</f>
        <v>4340501.13</v>
      </c>
      <c r="C21" s="90">
        <f t="shared" si="0"/>
        <v>462653.09</v>
      </c>
      <c r="D21" s="90">
        <f t="shared" si="0"/>
        <v>5166253.9800000004</v>
      </c>
      <c r="E21" s="120">
        <f t="shared" si="0"/>
        <v>2109410.5099999998</v>
      </c>
      <c r="F21" s="121">
        <f t="shared" si="0"/>
        <v>12781138.510000002</v>
      </c>
      <c r="G21" s="121">
        <f t="shared" si="0"/>
        <v>398814.5</v>
      </c>
      <c r="H21" s="120">
        <f t="shared" si="0"/>
        <v>4742976.3499999996</v>
      </c>
      <c r="I21" s="120">
        <f t="shared" si="0"/>
        <v>1470174.55</v>
      </c>
      <c r="J21" s="90">
        <f t="shared" si="0"/>
        <v>3784397.4900000012</v>
      </c>
      <c r="K21" s="90">
        <f t="shared" si="0"/>
        <v>0</v>
      </c>
      <c r="L21" s="90">
        <f>SUM(L15:L19)</f>
        <v>35270785.270000003</v>
      </c>
      <c r="M21" s="36"/>
    </row>
    <row r="22" spans="1:13" ht="12.75" customHeight="1" x14ac:dyDescent="0.2">
      <c r="B22" s="87"/>
      <c r="C22" s="87"/>
      <c r="D22" s="87"/>
      <c r="E22" s="87"/>
      <c r="F22" s="87"/>
      <c r="G22" s="87"/>
      <c r="H22" s="88"/>
      <c r="I22" s="87"/>
      <c r="J22" s="87"/>
      <c r="K22" s="87"/>
      <c r="L22" s="87"/>
      <c r="M22" s="60"/>
    </row>
    <row r="23" spans="1:13" ht="12.75" customHeight="1" x14ac:dyDescent="0.2">
      <c r="B23" s="87"/>
      <c r="C23" s="87"/>
      <c r="D23" s="87"/>
      <c r="E23" s="87"/>
      <c r="F23" s="87"/>
      <c r="G23" s="87"/>
      <c r="H23" s="88"/>
      <c r="I23" s="87"/>
      <c r="J23" s="89"/>
      <c r="K23" s="87"/>
      <c r="L23" s="87"/>
    </row>
    <row r="24" spans="1:13" ht="12.75" customHeight="1" x14ac:dyDescent="0.2">
      <c r="A24" s="3" t="s">
        <v>192</v>
      </c>
      <c r="B24" s="122"/>
      <c r="C24" s="122"/>
      <c r="D24" s="122"/>
      <c r="E24" s="122"/>
      <c r="F24" s="123"/>
      <c r="G24" s="124"/>
      <c r="H24" s="123"/>
      <c r="I24" s="123"/>
      <c r="J24" s="89"/>
      <c r="K24" s="87"/>
      <c r="L24" s="87"/>
    </row>
    <row r="25" spans="1:13" ht="12.75" customHeight="1" x14ac:dyDescent="0.2">
      <c r="A25" s="2" t="s">
        <v>193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1:13" ht="12.75" customHeight="1" x14ac:dyDescent="0.2">
      <c r="A26" s="2" t="s">
        <v>194</v>
      </c>
      <c r="B26" s="89">
        <v>85307.31</v>
      </c>
      <c r="C26" s="89">
        <v>133823.57</v>
      </c>
      <c r="D26" s="89">
        <v>159920.67000000001</v>
      </c>
      <c r="E26" s="89">
        <v>0</v>
      </c>
      <c r="F26" s="89">
        <f>7092821.01-I26</f>
        <v>5890533.6200000001</v>
      </c>
      <c r="G26" s="89">
        <v>256920.65</v>
      </c>
      <c r="H26" s="89">
        <v>104035.88</v>
      </c>
      <c r="I26" s="89">
        <f>1202287.39</f>
        <v>1202287.3899999999</v>
      </c>
      <c r="J26" s="87"/>
      <c r="K26" s="87"/>
      <c r="L26" s="88">
        <f>SUM(B26:J26)</f>
        <v>7832829.0899999999</v>
      </c>
    </row>
    <row r="27" spans="1:13" ht="12.75" customHeight="1" x14ac:dyDescent="0.2">
      <c r="A27" s="2" t="s">
        <v>195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8">
        <f>SUM(B27:K27)</f>
        <v>0</v>
      </c>
    </row>
    <row r="28" spans="1:13" ht="12.75" customHeight="1" x14ac:dyDescent="0.2">
      <c r="A28" s="2" t="s">
        <v>196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1:13" ht="12.75" customHeight="1" x14ac:dyDescent="0.2">
      <c r="A29" s="2" t="s">
        <v>194</v>
      </c>
      <c r="B29" s="89">
        <v>2032856.75</v>
      </c>
      <c r="C29" s="88">
        <f>209278.84</f>
        <v>209278.84</v>
      </c>
      <c r="D29" s="89">
        <v>4801334.22</v>
      </c>
      <c r="E29" s="88">
        <f>1914742.21-18687.27</f>
        <v>1896054.94</v>
      </c>
      <c r="F29" s="88">
        <f>3868923.57-I29</f>
        <v>3836170.8499999996</v>
      </c>
      <c r="G29" s="89">
        <v>110.75</v>
      </c>
      <c r="H29" s="89">
        <v>1944286.53</v>
      </c>
      <c r="I29" s="89">
        <f>32752.68+0.04</f>
        <v>32752.720000000001</v>
      </c>
      <c r="J29" s="89">
        <f>3081411.13-7782.21+5.06</f>
        <v>3073633.98</v>
      </c>
      <c r="K29" s="87"/>
      <c r="L29" s="88">
        <f>SUM(B29:J29)</f>
        <v>17826479.579999998</v>
      </c>
    </row>
    <row r="30" spans="1:13" ht="12.75" customHeight="1" x14ac:dyDescent="0.2">
      <c r="A30" s="2" t="s">
        <v>195</v>
      </c>
      <c r="B30" s="87"/>
      <c r="C30" s="87"/>
      <c r="D30" s="87"/>
      <c r="E30" s="89">
        <v>18687.27</v>
      </c>
      <c r="F30" s="87"/>
      <c r="G30" s="87"/>
      <c r="H30" s="87"/>
      <c r="I30" s="87"/>
      <c r="J30" s="89">
        <v>7782.21</v>
      </c>
      <c r="K30" s="87"/>
      <c r="L30" s="88">
        <f>SUM(B30:J30)</f>
        <v>26469.48</v>
      </c>
    </row>
    <row r="31" spans="1:13" ht="12.75" customHeight="1" x14ac:dyDescent="0.2">
      <c r="A31" s="2" t="s">
        <v>197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1:13" ht="12.75" customHeight="1" x14ac:dyDescent="0.2">
      <c r="A32" s="2" t="s">
        <v>194</v>
      </c>
      <c r="B32" s="89">
        <f>2178354.46</f>
        <v>2178354.46</v>
      </c>
      <c r="C32" s="89">
        <f>24848.39</f>
        <v>24848.39</v>
      </c>
      <c r="D32" s="89">
        <f>171253.4</f>
        <v>171253.4</v>
      </c>
      <c r="E32" s="89">
        <v>45067.199999999997</v>
      </c>
      <c r="F32" s="88">
        <v>1348196.42</v>
      </c>
      <c r="G32" s="89">
        <f>121019.94</f>
        <v>121019.94</v>
      </c>
      <c r="H32" s="88">
        <f>195990.07</f>
        <v>195990.07</v>
      </c>
      <c r="I32" s="89">
        <f>221747.04</f>
        <v>221747.04</v>
      </c>
      <c r="J32" s="89">
        <f>6204294-4306476.92</f>
        <v>1897817.08</v>
      </c>
      <c r="K32" s="87"/>
      <c r="L32" s="88">
        <f>SUM(B32:J32)</f>
        <v>6204294</v>
      </c>
    </row>
    <row r="33" spans="1:14" ht="12.75" customHeight="1" x14ac:dyDescent="0.2">
      <c r="A33" s="101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>
        <f>SUM(B33:K33)</f>
        <v>0</v>
      </c>
    </row>
    <row r="34" spans="1:14" ht="12.75" customHeight="1" x14ac:dyDescent="0.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4" ht="12.75" customHeight="1" x14ac:dyDescent="0.2">
      <c r="A35" s="2" t="s">
        <v>198</v>
      </c>
      <c r="B35" s="90">
        <f t="shared" ref="B35:K35" si="1">SUM(B26:B33)</f>
        <v>4296518.5199999996</v>
      </c>
      <c r="C35" s="90">
        <f t="shared" si="1"/>
        <v>367950.80000000005</v>
      </c>
      <c r="D35" s="90">
        <f t="shared" si="1"/>
        <v>5132508.29</v>
      </c>
      <c r="E35" s="90">
        <f t="shared" si="1"/>
        <v>1959809.41</v>
      </c>
      <c r="F35" s="90">
        <f t="shared" si="1"/>
        <v>11074900.889999999</v>
      </c>
      <c r="G35" s="90">
        <f t="shared" si="1"/>
        <v>378051.33999999997</v>
      </c>
      <c r="H35" s="90">
        <f t="shared" si="1"/>
        <v>2244312.48</v>
      </c>
      <c r="I35" s="90">
        <f t="shared" si="1"/>
        <v>1456787.15</v>
      </c>
      <c r="J35" s="90">
        <f t="shared" si="1"/>
        <v>4979233.2699999996</v>
      </c>
      <c r="K35" s="90">
        <f t="shared" si="1"/>
        <v>0</v>
      </c>
      <c r="L35" s="90">
        <f>SUM(L26:L33)</f>
        <v>31890072.149999999</v>
      </c>
      <c r="M35" s="36"/>
      <c r="N35" s="60"/>
    </row>
    <row r="36" spans="1:14" ht="12.75" customHeight="1" x14ac:dyDescent="0.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36"/>
    </row>
    <row r="37" spans="1:14" ht="12.75" customHeight="1" x14ac:dyDescent="0.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1:14" ht="12.75" customHeight="1" x14ac:dyDescent="0.2">
      <c r="A38" s="2" t="s">
        <v>199</v>
      </c>
      <c r="B38" s="87"/>
      <c r="C38" s="125"/>
      <c r="D38" s="87"/>
      <c r="E38" s="87"/>
      <c r="F38" s="87"/>
      <c r="G38" s="87"/>
      <c r="H38" s="87"/>
      <c r="I38" s="87"/>
      <c r="J38" s="87"/>
      <c r="K38" s="87"/>
      <c r="L38" s="87"/>
    </row>
    <row r="39" spans="1:14" ht="12.75" customHeight="1" x14ac:dyDescent="0.2">
      <c r="A39" s="2" t="s">
        <v>200</v>
      </c>
      <c r="B39" s="88">
        <f t="shared" ref="B39:K39" si="2">+B21-B35</f>
        <v>43982.610000000335</v>
      </c>
      <c r="C39" s="88">
        <f t="shared" si="2"/>
        <v>94702.289999999979</v>
      </c>
      <c r="D39" s="88">
        <f t="shared" si="2"/>
        <v>33745.69000000041</v>
      </c>
      <c r="E39" s="88">
        <f t="shared" si="2"/>
        <v>149601.09999999986</v>
      </c>
      <c r="F39" s="88">
        <f t="shared" si="2"/>
        <v>1706237.6200000029</v>
      </c>
      <c r="G39" s="88">
        <f t="shared" si="2"/>
        <v>20763.160000000033</v>
      </c>
      <c r="H39" s="88">
        <f t="shared" si="2"/>
        <v>2498663.8699999996</v>
      </c>
      <c r="I39" s="88">
        <f t="shared" si="2"/>
        <v>13387.40000000014</v>
      </c>
      <c r="J39" s="88">
        <f t="shared" si="2"/>
        <v>-1194835.7799999984</v>
      </c>
      <c r="K39" s="88">
        <f t="shared" si="2"/>
        <v>0</v>
      </c>
      <c r="L39" s="88">
        <f>+L21-L35</f>
        <v>3380713.1200000048</v>
      </c>
      <c r="M39" s="44"/>
    </row>
    <row r="40" spans="1:14" ht="12.75" customHeight="1" x14ac:dyDescent="0.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1:14" ht="12.75" customHeight="1" x14ac:dyDescent="0.2">
      <c r="A41" s="2" t="s">
        <v>201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1:14" ht="12.75" customHeight="1" x14ac:dyDescent="0.2">
      <c r="A42" s="2" t="s">
        <v>202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8">
        <f>SUM(B42:K42)</f>
        <v>0</v>
      </c>
    </row>
    <row r="43" spans="1:14" ht="12.75" customHeight="1" x14ac:dyDescent="0.2">
      <c r="A43" s="2" t="s">
        <v>203</v>
      </c>
      <c r="B43" s="87"/>
      <c r="C43" s="87"/>
      <c r="D43" s="87"/>
      <c r="E43" s="126"/>
      <c r="F43" s="87"/>
      <c r="G43" s="87"/>
      <c r="H43" s="87"/>
      <c r="I43" s="87"/>
      <c r="J43" s="89"/>
      <c r="K43" s="87"/>
      <c r="L43" s="88">
        <f>SUM(B43:K43)</f>
        <v>0</v>
      </c>
    </row>
    <row r="44" spans="1:14" ht="12.75" customHeight="1" x14ac:dyDescent="0.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1:14" ht="12.75" customHeight="1" x14ac:dyDescent="0.2">
      <c r="A45" s="2" t="s">
        <v>204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1:14" ht="12.75" customHeight="1" x14ac:dyDescent="0.2">
      <c r="A46" s="2" t="s">
        <v>205</v>
      </c>
      <c r="B46" s="90">
        <f t="shared" ref="B46:K46" si="3">SUM(B42:B43)</f>
        <v>0</v>
      </c>
      <c r="C46" s="90">
        <f t="shared" si="3"/>
        <v>0</v>
      </c>
      <c r="D46" s="90">
        <f t="shared" si="3"/>
        <v>0</v>
      </c>
      <c r="E46" s="90">
        <f t="shared" si="3"/>
        <v>0</v>
      </c>
      <c r="F46" s="90">
        <f t="shared" si="3"/>
        <v>0</v>
      </c>
      <c r="G46" s="90">
        <f t="shared" si="3"/>
        <v>0</v>
      </c>
      <c r="H46" s="90">
        <f t="shared" si="3"/>
        <v>0</v>
      </c>
      <c r="I46" s="90">
        <f t="shared" si="3"/>
        <v>0</v>
      </c>
      <c r="J46" s="90">
        <f t="shared" si="3"/>
        <v>0</v>
      </c>
      <c r="K46" s="90">
        <f t="shared" si="3"/>
        <v>0</v>
      </c>
      <c r="L46" s="90">
        <f>SUM(L42:L43)</f>
        <v>0</v>
      </c>
    </row>
    <row r="47" spans="1:14" ht="12.75" customHeight="1" x14ac:dyDescent="0.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1:14" ht="12.75" customHeight="1" x14ac:dyDescent="0.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1:12" ht="12.75" customHeight="1" x14ac:dyDescent="0.2">
      <c r="A49" s="2" t="s">
        <v>206</v>
      </c>
      <c r="B49" s="88">
        <f t="shared" ref="B49:K49" si="4">+B39+B46</f>
        <v>43982.610000000335</v>
      </c>
      <c r="C49" s="88">
        <f t="shared" si="4"/>
        <v>94702.289999999979</v>
      </c>
      <c r="D49" s="88">
        <f t="shared" si="4"/>
        <v>33745.69000000041</v>
      </c>
      <c r="E49" s="88">
        <f t="shared" si="4"/>
        <v>149601.09999999986</v>
      </c>
      <c r="F49" s="88">
        <f t="shared" si="4"/>
        <v>1706237.6200000029</v>
      </c>
      <c r="G49" s="88">
        <f t="shared" si="4"/>
        <v>20763.160000000033</v>
      </c>
      <c r="H49" s="88">
        <f t="shared" si="4"/>
        <v>2498663.8699999996</v>
      </c>
      <c r="I49" s="88">
        <f t="shared" si="4"/>
        <v>13387.40000000014</v>
      </c>
      <c r="J49" s="88">
        <f t="shared" si="4"/>
        <v>-1194835.7799999984</v>
      </c>
      <c r="K49" s="88">
        <f t="shared" si="4"/>
        <v>0</v>
      </c>
      <c r="L49" s="88">
        <f>+L39+L46</f>
        <v>3380713.1200000048</v>
      </c>
    </row>
    <row r="50" spans="1:12" ht="12.75" customHeight="1" x14ac:dyDescent="0.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1:12" ht="12.75" customHeight="1" x14ac:dyDescent="0.2">
      <c r="A51" s="2" t="s">
        <v>207</v>
      </c>
      <c r="B51" s="89">
        <v>-89314.5</v>
      </c>
      <c r="C51" s="89">
        <v>288.89999999999998</v>
      </c>
      <c r="D51" s="89">
        <f>356142.77+154502.49</f>
        <v>510645.26</v>
      </c>
      <c r="E51" s="89">
        <f>1277187.66-86987.66</f>
        <v>1190200</v>
      </c>
      <c r="F51" s="89">
        <f>2225480.98-1300036.55</f>
        <v>925444.42999999993</v>
      </c>
      <c r="G51" s="89">
        <f>179553.45-6897.14</f>
        <v>172656.31</v>
      </c>
      <c r="H51" s="89">
        <f>4734752.91-2416347.83</f>
        <v>2318405.08</v>
      </c>
      <c r="I51" s="89">
        <f>90713.89+40044</f>
        <v>130757.89</v>
      </c>
      <c r="J51" s="89">
        <f>1985950.99-420495.47-144167.22-144167.22+38039.68</f>
        <v>1315160.76</v>
      </c>
      <c r="K51" s="89">
        <v>890194.95</v>
      </c>
      <c r="L51" s="88">
        <f>SUM(B51:K51)</f>
        <v>7364439.0800000001</v>
      </c>
    </row>
    <row r="52" spans="1:12" ht="12.75" customHeight="1" x14ac:dyDescent="0.2">
      <c r="A52" s="101" t="s">
        <v>361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1:12" ht="12.75" customHeight="1" x14ac:dyDescent="0.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1:12" ht="13.5" customHeight="1" thickBot="1" x14ac:dyDescent="0.25">
      <c r="A54" s="2" t="s">
        <v>208</v>
      </c>
      <c r="B54" s="127">
        <f t="shared" ref="B54:K54" si="5">+B49+B51</f>
        <v>-45331.889999999665</v>
      </c>
      <c r="C54" s="127">
        <f t="shared" si="5"/>
        <v>94991.189999999973</v>
      </c>
      <c r="D54" s="127">
        <f t="shared" si="5"/>
        <v>544390.95000000042</v>
      </c>
      <c r="E54" s="127">
        <f t="shared" si="5"/>
        <v>1339801.0999999999</v>
      </c>
      <c r="F54" s="127">
        <f t="shared" si="5"/>
        <v>2631682.0500000026</v>
      </c>
      <c r="G54" s="127">
        <f t="shared" si="5"/>
        <v>193419.47000000003</v>
      </c>
      <c r="H54" s="127">
        <f t="shared" si="5"/>
        <v>4817068.9499999993</v>
      </c>
      <c r="I54" s="127">
        <f t="shared" si="5"/>
        <v>144145.29000000015</v>
      </c>
      <c r="J54" s="127">
        <f t="shared" si="5"/>
        <v>120324.98000000161</v>
      </c>
      <c r="K54" s="127">
        <f t="shared" si="5"/>
        <v>890194.95</v>
      </c>
      <c r="L54" s="127">
        <f>+L49+L51</f>
        <v>10745152.200000005</v>
      </c>
    </row>
    <row r="55" spans="1:12" ht="13.5" customHeight="1" thickTop="1" x14ac:dyDescent="0.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1:12" ht="12.75" customHeight="1" x14ac:dyDescent="0.2">
      <c r="B56" s="99"/>
      <c r="C56" s="99"/>
      <c r="D56" s="99"/>
      <c r="E56" s="99"/>
      <c r="F56" s="64"/>
      <c r="G56" s="65"/>
      <c r="H56" s="64"/>
      <c r="I56" s="64"/>
      <c r="J56" s="36"/>
      <c r="K56" s="86"/>
      <c r="L56" s="110"/>
    </row>
    <row r="57" spans="1:12" ht="12.75" customHeight="1" x14ac:dyDescent="0.2">
      <c r="E57" s="103"/>
      <c r="F57" s="103"/>
      <c r="G57" s="103"/>
      <c r="H57" s="103"/>
      <c r="J57" s="103"/>
    </row>
    <row r="58" spans="1:12" ht="12.75" customHeight="1" x14ac:dyDescent="0.2"/>
    <row r="59" spans="1:12" ht="12.75" customHeight="1" x14ac:dyDescent="0.2"/>
    <row r="60" spans="1:12" ht="12.75" customHeight="1" x14ac:dyDescent="0.2"/>
    <row r="61" spans="1:12" ht="12.75" customHeight="1" x14ac:dyDescent="0.2"/>
    <row r="62" spans="1:12" ht="12.75" customHeight="1" x14ac:dyDescent="0.2"/>
    <row r="63" spans="1:12" ht="12.75" customHeight="1" x14ac:dyDescent="0.2"/>
    <row r="64" spans="1:12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00"/>
  <sheetViews>
    <sheetView topLeftCell="A22" workbookViewId="0">
      <selection activeCell="B45" sqref="B45"/>
    </sheetView>
  </sheetViews>
  <sheetFormatPr defaultColWidth="14.42578125" defaultRowHeight="15" customHeight="1" x14ac:dyDescent="0.2"/>
  <cols>
    <col min="1" max="1" width="39.140625" customWidth="1"/>
    <col min="2" max="2" width="38.7109375" customWidth="1"/>
    <col min="3" max="3" width="24.85546875" customWidth="1"/>
    <col min="4" max="4" width="36.42578125" customWidth="1"/>
    <col min="5" max="5" width="19.5703125" customWidth="1"/>
    <col min="6" max="6" width="12.140625" customWidth="1"/>
    <col min="7" max="7" width="13.42578125" customWidth="1"/>
    <col min="8" max="26" width="8" customWidth="1"/>
  </cols>
  <sheetData>
    <row r="1" spans="1:12" ht="18" customHeight="1" x14ac:dyDescent="0.25">
      <c r="A1" s="24" t="s">
        <v>34</v>
      </c>
      <c r="B1" s="54">
        <f>'Signature Page'!$B$10</f>
        <v>0</v>
      </c>
    </row>
    <row r="2" spans="1:12" ht="18" customHeight="1" x14ac:dyDescent="0.25">
      <c r="A2" s="24" t="s">
        <v>57</v>
      </c>
      <c r="B2" s="25" t="str">
        <f>'Governmental Funds'!B2</f>
        <v>2018-2019</v>
      </c>
    </row>
    <row r="3" spans="1:12" ht="18" customHeight="1" x14ac:dyDescent="0.25">
      <c r="C3" s="55" t="s">
        <v>209</v>
      </c>
      <c r="D3" s="67"/>
    </row>
    <row r="4" spans="1:12" ht="15.75" customHeight="1" x14ac:dyDescent="0.25">
      <c r="C4" s="46" t="s">
        <v>210</v>
      </c>
    </row>
    <row r="5" spans="1:12" ht="15.75" customHeight="1" x14ac:dyDescent="0.25">
      <c r="C5" s="46"/>
    </row>
    <row r="6" spans="1:12" ht="12.75" customHeight="1" x14ac:dyDescent="0.2">
      <c r="A6" s="2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 customHeight="1" x14ac:dyDescent="0.2">
      <c r="A7" s="2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 customHeight="1" x14ac:dyDescent="0.2">
      <c r="A8" s="2" t="s">
        <v>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 customHeight="1" x14ac:dyDescent="0.2">
      <c r="A9" s="2" t="s">
        <v>10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.75" customHeight="1" x14ac:dyDescent="0.25">
      <c r="C10" s="68"/>
    </row>
    <row r="11" spans="1:12" ht="12.75" customHeight="1" x14ac:dyDescent="0.2">
      <c r="B11" s="31" t="s">
        <v>211</v>
      </c>
      <c r="C11" s="69" t="s">
        <v>212</v>
      </c>
      <c r="D11" s="69"/>
    </row>
    <row r="12" spans="1:12" ht="12.75" customHeight="1" x14ac:dyDescent="0.2">
      <c r="B12" s="31" t="s">
        <v>213</v>
      </c>
      <c r="C12" s="69" t="s">
        <v>214</v>
      </c>
      <c r="D12" s="69" t="s">
        <v>215</v>
      </c>
      <c r="F12" s="69"/>
      <c r="G12" s="69"/>
    </row>
    <row r="13" spans="1:12" ht="12.75" customHeight="1" x14ac:dyDescent="0.2">
      <c r="B13" s="59" t="s">
        <v>216</v>
      </c>
      <c r="C13" s="69" t="s">
        <v>217</v>
      </c>
      <c r="D13" s="69" t="s">
        <v>216</v>
      </c>
      <c r="F13" s="69"/>
      <c r="G13" s="69"/>
    </row>
    <row r="14" spans="1:12" ht="12.75" customHeight="1" x14ac:dyDescent="0.2">
      <c r="A14" s="2" t="s">
        <v>218</v>
      </c>
      <c r="F14" s="69"/>
      <c r="G14" s="69"/>
    </row>
    <row r="15" spans="1:12" ht="12.75" customHeight="1" x14ac:dyDescent="0.2">
      <c r="A15" s="28" t="s">
        <v>219</v>
      </c>
      <c r="B15" s="94">
        <v>10699.85</v>
      </c>
      <c r="C15" s="70"/>
      <c r="D15" s="91">
        <f t="shared" ref="D15:D23" si="0">+B15+C15</f>
        <v>10699.85</v>
      </c>
    </row>
    <row r="16" spans="1:12" ht="12.75" customHeight="1" x14ac:dyDescent="0.2">
      <c r="A16" s="28" t="s">
        <v>220</v>
      </c>
      <c r="B16" s="94">
        <f>17484818.61-B18-B15-B22</f>
        <v>15955160.85</v>
      </c>
      <c r="C16" s="70"/>
      <c r="D16" s="91">
        <f t="shared" si="0"/>
        <v>15955160.85</v>
      </c>
    </row>
    <row r="17" spans="1:4" ht="12.75" customHeight="1" x14ac:dyDescent="0.2">
      <c r="A17" s="28" t="s">
        <v>221</v>
      </c>
      <c r="B17" s="94">
        <v>0</v>
      </c>
      <c r="C17" s="70"/>
      <c r="D17" s="91">
        <f t="shared" si="0"/>
        <v>0</v>
      </c>
    </row>
    <row r="18" spans="1:4" ht="12.75" customHeight="1" x14ac:dyDescent="0.2">
      <c r="A18" s="28" t="s">
        <v>222</v>
      </c>
      <c r="B18" s="94">
        <v>1475100.02</v>
      </c>
      <c r="C18" s="70"/>
      <c r="D18" s="91">
        <f t="shared" si="0"/>
        <v>1475100.02</v>
      </c>
    </row>
    <row r="19" spans="1:4" ht="12.75" customHeight="1" x14ac:dyDescent="0.2">
      <c r="A19" s="28" t="s">
        <v>223</v>
      </c>
      <c r="B19" s="94">
        <v>0</v>
      </c>
      <c r="C19" s="70"/>
      <c r="D19" s="91">
        <f t="shared" si="0"/>
        <v>0</v>
      </c>
    </row>
    <row r="20" spans="1:4" ht="12.75" customHeight="1" x14ac:dyDescent="0.2">
      <c r="A20" s="28" t="s">
        <v>224</v>
      </c>
      <c r="B20" s="94">
        <v>0</v>
      </c>
      <c r="C20" s="70"/>
      <c r="D20" s="91">
        <f t="shared" si="0"/>
        <v>0</v>
      </c>
    </row>
    <row r="21" spans="1:4" ht="12.75" customHeight="1" x14ac:dyDescent="0.2">
      <c r="A21" s="28" t="s">
        <v>225</v>
      </c>
      <c r="B21" s="94">
        <f>35270785.27-17484818.61-1429263.55-4263378.54-5596560.4</f>
        <v>6496764.1700000037</v>
      </c>
      <c r="C21" s="70"/>
      <c r="D21" s="91">
        <f t="shared" si="0"/>
        <v>6496764.1700000037</v>
      </c>
    </row>
    <row r="22" spans="1:4" ht="12.75" customHeight="1" x14ac:dyDescent="0.2">
      <c r="A22" s="28" t="s">
        <v>226</v>
      </c>
      <c r="B22" s="94">
        <f>46671.93-2814.04</f>
        <v>43857.89</v>
      </c>
      <c r="C22" s="70"/>
      <c r="D22" s="91">
        <f t="shared" si="0"/>
        <v>43857.89</v>
      </c>
    </row>
    <row r="23" spans="1:4" ht="12.75" customHeight="1" x14ac:dyDescent="0.2">
      <c r="A23" s="28" t="s">
        <v>227</v>
      </c>
      <c r="B23" s="95">
        <v>0</v>
      </c>
      <c r="C23" s="70"/>
      <c r="D23" s="98">
        <f t="shared" si="0"/>
        <v>0</v>
      </c>
    </row>
    <row r="24" spans="1:4" ht="12.75" customHeight="1" x14ac:dyDescent="0.2">
      <c r="A24" s="75" t="s">
        <v>228</v>
      </c>
      <c r="B24" s="91">
        <f>SUM(B15:B23)</f>
        <v>23981582.780000001</v>
      </c>
      <c r="C24" s="70"/>
      <c r="D24" s="91">
        <f>SUM(D15:D23)</f>
        <v>23981582.780000001</v>
      </c>
    </row>
    <row r="25" spans="1:4" ht="12.75" customHeight="1" x14ac:dyDescent="0.2">
      <c r="B25" s="87"/>
      <c r="C25" s="70"/>
      <c r="D25" s="87"/>
    </row>
    <row r="26" spans="1:4" ht="12.75" customHeight="1" x14ac:dyDescent="0.2">
      <c r="A26" s="2" t="s">
        <v>229</v>
      </c>
      <c r="B26" s="87"/>
      <c r="C26" s="70"/>
      <c r="D26" s="87"/>
    </row>
    <row r="27" spans="1:4" ht="12.75" customHeight="1" x14ac:dyDescent="0.2">
      <c r="A27" s="28" t="s">
        <v>230</v>
      </c>
      <c r="B27" s="94">
        <v>399774.47</v>
      </c>
      <c r="C27" s="70"/>
      <c r="D27" s="91">
        <f>+B27+C27</f>
        <v>399774.47</v>
      </c>
    </row>
    <row r="28" spans="1:4" ht="12.75" customHeight="1" x14ac:dyDescent="0.2">
      <c r="A28" s="28" t="s">
        <v>231</v>
      </c>
      <c r="B28" s="95">
        <v>1029489.08</v>
      </c>
      <c r="C28" s="70"/>
      <c r="D28" s="98">
        <f>+B28+C28</f>
        <v>1029489.08</v>
      </c>
    </row>
    <row r="29" spans="1:4" ht="12.75" customHeight="1" x14ac:dyDescent="0.2">
      <c r="A29" s="75" t="s">
        <v>232</v>
      </c>
      <c r="B29" s="91">
        <f>SUM(B27:B28)</f>
        <v>1429263.5499999998</v>
      </c>
      <c r="C29" s="70"/>
      <c r="D29" s="91">
        <f>SUM(D27:D28)</f>
        <v>1429263.5499999998</v>
      </c>
    </row>
    <row r="30" spans="1:4" ht="12.75" customHeight="1" x14ac:dyDescent="0.2">
      <c r="B30" s="87"/>
      <c r="C30" s="70"/>
      <c r="D30" s="87"/>
    </row>
    <row r="31" spans="1:4" ht="12.75" customHeight="1" x14ac:dyDescent="0.2">
      <c r="A31" s="2" t="s">
        <v>233</v>
      </c>
      <c r="B31" s="87"/>
      <c r="C31" s="70"/>
      <c r="D31" s="87"/>
    </row>
    <row r="32" spans="1:4" ht="12.75" customHeight="1" x14ac:dyDescent="0.2">
      <c r="A32" s="28" t="s">
        <v>234</v>
      </c>
      <c r="B32" s="94">
        <v>1262540.6499999999</v>
      </c>
      <c r="C32" s="70"/>
      <c r="D32" s="91">
        <f>+B32+C32</f>
        <v>1262540.6499999999</v>
      </c>
    </row>
    <row r="33" spans="1:5" ht="12.75" customHeight="1" x14ac:dyDescent="0.2">
      <c r="A33" s="28" t="s">
        <v>235</v>
      </c>
      <c r="B33" s="94">
        <v>796308.76</v>
      </c>
      <c r="C33" s="70"/>
      <c r="D33" s="91">
        <f>+B33+C33</f>
        <v>796308.76</v>
      </c>
    </row>
    <row r="34" spans="1:5" ht="12.75" customHeight="1" x14ac:dyDescent="0.2">
      <c r="A34" s="28" t="s">
        <v>236</v>
      </c>
      <c r="B34" s="94">
        <v>0</v>
      </c>
      <c r="C34" s="70"/>
      <c r="D34" s="91">
        <f>+B34+C34</f>
        <v>0</v>
      </c>
    </row>
    <row r="35" spans="1:5" ht="12.75" customHeight="1" x14ac:dyDescent="0.2">
      <c r="A35" s="28" t="s">
        <v>237</v>
      </c>
      <c r="B35" s="94">
        <v>2041159.37</v>
      </c>
      <c r="C35" s="70"/>
      <c r="D35" s="91">
        <v>2041159.37</v>
      </c>
    </row>
    <row r="36" spans="1:5" ht="12.75" customHeight="1" x14ac:dyDescent="0.2">
      <c r="A36" s="28" t="s">
        <v>238</v>
      </c>
      <c r="B36" s="95">
        <f>3853369.76-3690000</f>
        <v>163369.75999999978</v>
      </c>
      <c r="C36" s="70"/>
      <c r="D36" s="98">
        <f>+B36+C36</f>
        <v>163369.75999999978</v>
      </c>
    </row>
    <row r="37" spans="1:5" ht="12.75" customHeight="1" x14ac:dyDescent="0.2">
      <c r="A37" s="75" t="s">
        <v>239</v>
      </c>
      <c r="B37" s="91">
        <f>SUM(B32:B36)</f>
        <v>4263378.54</v>
      </c>
      <c r="C37" s="70"/>
      <c r="D37" s="91">
        <f>SUM(D32:D36)</f>
        <v>4263378.54</v>
      </c>
    </row>
    <row r="38" spans="1:5" ht="12.75" customHeight="1" x14ac:dyDescent="0.2">
      <c r="B38" s="87"/>
      <c r="C38" s="70"/>
      <c r="D38" s="87"/>
    </row>
    <row r="39" spans="1:5" ht="12.75" customHeight="1" x14ac:dyDescent="0.2">
      <c r="A39" s="2" t="s">
        <v>240</v>
      </c>
      <c r="B39" s="87"/>
      <c r="C39" s="70"/>
      <c r="D39" s="87"/>
    </row>
    <row r="40" spans="1:5" ht="12.75" customHeight="1" x14ac:dyDescent="0.2">
      <c r="A40" s="28" t="s">
        <v>241</v>
      </c>
      <c r="B40" s="94">
        <v>0</v>
      </c>
      <c r="C40" s="70"/>
      <c r="D40" s="91">
        <f>+B40+C40</f>
        <v>0</v>
      </c>
    </row>
    <row r="41" spans="1:5" ht="12.75" customHeight="1" x14ac:dyDescent="0.2">
      <c r="A41" s="28" t="s">
        <v>242</v>
      </c>
      <c r="B41" s="96">
        <v>5596560.4000000004</v>
      </c>
      <c r="C41" s="70"/>
      <c r="D41" s="91">
        <v>5596560.4000000004</v>
      </c>
    </row>
    <row r="42" spans="1:5" ht="12.75" customHeight="1" x14ac:dyDescent="0.2">
      <c r="A42" s="28" t="s">
        <v>243</v>
      </c>
      <c r="B42" s="95">
        <v>0</v>
      </c>
      <c r="C42" s="70"/>
      <c r="D42" s="98">
        <f>+B42+C42</f>
        <v>0</v>
      </c>
    </row>
    <row r="43" spans="1:5" ht="12.75" customHeight="1" x14ac:dyDescent="0.2">
      <c r="A43" s="75" t="s">
        <v>244</v>
      </c>
      <c r="B43" s="91">
        <f>SUM(B40:B42)</f>
        <v>5596560.4000000004</v>
      </c>
      <c r="C43" s="70"/>
      <c r="D43" s="91">
        <f>SUM(D40:D42)</f>
        <v>5596560.4000000004</v>
      </c>
    </row>
    <row r="44" spans="1:5" ht="12.75" customHeight="1" x14ac:dyDescent="0.2">
      <c r="B44" s="87"/>
      <c r="C44" s="70"/>
      <c r="D44" s="87"/>
    </row>
    <row r="45" spans="1:5" ht="12.75" customHeight="1" x14ac:dyDescent="0.2">
      <c r="A45" s="75" t="s">
        <v>245</v>
      </c>
      <c r="B45" s="97">
        <f>+B24+B29+B37+B43</f>
        <v>35270785.270000003</v>
      </c>
      <c r="C45" s="77"/>
      <c r="D45" s="97">
        <f>+D24+D29+D37+D43</f>
        <v>35270785.270000003</v>
      </c>
    </row>
    <row r="46" spans="1:5" ht="13.5" customHeight="1" x14ac:dyDescent="0.2"/>
    <row r="47" spans="1:5" ht="136.5" customHeight="1" x14ac:dyDescent="0.2">
      <c r="B47" s="78" t="s">
        <v>246</v>
      </c>
      <c r="D47" s="78" t="s">
        <v>247</v>
      </c>
      <c r="E47" s="2"/>
    </row>
    <row r="48" spans="1:5" ht="12.75" customHeight="1" x14ac:dyDescent="0.2">
      <c r="B48" s="2"/>
      <c r="D48" s="2"/>
      <c r="E48" s="2"/>
    </row>
    <row r="49" spans="2:5" ht="12.75" customHeight="1" x14ac:dyDescent="0.2">
      <c r="B49" s="2"/>
      <c r="D49" s="2"/>
      <c r="E49" s="2"/>
    </row>
    <row r="50" spans="2:5" ht="12.75" customHeight="1" x14ac:dyDescent="0.2">
      <c r="B50" s="2"/>
      <c r="D50" s="2"/>
      <c r="E50" s="2"/>
    </row>
    <row r="51" spans="2:5" ht="12.75" customHeight="1" x14ac:dyDescent="0.2">
      <c r="B51" s="2"/>
      <c r="D51" s="2"/>
      <c r="E51" s="2"/>
    </row>
    <row r="52" spans="2:5" ht="12.75" customHeight="1" x14ac:dyDescent="0.2">
      <c r="B52" s="2"/>
      <c r="D52" s="2"/>
      <c r="E52" s="2"/>
    </row>
    <row r="53" spans="2:5" ht="12.75" customHeight="1" x14ac:dyDescent="0.2">
      <c r="B53" s="2"/>
    </row>
    <row r="54" spans="2:5" ht="12.75" customHeight="1" x14ac:dyDescent="0.2">
      <c r="B54" s="2"/>
    </row>
    <row r="55" spans="2:5" ht="12.75" customHeight="1" x14ac:dyDescent="0.2">
      <c r="B55" s="2"/>
    </row>
    <row r="56" spans="2:5" ht="12.75" customHeight="1" x14ac:dyDescent="0.2"/>
    <row r="57" spans="2:5" ht="12.75" customHeight="1" x14ac:dyDescent="0.2"/>
    <row r="58" spans="2:5" ht="12.75" customHeight="1" x14ac:dyDescent="0.2"/>
    <row r="59" spans="2:5" ht="12.75" customHeight="1" x14ac:dyDescent="0.2"/>
    <row r="60" spans="2:5" ht="12.75" customHeight="1" x14ac:dyDescent="0.2"/>
    <row r="61" spans="2:5" ht="12.75" customHeight="1" x14ac:dyDescent="0.2"/>
    <row r="62" spans="2:5" ht="12.75" customHeight="1" x14ac:dyDescent="0.2"/>
    <row r="63" spans="2:5" ht="12.75" customHeight="1" x14ac:dyDescent="0.2"/>
    <row r="64" spans="2: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00"/>
  <sheetViews>
    <sheetView topLeftCell="B7" workbookViewId="0">
      <selection activeCell="I20" sqref="I20"/>
    </sheetView>
  </sheetViews>
  <sheetFormatPr defaultColWidth="14.42578125" defaultRowHeight="15" customHeight="1" x14ac:dyDescent="0.2"/>
  <cols>
    <col min="1" max="1" width="45.140625" customWidth="1"/>
    <col min="2" max="8" width="13.42578125" customWidth="1"/>
    <col min="9" max="9" width="15.5703125" customWidth="1"/>
    <col min="10" max="10" width="13.42578125" customWidth="1"/>
    <col min="11" max="11" width="22.85546875" customWidth="1"/>
    <col min="12" max="26" width="8" customWidth="1"/>
  </cols>
  <sheetData>
    <row r="1" spans="1:12" ht="18" customHeight="1" x14ac:dyDescent="0.25">
      <c r="A1" s="24" t="s">
        <v>34</v>
      </c>
      <c r="B1" s="54">
        <f>'Signature Page'!$B$10</f>
        <v>0</v>
      </c>
    </row>
    <row r="2" spans="1:12" ht="18" customHeight="1" x14ac:dyDescent="0.25">
      <c r="A2" s="24" t="s">
        <v>57</v>
      </c>
      <c r="B2" s="25" t="str">
        <f>Revenues!B2</f>
        <v>2018-2019</v>
      </c>
    </row>
    <row r="3" spans="1:12" ht="18" customHeight="1" x14ac:dyDescent="0.25">
      <c r="C3" s="55" t="s">
        <v>209</v>
      </c>
      <c r="D3" s="31"/>
      <c r="E3" s="31"/>
      <c r="F3" s="31"/>
      <c r="G3" s="31"/>
      <c r="H3" s="31"/>
      <c r="J3" s="67"/>
    </row>
    <row r="4" spans="1:12" ht="15.75" customHeight="1" x14ac:dyDescent="0.25">
      <c r="C4" s="46" t="s">
        <v>248</v>
      </c>
    </row>
    <row r="5" spans="1:12" ht="15.75" customHeight="1" x14ac:dyDescent="0.25">
      <c r="J5" s="68"/>
    </row>
    <row r="6" spans="1:12" ht="12.75" customHeight="1" x14ac:dyDescent="0.2">
      <c r="I6" s="69" t="s">
        <v>160</v>
      </c>
      <c r="J6" s="69" t="s">
        <v>249</v>
      </c>
      <c r="K6" s="69"/>
    </row>
    <row r="7" spans="1:12" ht="12.75" customHeight="1" x14ac:dyDescent="0.2">
      <c r="B7" s="31" t="s">
        <v>250</v>
      </c>
      <c r="C7" s="31" t="s">
        <v>251</v>
      </c>
      <c r="D7" s="31" t="s">
        <v>252</v>
      </c>
      <c r="E7" s="31" t="s">
        <v>253</v>
      </c>
      <c r="F7" s="31" t="s">
        <v>254</v>
      </c>
      <c r="G7" s="31" t="s">
        <v>255</v>
      </c>
      <c r="H7" s="31" t="s">
        <v>162</v>
      </c>
      <c r="I7" s="69" t="s">
        <v>256</v>
      </c>
      <c r="J7" s="69" t="s">
        <v>214</v>
      </c>
      <c r="K7" s="69" t="s">
        <v>257</v>
      </c>
    </row>
    <row r="8" spans="1:12" ht="12.75" customHeight="1" x14ac:dyDescent="0.2">
      <c r="B8" s="2"/>
      <c r="C8" s="31" t="s">
        <v>258</v>
      </c>
      <c r="D8" s="31" t="s">
        <v>175</v>
      </c>
      <c r="E8" s="31" t="s">
        <v>259</v>
      </c>
      <c r="F8" s="31" t="s">
        <v>260</v>
      </c>
      <c r="G8" s="2"/>
      <c r="H8" s="2"/>
      <c r="I8" s="69" t="s">
        <v>261</v>
      </c>
      <c r="J8" s="69" t="s">
        <v>262</v>
      </c>
      <c r="K8" s="69" t="s">
        <v>261</v>
      </c>
    </row>
    <row r="9" spans="1:12" ht="14.25" customHeight="1" x14ac:dyDescent="0.2">
      <c r="A9" s="79" t="s">
        <v>263</v>
      </c>
      <c r="B9" s="91"/>
      <c r="C9" s="91"/>
      <c r="D9" s="91"/>
      <c r="E9" s="91"/>
      <c r="F9" s="91"/>
      <c r="G9" s="91"/>
      <c r="H9" s="91"/>
      <c r="I9" s="87"/>
      <c r="J9" s="87"/>
      <c r="K9" s="87"/>
      <c r="L9" s="87"/>
    </row>
    <row r="10" spans="1:12" ht="12.75" customHeight="1" x14ac:dyDescent="0.2">
      <c r="A10" s="28" t="s">
        <v>265</v>
      </c>
      <c r="B10" s="94"/>
      <c r="C10" s="94"/>
      <c r="D10" s="94">
        <f>189398.37+26688.13</f>
        <v>216086.5</v>
      </c>
      <c r="E10" s="94"/>
      <c r="F10" s="94"/>
      <c r="G10" s="94"/>
      <c r="H10" s="94"/>
      <c r="I10" s="91">
        <f>SUM(B10:H10)</f>
        <v>216086.5</v>
      </c>
      <c r="J10" s="91"/>
      <c r="K10" s="91">
        <f>+I10+J10</f>
        <v>216086.5</v>
      </c>
      <c r="L10" s="87"/>
    </row>
    <row r="11" spans="1:12" ht="12.75" customHeight="1" x14ac:dyDescent="0.2">
      <c r="A11" s="28" t="s">
        <v>273</v>
      </c>
      <c r="B11" s="95">
        <v>4725994.18</v>
      </c>
      <c r="C11" s="95">
        <v>2258640.67</v>
      </c>
      <c r="D11" s="95">
        <f>714950.95-216086.5</f>
        <v>498864.44999999995</v>
      </c>
      <c r="E11" s="95">
        <v>49549.35</v>
      </c>
      <c r="F11" s="95">
        <f>76725</f>
        <v>76725</v>
      </c>
      <c r="G11" s="95">
        <v>0</v>
      </c>
      <c r="H11" s="95">
        <v>6968.9</v>
      </c>
      <c r="I11" s="98">
        <f>SUM(B11:H11)</f>
        <v>7616742.5499999998</v>
      </c>
      <c r="J11" s="118">
        <v>409266.01</v>
      </c>
      <c r="K11" s="98">
        <f>+I11+J11</f>
        <v>8026008.5599999996</v>
      </c>
      <c r="L11" s="87"/>
    </row>
    <row r="12" spans="1:12" ht="12.75" customHeight="1" x14ac:dyDescent="0.2">
      <c r="A12" s="75" t="s">
        <v>276</v>
      </c>
      <c r="B12" s="91">
        <f t="shared" ref="B12:H12" si="0">SUM(B10:B11)</f>
        <v>4725994.18</v>
      </c>
      <c r="C12" s="91">
        <f t="shared" si="0"/>
        <v>2258640.67</v>
      </c>
      <c r="D12" s="91">
        <f t="shared" si="0"/>
        <v>714950.95</v>
      </c>
      <c r="E12" s="91">
        <f t="shared" si="0"/>
        <v>49549.35</v>
      </c>
      <c r="F12" s="91">
        <f t="shared" si="0"/>
        <v>76725</v>
      </c>
      <c r="G12" s="91">
        <f t="shared" si="0"/>
        <v>0</v>
      </c>
      <c r="H12" s="91">
        <f t="shared" si="0"/>
        <v>6968.9</v>
      </c>
      <c r="I12" s="91">
        <f>SUM(B12:H12)</f>
        <v>7832829.0499999998</v>
      </c>
      <c r="J12" s="91"/>
      <c r="K12" s="91">
        <f>SUM(K10:K11)</f>
        <v>8242095.0599999996</v>
      </c>
      <c r="L12" s="87"/>
    </row>
    <row r="13" spans="1:12" ht="14.25" customHeight="1" x14ac:dyDescent="0.2">
      <c r="A13" s="79" t="s">
        <v>277</v>
      </c>
      <c r="B13" s="87"/>
      <c r="C13" s="87"/>
      <c r="D13" s="87"/>
      <c r="E13" s="87"/>
      <c r="F13" s="87"/>
      <c r="G13" s="87"/>
      <c r="H13" s="87"/>
      <c r="I13" s="87"/>
      <c r="J13" s="91"/>
      <c r="K13" s="87"/>
      <c r="L13" s="87"/>
    </row>
    <row r="14" spans="1:12" ht="12.75" customHeight="1" x14ac:dyDescent="0.2">
      <c r="A14" s="53" t="s">
        <v>278</v>
      </c>
      <c r="B14" s="94">
        <v>2075184.9</v>
      </c>
      <c r="C14" s="94">
        <v>833265.83</v>
      </c>
      <c r="D14" s="94">
        <v>348863.86</v>
      </c>
      <c r="E14" s="94">
        <v>78634.210000000006</v>
      </c>
      <c r="F14" s="94">
        <v>0</v>
      </c>
      <c r="G14" s="94">
        <v>0</v>
      </c>
      <c r="H14" s="94">
        <v>1378</v>
      </c>
      <c r="I14" s="91">
        <f t="shared" ref="I14:I20" si="1">SUM(B14:H14)</f>
        <v>3337326.8</v>
      </c>
      <c r="J14" s="91">
        <v>179708.78</v>
      </c>
      <c r="K14" s="91">
        <f t="shared" ref="K14:K19" si="2">+I14+J14</f>
        <v>3517035.5799999996</v>
      </c>
      <c r="L14" s="87"/>
    </row>
    <row r="15" spans="1:12" ht="12.75" customHeight="1" x14ac:dyDescent="0.2">
      <c r="A15" s="53" t="s">
        <v>279</v>
      </c>
      <c r="B15" s="94">
        <v>3272647.22</v>
      </c>
      <c r="C15" s="94">
        <v>1115366.8799999999</v>
      </c>
      <c r="D15" s="94">
        <v>3798273.12</v>
      </c>
      <c r="E15" s="94">
        <v>261718.42</v>
      </c>
      <c r="F15" s="94">
        <v>0</v>
      </c>
      <c r="G15" s="94">
        <v>0</v>
      </c>
      <c r="H15" s="94">
        <v>39317.449999999997</v>
      </c>
      <c r="I15" s="91">
        <f t="shared" si="1"/>
        <v>8487323.0899999999</v>
      </c>
      <c r="J15" s="91">
        <v>283407.73</v>
      </c>
      <c r="K15" s="91">
        <f t="shared" si="2"/>
        <v>8770730.8200000003</v>
      </c>
      <c r="L15" s="87"/>
    </row>
    <row r="16" spans="1:12" ht="12.75" customHeight="1" x14ac:dyDescent="0.2">
      <c r="A16" s="53" t="s">
        <v>280</v>
      </c>
      <c r="B16" s="94">
        <v>290237.51</v>
      </c>
      <c r="C16" s="94">
        <v>90259.53</v>
      </c>
      <c r="D16" s="94">
        <f>20144.81+6528+119874.11+5824.51</f>
        <v>152371.43000000002</v>
      </c>
      <c r="E16" s="94">
        <f>25428.33</f>
        <v>25428.33</v>
      </c>
      <c r="F16" s="94">
        <v>0</v>
      </c>
      <c r="G16" s="94">
        <v>0</v>
      </c>
      <c r="H16" s="94">
        <v>14775.29</v>
      </c>
      <c r="I16" s="91">
        <f t="shared" si="1"/>
        <v>573072.09000000008</v>
      </c>
      <c r="J16" s="91">
        <v>25134.26</v>
      </c>
      <c r="K16" s="91">
        <f t="shared" si="2"/>
        <v>598206.35000000009</v>
      </c>
      <c r="L16" s="87"/>
    </row>
    <row r="17" spans="1:12" ht="12.75" customHeight="1" x14ac:dyDescent="0.2">
      <c r="A17" s="53" t="s">
        <v>281</v>
      </c>
      <c r="B17" s="94">
        <f>502163.48-3711.06</f>
        <v>498452.42</v>
      </c>
      <c r="C17" s="94">
        <f>156569.96-3574.72</f>
        <v>152995.24</v>
      </c>
      <c r="D17" s="94">
        <f>527872.23-73066.57</f>
        <v>454805.66</v>
      </c>
      <c r="E17" s="94">
        <f>23868.46+25573.34</f>
        <v>49441.8</v>
      </c>
      <c r="F17" s="94">
        <v>0</v>
      </c>
      <c r="G17" s="94">
        <v>0</v>
      </c>
      <c r="H17" s="94">
        <f>179210.87-177644.91</f>
        <v>1565.9599999999919</v>
      </c>
      <c r="I17" s="91">
        <f t="shared" si="1"/>
        <v>1157261.0799999998</v>
      </c>
      <c r="J17" s="91">
        <v>43165.440000000002</v>
      </c>
      <c r="K17" s="91">
        <f t="shared" si="2"/>
        <v>1200426.5199999998</v>
      </c>
      <c r="L17" s="87"/>
    </row>
    <row r="18" spans="1:12" ht="12.75" customHeight="1" x14ac:dyDescent="0.2">
      <c r="A18" s="53" t="s">
        <v>286</v>
      </c>
      <c r="B18" s="94">
        <v>3711.06</v>
      </c>
      <c r="C18" s="94">
        <v>3574.72</v>
      </c>
      <c r="D18" s="94">
        <v>73066.570000000007</v>
      </c>
      <c r="E18" s="94">
        <v>0</v>
      </c>
      <c r="F18" s="94">
        <v>0</v>
      </c>
      <c r="G18" s="94">
        <v>0</v>
      </c>
      <c r="H18" s="94">
        <v>177644.91</v>
      </c>
      <c r="I18" s="91">
        <f t="shared" si="1"/>
        <v>257997.26</v>
      </c>
      <c r="J18" s="91">
        <v>321.37</v>
      </c>
      <c r="K18" s="91">
        <f t="shared" si="2"/>
        <v>258318.63</v>
      </c>
      <c r="L18" s="87"/>
    </row>
    <row r="19" spans="1:12" ht="12.75" customHeight="1" x14ac:dyDescent="0.2">
      <c r="A19" s="53" t="s">
        <v>287</v>
      </c>
      <c r="B19" s="95">
        <f>489949.61+9899.56</f>
        <v>499849.17</v>
      </c>
      <c r="C19" s="95">
        <v>199853.6</v>
      </c>
      <c r="D19" s="95">
        <v>2874345.57</v>
      </c>
      <c r="E19" s="95">
        <v>302267.09000000003</v>
      </c>
      <c r="F19" s="95">
        <f>18687.27+7782.21</f>
        <v>26469.48</v>
      </c>
      <c r="G19" s="95">
        <v>0</v>
      </c>
      <c r="H19" s="95">
        <f>147083.43+2321134.79+1711167.17+32118.63+83480.6+2041159.29+5333.96</f>
        <v>6341477.8700000001</v>
      </c>
      <c r="I19" s="98">
        <f t="shared" si="1"/>
        <v>10244262.779999999</v>
      </c>
      <c r="J19" s="111">
        <v>-1699999.4</v>
      </c>
      <c r="K19" s="98">
        <f t="shared" si="2"/>
        <v>8544263.379999999</v>
      </c>
      <c r="L19" s="87"/>
    </row>
    <row r="20" spans="1:12" ht="12.75" customHeight="1" x14ac:dyDescent="0.2">
      <c r="A20" s="75" t="s">
        <v>302</v>
      </c>
      <c r="B20" s="91">
        <f t="shared" ref="B20:H20" si="3">SUM(B14:B19)</f>
        <v>6640082.2799999993</v>
      </c>
      <c r="C20" s="91">
        <f t="shared" si="3"/>
        <v>2395315.8000000003</v>
      </c>
      <c r="D20" s="91">
        <f t="shared" si="3"/>
        <v>7701726.2100000009</v>
      </c>
      <c r="E20" s="91">
        <f t="shared" si="3"/>
        <v>717489.85000000009</v>
      </c>
      <c r="F20" s="91">
        <f t="shared" si="3"/>
        <v>26469.48</v>
      </c>
      <c r="G20" s="91">
        <f t="shared" si="3"/>
        <v>0</v>
      </c>
      <c r="H20" s="91">
        <f t="shared" si="3"/>
        <v>6576159.4800000004</v>
      </c>
      <c r="I20" s="91">
        <f t="shared" si="1"/>
        <v>24057243.100000001</v>
      </c>
      <c r="J20" s="91"/>
      <c r="K20" s="91">
        <f>SUM(K14:K19)</f>
        <v>22888981.280000001</v>
      </c>
      <c r="L20" s="87"/>
    </row>
    <row r="21" spans="1:12" ht="12.75" customHeight="1" x14ac:dyDescent="0.2">
      <c r="B21" s="83"/>
      <c r="I21" s="83"/>
      <c r="J21" s="70"/>
      <c r="K21" s="83"/>
    </row>
    <row r="22" spans="1:12" ht="14.25" customHeight="1" x14ac:dyDescent="0.2">
      <c r="A22" s="79" t="s">
        <v>307</v>
      </c>
      <c r="J22" s="70"/>
    </row>
    <row r="23" spans="1:12" ht="12.75" customHeight="1" x14ac:dyDescent="0.2">
      <c r="A23" s="28" t="s">
        <v>309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0">
        <f>SUM(B23:H23)</f>
        <v>0</v>
      </c>
      <c r="J23" s="70"/>
      <c r="K23" s="70">
        <f>+I23+J23</f>
        <v>0</v>
      </c>
    </row>
    <row r="24" spans="1:12" ht="12.75" customHeight="1" x14ac:dyDescent="0.2">
      <c r="A24" s="28" t="s">
        <v>310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0">
        <f>SUM(B24:H24)</f>
        <v>0</v>
      </c>
      <c r="J24" s="70"/>
      <c r="K24" s="70">
        <f>+I24+J24</f>
        <v>0</v>
      </c>
    </row>
    <row r="25" spans="1:12" ht="12.75" customHeight="1" x14ac:dyDescent="0.2">
      <c r="A25" s="28" t="s">
        <v>311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4">
        <f>SUM(B25:H25)</f>
        <v>0</v>
      </c>
      <c r="J25" s="70"/>
      <c r="K25" s="74">
        <f>+I25+J25</f>
        <v>0</v>
      </c>
    </row>
    <row r="26" spans="1:12" ht="12.75" customHeight="1" x14ac:dyDescent="0.2">
      <c r="A26" s="75" t="s">
        <v>312</v>
      </c>
      <c r="B26" s="70">
        <f t="shared" ref="B26:H26" si="4">SUM(B23:B25)</f>
        <v>0</v>
      </c>
      <c r="C26" s="70">
        <f t="shared" si="4"/>
        <v>0</v>
      </c>
      <c r="D26" s="70">
        <f t="shared" si="4"/>
        <v>0</v>
      </c>
      <c r="E26" s="70">
        <f t="shared" si="4"/>
        <v>0</v>
      </c>
      <c r="F26" s="70">
        <f t="shared" si="4"/>
        <v>0</v>
      </c>
      <c r="G26" s="70">
        <f t="shared" si="4"/>
        <v>0</v>
      </c>
      <c r="H26" s="70">
        <f t="shared" si="4"/>
        <v>0</v>
      </c>
      <c r="I26" s="70">
        <f>SUM(B26:H26)</f>
        <v>0</v>
      </c>
      <c r="J26" s="70"/>
      <c r="K26" s="70">
        <f>SUM(K23:K25)</f>
        <v>0</v>
      </c>
    </row>
    <row r="27" spans="1:12" ht="12.75" customHeight="1" x14ac:dyDescent="0.2">
      <c r="C27" s="70"/>
      <c r="J27" s="70"/>
    </row>
    <row r="28" spans="1:12" ht="14.25" customHeight="1" x14ac:dyDescent="0.2">
      <c r="A28" s="79" t="s">
        <v>313</v>
      </c>
      <c r="B28" s="72"/>
      <c r="C28" s="72"/>
      <c r="D28" s="72"/>
      <c r="E28" s="72"/>
      <c r="F28" s="72"/>
      <c r="G28" s="72"/>
      <c r="H28" s="72"/>
      <c r="J28" s="70"/>
    </row>
    <row r="29" spans="1:12" ht="12.75" customHeight="1" x14ac:dyDescent="0.2">
      <c r="A29" s="28" t="s">
        <v>314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0">
        <f>SUM(B29:H29)</f>
        <v>0</v>
      </c>
      <c r="J29" s="70"/>
      <c r="K29" s="70">
        <f>+I29+J29</f>
        <v>0</v>
      </c>
    </row>
    <row r="30" spans="1:12" ht="12.75" customHeight="1" x14ac:dyDescent="0.2">
      <c r="A30" s="28" t="s">
        <v>315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0">
        <f>SUM(B30:H30)</f>
        <v>0</v>
      </c>
      <c r="J30" s="70"/>
      <c r="K30" s="70">
        <f>+I30+J30</f>
        <v>0</v>
      </c>
    </row>
    <row r="31" spans="1:12" ht="12.75" customHeight="1" x14ac:dyDescent="0.2">
      <c r="A31" s="28" t="s">
        <v>317</v>
      </c>
      <c r="B31" s="73">
        <v>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4">
        <f>SUM(B31:H31)</f>
        <v>0</v>
      </c>
      <c r="J31" s="70"/>
      <c r="K31" s="74">
        <f>+I31+J31</f>
        <v>0</v>
      </c>
    </row>
    <row r="32" spans="1:12" ht="12.75" customHeight="1" x14ac:dyDescent="0.2">
      <c r="A32" s="75" t="s">
        <v>318</v>
      </c>
      <c r="B32" s="70">
        <f t="shared" ref="B32:H32" si="5">SUM(B28:B31)</f>
        <v>0</v>
      </c>
      <c r="C32" s="70">
        <f t="shared" si="5"/>
        <v>0</v>
      </c>
      <c r="D32" s="70">
        <f t="shared" si="5"/>
        <v>0</v>
      </c>
      <c r="E32" s="70">
        <f t="shared" si="5"/>
        <v>0</v>
      </c>
      <c r="F32" s="70">
        <f t="shared" si="5"/>
        <v>0</v>
      </c>
      <c r="G32" s="70">
        <f t="shared" si="5"/>
        <v>0</v>
      </c>
      <c r="H32" s="70">
        <f t="shared" si="5"/>
        <v>0</v>
      </c>
      <c r="I32" s="70">
        <f>SUM(B32:H32)</f>
        <v>0</v>
      </c>
      <c r="J32" s="70"/>
      <c r="K32" s="70">
        <f>SUM(K29:K31)</f>
        <v>0</v>
      </c>
    </row>
    <row r="33" spans="1:12" ht="12.75" customHeight="1" x14ac:dyDescent="0.2">
      <c r="J33" s="70"/>
    </row>
    <row r="34" spans="1:12" ht="12.75" customHeight="1" x14ac:dyDescent="0.2">
      <c r="A34" s="2" t="s">
        <v>320</v>
      </c>
      <c r="G34" s="72"/>
      <c r="J34" s="70"/>
    </row>
    <row r="35" spans="1:12" ht="12.75" customHeight="1" x14ac:dyDescent="0.2">
      <c r="A35" s="28" t="s">
        <v>321</v>
      </c>
      <c r="G35" s="72">
        <v>0</v>
      </c>
      <c r="I35" s="83">
        <f>SUM(G35)</f>
        <v>0</v>
      </c>
      <c r="J35" s="70"/>
      <c r="K35" s="70">
        <f>+I35+J35</f>
        <v>0</v>
      </c>
    </row>
    <row r="36" spans="1:12" ht="12.75" customHeight="1" x14ac:dyDescent="0.2">
      <c r="A36" s="28" t="s">
        <v>322</v>
      </c>
      <c r="B36" s="3"/>
      <c r="C36" s="3"/>
      <c r="D36" s="3"/>
      <c r="E36" s="3"/>
      <c r="F36" s="3"/>
      <c r="G36" s="73">
        <v>0</v>
      </c>
      <c r="H36" s="3"/>
      <c r="I36" s="84">
        <f>SUM(G36)</f>
        <v>0</v>
      </c>
      <c r="J36" s="70"/>
      <c r="K36" s="74">
        <f>+I36+J36</f>
        <v>0</v>
      </c>
    </row>
    <row r="37" spans="1:12" ht="12.75" customHeight="1" x14ac:dyDescent="0.2">
      <c r="A37" s="75" t="s">
        <v>323</v>
      </c>
      <c r="D37" s="76"/>
      <c r="G37" s="70">
        <f>SUM(G35:G36)</f>
        <v>0</v>
      </c>
      <c r="I37" s="85">
        <f>SUM(G37)</f>
        <v>0</v>
      </c>
      <c r="J37" s="70"/>
      <c r="K37" s="70">
        <f>SUM(K35:K36)</f>
        <v>0</v>
      </c>
    </row>
    <row r="38" spans="1:12" ht="12.75" customHeight="1" x14ac:dyDescent="0.2">
      <c r="J38" s="70"/>
    </row>
    <row r="39" spans="1:12" ht="13.5" customHeight="1" thickBot="1" x14ac:dyDescent="0.25">
      <c r="A39" s="44" t="s">
        <v>324</v>
      </c>
      <c r="I39" s="112">
        <f>+I12+I20+I26+I32+I37</f>
        <v>31890072.150000002</v>
      </c>
      <c r="J39" s="70"/>
      <c r="K39" s="82">
        <f>+K12+K20+K26+K32+K37</f>
        <v>31131076.34</v>
      </c>
    </row>
    <row r="40" spans="1:12" ht="13.5" customHeight="1" thickTop="1" x14ac:dyDescent="0.2">
      <c r="K40" s="103"/>
    </row>
    <row r="41" spans="1:12" ht="12.75" customHeight="1" x14ac:dyDescent="0.2"/>
    <row r="42" spans="1:12" ht="13.5" customHeight="1" x14ac:dyDescent="0.2"/>
    <row r="43" spans="1:12" ht="187.5" customHeight="1" x14ac:dyDescent="0.2">
      <c r="I43" s="106" t="s">
        <v>325</v>
      </c>
      <c r="J43" s="107"/>
      <c r="K43" s="106" t="s">
        <v>326</v>
      </c>
      <c r="L43" s="107"/>
    </row>
    <row r="44" spans="1:12" ht="12.75" customHeight="1" x14ac:dyDescent="0.2"/>
    <row r="45" spans="1:12" ht="12.75" customHeight="1" x14ac:dyDescent="0.2"/>
    <row r="46" spans="1:12" ht="12.75" customHeight="1" x14ac:dyDescent="0.2"/>
    <row r="47" spans="1:12" ht="12.75" customHeight="1" x14ac:dyDescent="0.2"/>
    <row r="48" spans="1:1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">
    <mergeCell ref="I43:J43"/>
    <mergeCell ref="K43:L43"/>
  </mergeCells>
  <pageMargins left="0.7" right="0.7" top="0.75" bottom="0.75" header="0" footer="0"/>
  <pageSetup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>
      <selection activeCell="C20" sqref="C20"/>
    </sheetView>
  </sheetViews>
  <sheetFormatPr defaultColWidth="14.42578125" defaultRowHeight="15" customHeight="1" x14ac:dyDescent="0.2"/>
  <cols>
    <col min="1" max="1" width="31" customWidth="1"/>
    <col min="2" max="2" width="18.85546875" customWidth="1"/>
    <col min="3" max="4" width="18.42578125" customWidth="1"/>
    <col min="5" max="26" width="8" customWidth="1"/>
  </cols>
  <sheetData>
    <row r="1" spans="1:3" ht="18" customHeight="1" x14ac:dyDescent="0.25">
      <c r="A1" s="24" t="s">
        <v>34</v>
      </c>
      <c r="B1" s="54">
        <f>'Signature Page'!$B$10</f>
        <v>0</v>
      </c>
    </row>
    <row r="2" spans="1:3" ht="18" customHeight="1" x14ac:dyDescent="0.25">
      <c r="A2" s="24" t="s">
        <v>57</v>
      </c>
      <c r="B2" s="25" t="str">
        <f>Revenues!B2</f>
        <v>2018-2019</v>
      </c>
    </row>
    <row r="3" spans="1:3" ht="12.75" customHeight="1" x14ac:dyDescent="0.2"/>
    <row r="4" spans="1:3" ht="18" customHeight="1" x14ac:dyDescent="0.25">
      <c r="B4" s="55" t="s">
        <v>209</v>
      </c>
    </row>
    <row r="5" spans="1:3" ht="15.75" customHeight="1" x14ac:dyDescent="0.25">
      <c r="B5" s="46" t="s">
        <v>264</v>
      </c>
    </row>
    <row r="6" spans="1:3" ht="12.75" customHeight="1" x14ac:dyDescent="0.2">
      <c r="C6" s="80"/>
    </row>
    <row r="7" spans="1:3" ht="12.75" customHeight="1" x14ac:dyDescent="0.2">
      <c r="A7" s="44" t="s">
        <v>266</v>
      </c>
      <c r="C7" s="80"/>
    </row>
    <row r="8" spans="1:3" ht="12.75" customHeight="1" x14ac:dyDescent="0.2">
      <c r="A8" s="44" t="s">
        <v>267</v>
      </c>
      <c r="C8" s="80">
        <v>0</v>
      </c>
    </row>
    <row r="9" spans="1:3" ht="12.75" customHeight="1" x14ac:dyDescent="0.2">
      <c r="A9" s="44" t="s">
        <v>268</v>
      </c>
      <c r="C9" s="80">
        <v>0</v>
      </c>
    </row>
    <row r="10" spans="1:3" ht="12.75" customHeight="1" x14ac:dyDescent="0.2">
      <c r="A10" s="44" t="s">
        <v>269</v>
      </c>
      <c r="C10" s="81">
        <v>2814.04</v>
      </c>
    </row>
    <row r="11" spans="1:3" ht="12.75" customHeight="1" x14ac:dyDescent="0.2">
      <c r="C11" s="80"/>
    </row>
    <row r="12" spans="1:3" ht="12.75" customHeight="1" x14ac:dyDescent="0.2">
      <c r="C12" s="81">
        <f>SUM(C8:C10)</f>
        <v>2814.04</v>
      </c>
    </row>
    <row r="13" spans="1:3" ht="12.75" customHeight="1" x14ac:dyDescent="0.2">
      <c r="C13" s="80"/>
    </row>
    <row r="14" spans="1:3" ht="12.75" customHeight="1" x14ac:dyDescent="0.2">
      <c r="A14" s="44" t="s">
        <v>270</v>
      </c>
      <c r="C14" s="80"/>
    </row>
    <row r="15" spans="1:3" ht="12.75" customHeight="1" x14ac:dyDescent="0.2">
      <c r="A15" s="44" t="s">
        <v>271</v>
      </c>
      <c r="C15" s="81">
        <v>32118.63</v>
      </c>
    </row>
    <row r="16" spans="1:3" ht="12.75" customHeight="1" x14ac:dyDescent="0.2">
      <c r="C16" s="80"/>
    </row>
    <row r="17" spans="1:3" ht="12.75" customHeight="1" x14ac:dyDescent="0.2">
      <c r="A17" s="44" t="s">
        <v>272</v>
      </c>
      <c r="C17" s="80">
        <f>+C12-C15</f>
        <v>-29304.59</v>
      </c>
    </row>
    <row r="18" spans="1:3" ht="12.75" customHeight="1" x14ac:dyDescent="0.2">
      <c r="C18" s="80"/>
    </row>
    <row r="19" spans="1:3" ht="12.75" customHeight="1" x14ac:dyDescent="0.2">
      <c r="A19" s="44" t="s">
        <v>274</v>
      </c>
      <c r="C19" s="81">
        <v>144890.84</v>
      </c>
    </row>
    <row r="20" spans="1:3" ht="12.75" customHeight="1" x14ac:dyDescent="0.2">
      <c r="C20" s="80"/>
    </row>
    <row r="21" spans="1:3" ht="13.5" customHeight="1" x14ac:dyDescent="0.2">
      <c r="A21" s="44" t="s">
        <v>275</v>
      </c>
      <c r="C21" s="82">
        <f>+C17+C19</f>
        <v>115586.25</v>
      </c>
    </row>
    <row r="22" spans="1:3" ht="13.5" customHeight="1" x14ac:dyDescent="0.2">
      <c r="C22" s="80"/>
    </row>
    <row r="23" spans="1:3" ht="12.75" customHeight="1" x14ac:dyDescent="0.2">
      <c r="C23" s="80"/>
    </row>
    <row r="24" spans="1:3" ht="12.75" customHeight="1" x14ac:dyDescent="0.2"/>
    <row r="25" spans="1:3" ht="12.75" customHeight="1" x14ac:dyDescent="0.2"/>
    <row r="26" spans="1:3" ht="12.75" customHeight="1" x14ac:dyDescent="0.2"/>
    <row r="27" spans="1:3" ht="12.75" customHeight="1" x14ac:dyDescent="0.2"/>
    <row r="28" spans="1:3" ht="12.75" customHeight="1" x14ac:dyDescent="0.2"/>
    <row r="29" spans="1:3" ht="12.75" customHeight="1" x14ac:dyDescent="0.2"/>
    <row r="30" spans="1:3" ht="12.75" customHeight="1" x14ac:dyDescent="0.2"/>
    <row r="31" spans="1:3" ht="12.75" customHeight="1" x14ac:dyDescent="0.2"/>
    <row r="32" spans="1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topLeftCell="A13" workbookViewId="0">
      <selection activeCell="L6" sqref="L6:M9"/>
    </sheetView>
  </sheetViews>
  <sheetFormatPr defaultColWidth="14.42578125" defaultRowHeight="15" customHeight="1" x14ac:dyDescent="0.2"/>
  <cols>
    <col min="1" max="1" width="19.5703125" customWidth="1"/>
    <col min="2" max="2" width="12.28515625" bestFit="1" customWidth="1"/>
    <col min="3" max="3" width="11" bestFit="1" customWidth="1"/>
    <col min="4" max="5" width="12" bestFit="1" customWidth="1"/>
    <col min="6" max="6" width="12" customWidth="1"/>
    <col min="7" max="7" width="8" customWidth="1"/>
    <col min="8" max="8" width="11.7109375" customWidth="1"/>
    <col min="9" max="9" width="8" customWidth="1"/>
    <col min="10" max="10" width="11.5703125" customWidth="1"/>
    <col min="11" max="11" width="12" customWidth="1"/>
    <col min="12" max="12" width="12.85546875" bestFit="1" customWidth="1"/>
    <col min="13" max="13" width="8" customWidth="1"/>
    <col min="14" max="14" width="14.140625" customWidth="1"/>
    <col min="15" max="15" width="13.28515625" customWidth="1"/>
    <col min="16" max="26" width="8" customWidth="1"/>
  </cols>
  <sheetData>
    <row r="1" spans="1:14" ht="18" customHeight="1" x14ac:dyDescent="0.25">
      <c r="A1" s="24" t="s">
        <v>34</v>
      </c>
      <c r="B1" s="54">
        <f>'Signature Page'!$B$10</f>
        <v>0</v>
      </c>
    </row>
    <row r="2" spans="1:14" ht="18" customHeight="1" x14ac:dyDescent="0.25">
      <c r="A2" s="24" t="s">
        <v>57</v>
      </c>
      <c r="B2" s="26" t="str">
        <f>'Governmental Funds'!B2</f>
        <v>2018-2019</v>
      </c>
    </row>
    <row r="3" spans="1:14" ht="12.75" customHeight="1" x14ac:dyDescent="0.2"/>
    <row r="4" spans="1:14" ht="18" customHeight="1" x14ac:dyDescent="0.25">
      <c r="H4" s="55" t="s">
        <v>157</v>
      </c>
    </row>
    <row r="5" spans="1:14" ht="18" customHeight="1" x14ac:dyDescent="0.25">
      <c r="H5" s="55" t="s">
        <v>282</v>
      </c>
    </row>
    <row r="6" spans="1:14" ht="18" customHeight="1" x14ac:dyDescent="0.25">
      <c r="H6" s="55" t="s">
        <v>283</v>
      </c>
      <c r="L6" s="36"/>
      <c r="M6" s="44"/>
    </row>
    <row r="7" spans="1:14" ht="12.75" customHeight="1" x14ac:dyDescent="0.2">
      <c r="J7" s="44"/>
      <c r="L7" s="44"/>
      <c r="M7" s="44"/>
    </row>
    <row r="8" spans="1:14" ht="12.75" customHeight="1" x14ac:dyDescent="0.2">
      <c r="L8" s="44"/>
      <c r="M8" s="44"/>
    </row>
    <row r="9" spans="1:14" ht="12.75" customHeight="1" x14ac:dyDescent="0.2">
      <c r="H9" s="36"/>
      <c r="I9" s="31"/>
      <c r="J9" s="31" t="s">
        <v>284</v>
      </c>
      <c r="L9" s="44"/>
      <c r="M9" s="44"/>
    </row>
    <row r="10" spans="1:14" ht="12.75" customHeight="1" x14ac:dyDescent="0.2">
      <c r="C10" s="31"/>
      <c r="D10" s="31"/>
      <c r="E10" s="31"/>
      <c r="H10" s="31"/>
      <c r="I10" s="31" t="s">
        <v>284</v>
      </c>
      <c r="J10" s="31" t="s">
        <v>285</v>
      </c>
      <c r="L10" s="31" t="s">
        <v>162</v>
      </c>
    </row>
    <row r="11" spans="1:14" ht="12.75" customHeight="1" x14ac:dyDescent="0.2">
      <c r="C11" s="31" t="s">
        <v>288</v>
      </c>
      <c r="D11" s="31"/>
      <c r="E11" s="31"/>
      <c r="F11" s="31"/>
      <c r="G11" s="31"/>
      <c r="H11" s="31" t="s">
        <v>289</v>
      </c>
      <c r="I11" s="31" t="s">
        <v>285</v>
      </c>
      <c r="J11" s="59" t="s">
        <v>290</v>
      </c>
      <c r="K11" s="31"/>
      <c r="L11" s="31" t="s">
        <v>289</v>
      </c>
    </row>
    <row r="12" spans="1:14" ht="12.75" customHeight="1" x14ac:dyDescent="0.2">
      <c r="C12" s="59" t="s">
        <v>291</v>
      </c>
      <c r="D12" s="59" t="s">
        <v>292</v>
      </c>
      <c r="E12" s="59" t="s">
        <v>293</v>
      </c>
      <c r="F12" s="59" t="s">
        <v>294</v>
      </c>
      <c r="G12" s="59" t="s">
        <v>295</v>
      </c>
      <c r="H12" s="59" t="s">
        <v>296</v>
      </c>
      <c r="I12" s="59" t="s">
        <v>290</v>
      </c>
      <c r="J12" s="59" t="s">
        <v>297</v>
      </c>
      <c r="K12" s="59" t="s">
        <v>298</v>
      </c>
      <c r="L12" s="59" t="s">
        <v>299</v>
      </c>
      <c r="N12" s="59" t="s">
        <v>178</v>
      </c>
    </row>
    <row r="13" spans="1:14" ht="12.75" customHeight="1" x14ac:dyDescent="0.2"/>
    <row r="14" spans="1:14" ht="12.75" customHeight="1" x14ac:dyDescent="0.2">
      <c r="A14" s="3" t="s">
        <v>179</v>
      </c>
    </row>
    <row r="15" spans="1:14" ht="12.75" customHeight="1" x14ac:dyDescent="0.2">
      <c r="A15" s="2" t="s">
        <v>300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8"/>
    </row>
    <row r="16" spans="1:14" ht="12.75" customHeight="1" x14ac:dyDescent="0.2">
      <c r="A16" s="2" t="s">
        <v>301</v>
      </c>
      <c r="C16" s="87"/>
      <c r="D16" s="87"/>
      <c r="E16" s="87"/>
      <c r="F16" s="87"/>
      <c r="G16" s="87"/>
      <c r="H16" s="87"/>
      <c r="I16" s="87"/>
      <c r="J16" s="87"/>
      <c r="K16" s="87"/>
      <c r="L16" s="89">
        <v>1749718.23</v>
      </c>
      <c r="M16" s="87"/>
      <c r="N16" s="88">
        <f>SUM(C16:L16)</f>
        <v>1749718.23</v>
      </c>
    </row>
    <row r="17" spans="1:15" ht="12.75" customHeight="1" x14ac:dyDescent="0.2">
      <c r="A17" s="2" t="s">
        <v>303</v>
      </c>
      <c r="C17" s="87"/>
      <c r="D17" s="89">
        <v>148653.5</v>
      </c>
      <c r="E17" s="87"/>
      <c r="F17" s="87"/>
      <c r="G17" s="87"/>
      <c r="H17" s="87"/>
      <c r="I17" s="87"/>
      <c r="J17" s="87"/>
      <c r="K17" s="87"/>
      <c r="L17" s="88">
        <f>10699.85+125577.13</f>
        <v>136276.98000000001</v>
      </c>
      <c r="M17" s="87"/>
      <c r="N17" s="88">
        <f>SUM(C17:L17)</f>
        <v>284930.48</v>
      </c>
    </row>
    <row r="18" spans="1:15" ht="12.75" customHeight="1" x14ac:dyDescent="0.2">
      <c r="A18" s="2" t="s">
        <v>304</v>
      </c>
      <c r="C18" s="87"/>
      <c r="D18" s="88">
        <v>43602.92</v>
      </c>
      <c r="E18" s="87"/>
      <c r="F18" s="87"/>
      <c r="G18" s="87"/>
      <c r="H18" s="87"/>
      <c r="I18" s="87"/>
      <c r="J18" s="87"/>
      <c r="K18" s="87"/>
      <c r="L18" s="89" t="s">
        <v>305</v>
      </c>
      <c r="M18" s="87"/>
      <c r="N18" s="88">
        <f>SUM(C18:L18)</f>
        <v>43602.92</v>
      </c>
    </row>
    <row r="19" spans="1:15" ht="12.75" customHeight="1" x14ac:dyDescent="0.2">
      <c r="A19" s="2" t="s">
        <v>306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8"/>
    </row>
    <row r="20" spans="1:15" ht="12.75" customHeight="1" x14ac:dyDescent="0.2">
      <c r="A20" s="2" t="s">
        <v>308</v>
      </c>
      <c r="C20" s="88">
        <v>3185</v>
      </c>
      <c r="D20" s="88">
        <f>18401.87</f>
        <v>18401.87</v>
      </c>
      <c r="E20" s="87"/>
      <c r="F20" s="87"/>
      <c r="G20" s="87"/>
      <c r="H20" s="89">
        <f>4400+1169.69</f>
        <v>5569.6900000000005</v>
      </c>
      <c r="I20" s="87"/>
      <c r="J20" s="87"/>
      <c r="K20" s="87"/>
      <c r="L20" s="88">
        <f>3939.62+136.61+658.41</f>
        <v>4734.6400000000003</v>
      </c>
      <c r="M20" s="87"/>
      <c r="N20" s="88">
        <f>SUM(C20:L20)</f>
        <v>31891.199999999997</v>
      </c>
    </row>
    <row r="21" spans="1:15" ht="12.75" customHeight="1" x14ac:dyDescent="0.2"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</row>
    <row r="22" spans="1:15" ht="12.75" customHeight="1" x14ac:dyDescent="0.2">
      <c r="A22" s="2" t="s">
        <v>191</v>
      </c>
      <c r="C22" s="90">
        <f t="shared" ref="C22:L22" si="0">SUM(C15:C20)</f>
        <v>3185</v>
      </c>
      <c r="D22" s="90">
        <f t="shared" si="0"/>
        <v>210658.28999999998</v>
      </c>
      <c r="E22" s="90">
        <f t="shared" si="0"/>
        <v>0</v>
      </c>
      <c r="F22" s="90">
        <f t="shared" si="0"/>
        <v>0</v>
      </c>
      <c r="G22" s="90">
        <f t="shared" si="0"/>
        <v>0</v>
      </c>
      <c r="H22" s="90">
        <f t="shared" si="0"/>
        <v>5569.6900000000005</v>
      </c>
      <c r="I22" s="90">
        <f t="shared" si="0"/>
        <v>0</v>
      </c>
      <c r="J22" s="90">
        <f t="shared" si="0"/>
        <v>0</v>
      </c>
      <c r="K22" s="90">
        <f t="shared" si="0"/>
        <v>0</v>
      </c>
      <c r="L22" s="90">
        <f t="shared" si="0"/>
        <v>1890729.8499999999</v>
      </c>
      <c r="M22" s="90"/>
      <c r="N22" s="90">
        <f>SUM(N15:N20)</f>
        <v>2110142.83</v>
      </c>
    </row>
    <row r="23" spans="1:15" ht="12.75" customHeight="1" x14ac:dyDescent="0.2"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</row>
    <row r="24" spans="1:15" ht="12.75" customHeight="1" x14ac:dyDescent="0.2"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</row>
    <row r="25" spans="1:15" ht="12.75" customHeight="1" x14ac:dyDescent="0.2">
      <c r="A25" s="3" t="s">
        <v>192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</row>
    <row r="26" spans="1:15" ht="12.75" customHeight="1" x14ac:dyDescent="0.2">
      <c r="A26" s="2" t="s">
        <v>196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</row>
    <row r="27" spans="1:15" ht="12.75" customHeight="1" x14ac:dyDescent="0.2">
      <c r="A27" s="2" t="s">
        <v>194</v>
      </c>
      <c r="C27" s="89">
        <v>27885.39</v>
      </c>
      <c r="D27" s="88">
        <f>574649.82+52998.88</f>
        <v>627648.69999999995</v>
      </c>
      <c r="E27" s="89">
        <v>198944.32</v>
      </c>
      <c r="F27" s="89">
        <v>110167</v>
      </c>
      <c r="G27" s="88"/>
      <c r="H27" s="88">
        <f>331441.41</f>
        <v>331441.40999999997</v>
      </c>
      <c r="I27" s="88"/>
      <c r="J27" s="89">
        <v>16974.52</v>
      </c>
      <c r="K27" s="89">
        <v>11138.36</v>
      </c>
      <c r="L27" s="88">
        <f>474140.64+15532.79+125577.13+11406.53+24.86</f>
        <v>626681.95000000007</v>
      </c>
      <c r="M27" s="88"/>
      <c r="N27" s="88">
        <f>SUM(C27:L27)</f>
        <v>1950881.65</v>
      </c>
    </row>
    <row r="28" spans="1:15" ht="12.75" customHeight="1" x14ac:dyDescent="0.2">
      <c r="A28" s="2" t="s">
        <v>195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8">
        <f>SUM(C28:L28)</f>
        <v>0</v>
      </c>
    </row>
    <row r="29" spans="1:15" ht="12.75" customHeight="1" x14ac:dyDescent="0.2"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</row>
    <row r="30" spans="1:15" ht="12.75" customHeight="1" x14ac:dyDescent="0.2">
      <c r="A30" s="2" t="s">
        <v>316</v>
      </c>
      <c r="C30" s="90">
        <f t="shared" ref="C30:L30" si="1">SUM(C26:C28)</f>
        <v>27885.39</v>
      </c>
      <c r="D30" s="90">
        <f t="shared" si="1"/>
        <v>627648.69999999995</v>
      </c>
      <c r="E30" s="90">
        <f t="shared" si="1"/>
        <v>198944.32</v>
      </c>
      <c r="F30" s="90">
        <f t="shared" si="1"/>
        <v>110167</v>
      </c>
      <c r="G30" s="90">
        <f t="shared" si="1"/>
        <v>0</v>
      </c>
      <c r="H30" s="90">
        <f t="shared" si="1"/>
        <v>331441.40999999997</v>
      </c>
      <c r="I30" s="90">
        <f t="shared" si="1"/>
        <v>0</v>
      </c>
      <c r="J30" s="90">
        <f t="shared" si="1"/>
        <v>16974.52</v>
      </c>
      <c r="K30" s="90">
        <f t="shared" si="1"/>
        <v>11138.36</v>
      </c>
      <c r="L30" s="90">
        <f t="shared" si="1"/>
        <v>626681.95000000007</v>
      </c>
      <c r="M30" s="90"/>
      <c r="N30" s="90">
        <f>SUM(N26:N28)</f>
        <v>1950881.65</v>
      </c>
      <c r="O30" s="100"/>
    </row>
    <row r="31" spans="1:15" ht="12.75" customHeight="1" x14ac:dyDescent="0.2"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</row>
    <row r="32" spans="1:15" ht="12.75" customHeight="1" x14ac:dyDescent="0.2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</row>
    <row r="33" spans="1:14" ht="12.75" customHeight="1" x14ac:dyDescent="0.2">
      <c r="A33" s="2" t="s">
        <v>199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</row>
    <row r="34" spans="1:14" ht="12.75" customHeight="1" x14ac:dyDescent="0.2">
      <c r="A34" s="2" t="s">
        <v>319</v>
      </c>
      <c r="C34" s="88">
        <f t="shared" ref="C34:L34" si="2">+C22-C30</f>
        <v>-24700.39</v>
      </c>
      <c r="D34" s="88">
        <f t="shared" si="2"/>
        <v>-416990.41</v>
      </c>
      <c r="E34" s="88">
        <f t="shared" si="2"/>
        <v>-198944.32</v>
      </c>
      <c r="F34" s="88">
        <f t="shared" si="2"/>
        <v>-110167</v>
      </c>
      <c r="G34" s="88">
        <f t="shared" si="2"/>
        <v>0</v>
      </c>
      <c r="H34" s="88">
        <f t="shared" si="2"/>
        <v>-325871.71999999997</v>
      </c>
      <c r="I34" s="88">
        <f t="shared" si="2"/>
        <v>0</v>
      </c>
      <c r="J34" s="88">
        <f t="shared" si="2"/>
        <v>-16974.52</v>
      </c>
      <c r="K34" s="88">
        <f t="shared" si="2"/>
        <v>-11138.36</v>
      </c>
      <c r="L34" s="88">
        <f t="shared" si="2"/>
        <v>1264047.8999999999</v>
      </c>
      <c r="M34" s="88"/>
      <c r="N34" s="88">
        <f>+N22-N30</f>
        <v>159261.18000000017</v>
      </c>
    </row>
    <row r="35" spans="1:14" ht="12.75" customHeight="1" x14ac:dyDescent="0.2"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</row>
    <row r="36" spans="1:14" ht="12.75" customHeight="1" x14ac:dyDescent="0.2">
      <c r="A36" s="2" t="s">
        <v>201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</row>
    <row r="37" spans="1:14" ht="12.75" customHeight="1" x14ac:dyDescent="0.2">
      <c r="A37" s="2" t="s">
        <v>202</v>
      </c>
      <c r="C37" s="88"/>
      <c r="D37" s="88"/>
      <c r="E37" s="88"/>
      <c r="F37" s="88"/>
      <c r="G37" s="88"/>
      <c r="H37" s="88"/>
      <c r="I37" s="88"/>
      <c r="J37" s="88"/>
      <c r="K37" s="88"/>
      <c r="L37" s="88">
        <f>8927.76</f>
        <v>8927.76</v>
      </c>
      <c r="M37" s="88"/>
      <c r="N37" s="88">
        <f>SUM(C37:L37)</f>
        <v>8927.76</v>
      </c>
    </row>
    <row r="38" spans="1:14" ht="12.75" customHeight="1" x14ac:dyDescent="0.2">
      <c r="A38" s="2" t="s">
        <v>203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>
        <f>SUM(C38:L38)</f>
        <v>0</v>
      </c>
    </row>
    <row r="39" spans="1:14" ht="12.75" customHeight="1" x14ac:dyDescent="0.2"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</row>
    <row r="40" spans="1:14" ht="12.75" customHeight="1" x14ac:dyDescent="0.2">
      <c r="A40" s="2" t="s">
        <v>204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</row>
    <row r="41" spans="1:14" ht="12.75" customHeight="1" x14ac:dyDescent="0.2">
      <c r="A41" s="2" t="s">
        <v>205</v>
      </c>
      <c r="C41" s="90">
        <f t="shared" ref="C41:L41" si="3">SUM(C37:C38)</f>
        <v>0</v>
      </c>
      <c r="D41" s="90">
        <f t="shared" si="3"/>
        <v>0</v>
      </c>
      <c r="E41" s="90">
        <f t="shared" si="3"/>
        <v>0</v>
      </c>
      <c r="F41" s="90">
        <f t="shared" si="3"/>
        <v>0</v>
      </c>
      <c r="G41" s="90">
        <f t="shared" si="3"/>
        <v>0</v>
      </c>
      <c r="H41" s="90">
        <f t="shared" si="3"/>
        <v>0</v>
      </c>
      <c r="I41" s="90">
        <f t="shared" si="3"/>
        <v>0</v>
      </c>
      <c r="J41" s="90">
        <f t="shared" si="3"/>
        <v>0</v>
      </c>
      <c r="K41" s="90">
        <f t="shared" si="3"/>
        <v>0</v>
      </c>
      <c r="L41" s="90">
        <f t="shared" si="3"/>
        <v>8927.76</v>
      </c>
      <c r="M41" s="90"/>
      <c r="N41" s="90">
        <f>SUM(N37:N38)</f>
        <v>8927.76</v>
      </c>
    </row>
    <row r="42" spans="1:14" ht="12.75" customHeight="1" x14ac:dyDescent="0.2"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</row>
    <row r="43" spans="1:14" ht="12.75" customHeight="1" x14ac:dyDescent="0.2"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</row>
    <row r="44" spans="1:14" ht="12.75" customHeight="1" x14ac:dyDescent="0.2">
      <c r="A44" s="2" t="s">
        <v>327</v>
      </c>
      <c r="C44" s="88">
        <f t="shared" ref="C44:L44" si="4">+C34+C41</f>
        <v>-24700.39</v>
      </c>
      <c r="D44" s="88">
        <f t="shared" si="4"/>
        <v>-416990.41</v>
      </c>
      <c r="E44" s="88">
        <f t="shared" si="4"/>
        <v>-198944.32</v>
      </c>
      <c r="F44" s="88">
        <f t="shared" si="4"/>
        <v>-110167</v>
      </c>
      <c r="G44" s="88">
        <f t="shared" si="4"/>
        <v>0</v>
      </c>
      <c r="H44" s="88">
        <f t="shared" si="4"/>
        <v>-325871.71999999997</v>
      </c>
      <c r="I44" s="88">
        <f t="shared" si="4"/>
        <v>0</v>
      </c>
      <c r="J44" s="88">
        <f t="shared" si="4"/>
        <v>-16974.52</v>
      </c>
      <c r="K44" s="88">
        <f t="shared" si="4"/>
        <v>-11138.36</v>
      </c>
      <c r="L44" s="88">
        <f t="shared" si="4"/>
        <v>1272975.6599999999</v>
      </c>
      <c r="M44" s="88"/>
      <c r="N44" s="88">
        <f>+N34+N41</f>
        <v>168188.94000000018</v>
      </c>
    </row>
    <row r="45" spans="1:14" ht="12.75" customHeight="1" x14ac:dyDescent="0.2"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</row>
    <row r="46" spans="1:14" ht="12.75" customHeight="1" x14ac:dyDescent="0.2">
      <c r="A46" s="2" t="s">
        <v>328</v>
      </c>
      <c r="C46" s="89">
        <v>0</v>
      </c>
      <c r="D46" s="89">
        <v>0</v>
      </c>
      <c r="E46" s="89">
        <v>0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2660347.5499999998</v>
      </c>
      <c r="M46" s="88"/>
      <c r="N46" s="88">
        <f>SUM(C46:L46)</f>
        <v>2660347.5499999998</v>
      </c>
    </row>
    <row r="47" spans="1:14" ht="12.75" customHeight="1" x14ac:dyDescent="0.2"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</row>
    <row r="48" spans="1:14" ht="12.75" customHeight="1" x14ac:dyDescent="0.2"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</row>
    <row r="49" spans="1:14" ht="13.5" customHeight="1" x14ac:dyDescent="0.2">
      <c r="A49" s="2" t="s">
        <v>333</v>
      </c>
      <c r="C49" s="66">
        <f t="shared" ref="C49:L49" si="5">+C44+C46</f>
        <v>-24700.39</v>
      </c>
      <c r="D49" s="66">
        <f t="shared" si="5"/>
        <v>-416990.41</v>
      </c>
      <c r="E49" s="66">
        <f t="shared" si="5"/>
        <v>-198944.32</v>
      </c>
      <c r="F49" s="66">
        <f t="shared" si="5"/>
        <v>-110167</v>
      </c>
      <c r="G49" s="66">
        <f t="shared" si="5"/>
        <v>0</v>
      </c>
      <c r="H49" s="66">
        <f t="shared" si="5"/>
        <v>-325871.71999999997</v>
      </c>
      <c r="I49" s="66">
        <f t="shared" si="5"/>
        <v>0</v>
      </c>
      <c r="J49" s="66">
        <f t="shared" si="5"/>
        <v>-16974.52</v>
      </c>
      <c r="K49" s="66">
        <f t="shared" si="5"/>
        <v>-11138.36</v>
      </c>
      <c r="L49" s="66">
        <f t="shared" si="5"/>
        <v>3933323.21</v>
      </c>
      <c r="M49" s="66"/>
      <c r="N49" s="66">
        <f>+N44+N46</f>
        <v>2828536.49</v>
      </c>
    </row>
    <row r="50" spans="1:14" ht="13.5" customHeight="1" x14ac:dyDescent="0.2"/>
    <row r="51" spans="1:14" ht="12.75" customHeight="1" x14ac:dyDescent="0.2"/>
    <row r="52" spans="1:14" ht="12.75" customHeight="1" x14ac:dyDescent="0.2"/>
    <row r="53" spans="1:14" ht="12.75" customHeight="1" x14ac:dyDescent="0.2"/>
    <row r="54" spans="1:14" ht="12.75" customHeight="1" x14ac:dyDescent="0.2"/>
    <row r="55" spans="1:14" ht="12.75" customHeight="1" x14ac:dyDescent="0.2"/>
    <row r="56" spans="1:14" ht="12.75" customHeight="1" x14ac:dyDescent="0.2"/>
    <row r="57" spans="1:14" ht="12.75" customHeight="1" x14ac:dyDescent="0.2"/>
    <row r="58" spans="1:14" ht="12.75" customHeight="1" x14ac:dyDescent="0.2"/>
    <row r="59" spans="1:14" ht="12.75" customHeight="1" x14ac:dyDescent="0.2"/>
    <row r="60" spans="1:14" ht="12.75" customHeight="1" x14ac:dyDescent="0.2"/>
    <row r="61" spans="1:14" ht="12.75" customHeight="1" x14ac:dyDescent="0.2"/>
    <row r="62" spans="1:14" ht="12.75" customHeight="1" x14ac:dyDescent="0.2"/>
    <row r="63" spans="1:14" ht="12.75" customHeight="1" x14ac:dyDescent="0.2"/>
    <row r="64" spans="1:1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opLeftCell="A10" workbookViewId="0"/>
  </sheetViews>
  <sheetFormatPr defaultColWidth="14.42578125" defaultRowHeight="15" customHeight="1" x14ac:dyDescent="0.2"/>
  <cols>
    <col min="1" max="6" width="8" customWidth="1"/>
    <col min="7" max="7" width="11.85546875" customWidth="1"/>
    <col min="8" max="8" width="18" customWidth="1"/>
    <col min="9" max="26" width="8" customWidth="1"/>
  </cols>
  <sheetData>
    <row r="1" spans="1:8" ht="12.75" customHeight="1" x14ac:dyDescent="0.2">
      <c r="A1" s="2" t="s">
        <v>329</v>
      </c>
      <c r="B1" s="2"/>
      <c r="C1" s="2"/>
      <c r="D1" s="2"/>
      <c r="E1" s="2"/>
      <c r="F1" s="2"/>
      <c r="G1" s="2"/>
      <c r="H1" s="2"/>
    </row>
    <row r="2" spans="1:8" ht="12.75" customHeight="1" x14ac:dyDescent="0.2">
      <c r="A2" s="2"/>
      <c r="B2" s="2"/>
      <c r="C2" s="2"/>
      <c r="D2" s="2"/>
      <c r="E2" s="2"/>
      <c r="F2" s="2"/>
      <c r="G2" s="2"/>
      <c r="H2" s="2"/>
    </row>
    <row r="3" spans="1:8" ht="12.75" customHeight="1" x14ac:dyDescent="0.2">
      <c r="A3" s="2" t="s">
        <v>330</v>
      </c>
      <c r="B3" s="2"/>
      <c r="C3" s="2"/>
      <c r="D3" s="2"/>
      <c r="E3" s="2"/>
      <c r="F3" s="2"/>
      <c r="G3" s="2"/>
      <c r="H3" s="2"/>
    </row>
    <row r="4" spans="1:8" ht="12.75" customHeight="1" x14ac:dyDescent="0.2">
      <c r="A4" s="2" t="s">
        <v>331</v>
      </c>
      <c r="B4" s="2"/>
      <c r="C4" s="2"/>
      <c r="D4" s="2"/>
      <c r="E4" s="2"/>
      <c r="F4" s="2"/>
      <c r="G4" s="2"/>
      <c r="H4" s="2"/>
    </row>
    <row r="5" spans="1:8" ht="12.75" customHeight="1" x14ac:dyDescent="0.2">
      <c r="A5" s="2"/>
      <c r="B5" s="2"/>
      <c r="C5" s="2"/>
      <c r="D5" s="2"/>
      <c r="E5" s="2"/>
      <c r="F5" s="2"/>
      <c r="G5" s="2"/>
      <c r="H5" s="2"/>
    </row>
    <row r="6" spans="1:8" ht="12.75" customHeight="1" x14ac:dyDescent="0.2">
      <c r="A6" s="2" t="s">
        <v>332</v>
      </c>
      <c r="B6" s="2"/>
      <c r="C6" s="2"/>
      <c r="D6" s="2"/>
      <c r="E6" s="2"/>
      <c r="F6" s="2"/>
      <c r="G6" s="2"/>
      <c r="H6" s="2"/>
    </row>
    <row r="7" spans="1:8" ht="12.75" customHeight="1" x14ac:dyDescent="0.2">
      <c r="A7" s="2"/>
      <c r="B7" s="2"/>
      <c r="C7" s="2"/>
      <c r="D7" s="2"/>
      <c r="E7" s="2"/>
      <c r="F7" s="2"/>
      <c r="G7" s="2"/>
      <c r="H7" s="2"/>
    </row>
    <row r="8" spans="1:8" ht="12.75" customHeight="1" x14ac:dyDescent="0.2">
      <c r="A8" s="2" t="s">
        <v>334</v>
      </c>
      <c r="B8" s="2"/>
      <c r="C8" s="2"/>
      <c r="D8" s="2"/>
      <c r="E8" s="2"/>
      <c r="F8" s="2"/>
      <c r="G8" s="2"/>
      <c r="H8" s="2"/>
    </row>
    <row r="9" spans="1:8" ht="12.75" customHeight="1" x14ac:dyDescent="0.2">
      <c r="A9" s="2" t="s">
        <v>335</v>
      </c>
      <c r="B9" s="2"/>
      <c r="C9" s="2"/>
      <c r="D9" s="2"/>
      <c r="E9" s="2"/>
      <c r="F9" s="2"/>
      <c r="G9" s="2"/>
      <c r="H9" s="2"/>
    </row>
    <row r="10" spans="1:8" ht="12.75" customHeight="1" x14ac:dyDescent="0.2">
      <c r="A10" s="2"/>
      <c r="B10" s="2"/>
      <c r="C10" s="2"/>
      <c r="D10" s="2"/>
      <c r="E10" s="2"/>
      <c r="F10" s="2"/>
      <c r="G10" s="2"/>
      <c r="H10" s="2"/>
    </row>
    <row r="11" spans="1:8" ht="12.75" customHeight="1" x14ac:dyDescent="0.2">
      <c r="A11" s="2" t="s">
        <v>336</v>
      </c>
      <c r="B11" s="2"/>
      <c r="C11" s="2"/>
      <c r="D11" s="2"/>
      <c r="E11" s="2"/>
      <c r="F11" s="2"/>
      <c r="G11" s="2"/>
      <c r="H11" s="2"/>
    </row>
    <row r="12" spans="1:8" ht="12.75" customHeight="1" x14ac:dyDescent="0.2">
      <c r="A12" s="2" t="s">
        <v>337</v>
      </c>
      <c r="B12" s="2"/>
      <c r="C12" s="2"/>
      <c r="D12" s="2"/>
      <c r="E12" s="2"/>
      <c r="F12" s="2"/>
      <c r="G12" s="2"/>
      <c r="H12" s="2"/>
    </row>
    <row r="13" spans="1:8" ht="12.75" customHeight="1" x14ac:dyDescent="0.2">
      <c r="A13" s="2"/>
      <c r="B13" s="2"/>
      <c r="C13" s="2"/>
      <c r="D13" s="2"/>
      <c r="E13" s="2"/>
      <c r="F13" s="2"/>
      <c r="G13" s="2"/>
      <c r="H13" s="2"/>
    </row>
    <row r="14" spans="1:8" ht="12.75" customHeight="1" x14ac:dyDescent="0.2">
      <c r="A14" s="3" t="s">
        <v>338</v>
      </c>
      <c r="B14" s="2"/>
      <c r="C14" s="2"/>
      <c r="D14" s="2"/>
      <c r="E14" s="2"/>
      <c r="F14" s="2"/>
      <c r="G14" s="2"/>
      <c r="H14" s="2"/>
    </row>
    <row r="15" spans="1:8" ht="12.75" customHeight="1" x14ac:dyDescent="0.2">
      <c r="A15" s="3" t="s">
        <v>339</v>
      </c>
      <c r="B15" s="2"/>
      <c r="C15" s="2"/>
      <c r="D15" s="2"/>
      <c r="E15" s="2"/>
      <c r="F15" s="2"/>
      <c r="G15" s="2"/>
      <c r="H15" s="2"/>
    </row>
    <row r="16" spans="1:8" ht="12.75" customHeight="1" x14ac:dyDescent="0.2">
      <c r="A16" s="2"/>
      <c r="B16" s="2"/>
      <c r="C16" s="2"/>
      <c r="D16" s="2"/>
      <c r="E16" s="2"/>
      <c r="F16" s="2"/>
      <c r="G16" s="2"/>
      <c r="H16" s="2"/>
    </row>
    <row r="17" spans="1:8" ht="12.75" customHeight="1" x14ac:dyDescent="0.2">
      <c r="A17" s="2" t="s">
        <v>340</v>
      </c>
      <c r="B17" s="2"/>
      <c r="C17" s="2"/>
      <c r="D17" s="2"/>
      <c r="E17" s="2"/>
      <c r="F17" s="2"/>
      <c r="G17" s="2"/>
      <c r="H17" s="2"/>
    </row>
    <row r="18" spans="1:8" ht="12.75" customHeight="1" x14ac:dyDescent="0.2">
      <c r="A18" s="2" t="s">
        <v>341</v>
      </c>
      <c r="B18" s="2"/>
      <c r="C18" s="2"/>
      <c r="D18" s="2"/>
      <c r="E18" s="2"/>
      <c r="F18" s="2"/>
      <c r="G18" s="2"/>
      <c r="H18" s="2"/>
    </row>
    <row r="19" spans="1:8" ht="12.75" customHeight="1" x14ac:dyDescent="0.2">
      <c r="A19" s="2" t="s">
        <v>342</v>
      </c>
      <c r="B19" s="2"/>
      <c r="C19" s="2"/>
      <c r="D19" s="2"/>
      <c r="E19" s="2"/>
      <c r="F19" s="2"/>
      <c r="G19" s="2"/>
      <c r="H19" s="2"/>
    </row>
    <row r="20" spans="1:8" ht="12.75" customHeight="1" x14ac:dyDescent="0.2">
      <c r="A20" s="2" t="s">
        <v>343</v>
      </c>
      <c r="B20" s="2"/>
      <c r="C20" s="2"/>
      <c r="D20" s="2"/>
      <c r="E20" s="2"/>
      <c r="F20" s="2"/>
      <c r="G20" s="2"/>
      <c r="H20" s="2"/>
    </row>
    <row r="21" spans="1:8" ht="12.75" customHeight="1" x14ac:dyDescent="0.2">
      <c r="A21" s="2" t="s">
        <v>344</v>
      </c>
      <c r="B21" s="2"/>
      <c r="C21" s="2"/>
      <c r="D21" s="2"/>
      <c r="E21" s="2"/>
      <c r="F21" s="2"/>
      <c r="G21" s="2"/>
      <c r="H21" s="2"/>
    </row>
    <row r="22" spans="1:8" ht="12.75" customHeight="1" x14ac:dyDescent="0.2">
      <c r="A22" s="2"/>
      <c r="B22" s="2"/>
      <c r="C22" s="2"/>
      <c r="D22" s="2"/>
      <c r="E22" s="2"/>
      <c r="F22" s="2"/>
      <c r="G22" s="2"/>
      <c r="H22" s="2"/>
    </row>
    <row r="23" spans="1:8" ht="12.75" customHeight="1" x14ac:dyDescent="0.2">
      <c r="A23" s="2" t="s">
        <v>345</v>
      </c>
      <c r="B23" s="2"/>
      <c r="C23" s="2"/>
      <c r="D23" s="2"/>
      <c r="E23" s="2"/>
      <c r="F23" s="2"/>
      <c r="G23" s="2"/>
      <c r="H23" s="2"/>
    </row>
    <row r="24" spans="1:8" ht="12.75" customHeight="1" x14ac:dyDescent="0.2">
      <c r="A24" s="2" t="s">
        <v>346</v>
      </c>
      <c r="B24" s="2"/>
      <c r="C24" s="2"/>
      <c r="D24" s="2"/>
      <c r="E24" s="2"/>
      <c r="F24" s="2"/>
      <c r="G24" s="2"/>
      <c r="H24" s="2"/>
    </row>
    <row r="25" spans="1:8" ht="12.75" customHeight="1" x14ac:dyDescent="0.2">
      <c r="A25" s="3"/>
      <c r="B25" s="2"/>
      <c r="C25" s="2"/>
      <c r="D25" s="2"/>
      <c r="E25" s="2"/>
      <c r="F25" s="2"/>
      <c r="G25" s="2"/>
      <c r="H25" s="2"/>
    </row>
    <row r="26" spans="1:8" ht="12.75" customHeight="1" x14ac:dyDescent="0.2">
      <c r="A26" s="3" t="s">
        <v>347</v>
      </c>
      <c r="B26" s="2"/>
      <c r="C26" s="2"/>
      <c r="D26" s="2"/>
      <c r="E26" s="2"/>
      <c r="F26" s="2"/>
      <c r="G26" s="2"/>
      <c r="H26" s="2"/>
    </row>
    <row r="27" spans="1:8" ht="12.75" customHeight="1" x14ac:dyDescent="0.2">
      <c r="A27" s="2" t="s">
        <v>348</v>
      </c>
      <c r="B27" s="2"/>
      <c r="C27" s="2"/>
      <c r="D27" s="2"/>
      <c r="E27" s="2"/>
      <c r="F27" s="2"/>
      <c r="G27" s="2"/>
      <c r="H27" s="2"/>
    </row>
    <row r="28" spans="1:8" ht="12.75" customHeight="1" x14ac:dyDescent="0.2">
      <c r="A28" s="28" t="s">
        <v>349</v>
      </c>
      <c r="B28" s="2"/>
      <c r="C28" s="2"/>
      <c r="D28" s="2"/>
      <c r="E28" s="2"/>
      <c r="F28" s="2"/>
      <c r="G28" s="2"/>
      <c r="H28" s="2"/>
    </row>
    <row r="29" spans="1:8" ht="12.75" customHeight="1" x14ac:dyDescent="0.2">
      <c r="A29" s="28" t="s">
        <v>350</v>
      </c>
      <c r="B29" s="2"/>
      <c r="C29" s="2"/>
      <c r="D29" s="2"/>
      <c r="E29" s="2"/>
      <c r="F29" s="2"/>
      <c r="G29" s="2"/>
      <c r="H29" s="2"/>
    </row>
    <row r="30" spans="1:8" ht="12.75" customHeight="1" x14ac:dyDescent="0.2">
      <c r="A30" s="28" t="s">
        <v>351</v>
      </c>
      <c r="B30" s="2"/>
      <c r="C30" s="2"/>
      <c r="D30" s="2"/>
      <c r="E30" s="2"/>
      <c r="F30" s="2"/>
      <c r="G30" s="2"/>
      <c r="H30" s="2"/>
    </row>
    <row r="31" spans="1:8" ht="12.75" customHeight="1" x14ac:dyDescent="0.2">
      <c r="A31" s="28" t="s">
        <v>352</v>
      </c>
      <c r="B31" s="2"/>
      <c r="C31" s="2"/>
      <c r="D31" s="2"/>
      <c r="E31" s="2"/>
      <c r="F31" s="2"/>
      <c r="G31" s="2"/>
      <c r="H31" s="2"/>
    </row>
    <row r="32" spans="1:8" ht="12.75" customHeight="1" x14ac:dyDescent="0.2">
      <c r="A32" s="28" t="s">
        <v>353</v>
      </c>
      <c r="B32" s="2"/>
      <c r="C32" s="2"/>
      <c r="D32" s="2"/>
      <c r="E32" s="2"/>
      <c r="F32" s="2"/>
      <c r="G32" s="2"/>
      <c r="H32" s="2"/>
    </row>
    <row r="33" spans="1:8" ht="12.75" customHeight="1" x14ac:dyDescent="0.2">
      <c r="A33" s="2"/>
      <c r="B33" s="2"/>
      <c r="C33" s="2"/>
      <c r="D33" s="2"/>
      <c r="E33" s="2"/>
      <c r="F33" s="2"/>
      <c r="G33" s="2"/>
      <c r="H33" s="2"/>
    </row>
    <row r="34" spans="1:8" ht="12.75" customHeight="1" x14ac:dyDescent="0.2">
      <c r="A34" s="2" t="s">
        <v>354</v>
      </c>
      <c r="B34" s="2"/>
      <c r="C34" s="2"/>
      <c r="D34" s="2"/>
      <c r="E34" s="2"/>
      <c r="F34" s="2"/>
      <c r="G34" s="2"/>
      <c r="H34" s="2"/>
    </row>
    <row r="35" spans="1:8" ht="12.75" customHeight="1" x14ac:dyDescent="0.2">
      <c r="A35" s="28" t="s">
        <v>355</v>
      </c>
      <c r="B35" s="2"/>
      <c r="C35" s="2"/>
      <c r="D35" s="2"/>
      <c r="E35" s="2"/>
      <c r="F35" s="2"/>
      <c r="G35" s="2"/>
      <c r="H35" s="2"/>
    </row>
    <row r="36" spans="1:8" ht="12.75" customHeight="1" x14ac:dyDescent="0.2">
      <c r="A36" s="28" t="s">
        <v>356</v>
      </c>
      <c r="B36" s="2"/>
      <c r="C36" s="2"/>
      <c r="D36" s="2"/>
      <c r="E36" s="2"/>
      <c r="F36" s="2"/>
      <c r="G36" s="2"/>
      <c r="H36" s="2"/>
    </row>
    <row r="37" spans="1:8" ht="12.75" customHeight="1" x14ac:dyDescent="0.2">
      <c r="A37" s="28" t="s">
        <v>357</v>
      </c>
      <c r="B37" s="2"/>
      <c r="C37" s="2"/>
      <c r="D37" s="2"/>
      <c r="E37" s="2"/>
      <c r="F37" s="2"/>
      <c r="G37" s="2"/>
      <c r="H37" s="2"/>
    </row>
    <row r="38" spans="1:8" ht="12.75" customHeight="1" x14ac:dyDescent="0.2">
      <c r="A38" s="28" t="s">
        <v>358</v>
      </c>
      <c r="B38" s="2"/>
      <c r="C38" s="2"/>
      <c r="D38" s="2"/>
      <c r="E38" s="2"/>
      <c r="F38" s="2"/>
      <c r="G38" s="2"/>
      <c r="H38" s="2"/>
    </row>
    <row r="39" spans="1:8" ht="12.75" customHeight="1" x14ac:dyDescent="0.2">
      <c r="A39" s="2"/>
      <c r="B39" s="2"/>
      <c r="C39" s="2"/>
      <c r="D39" s="2"/>
      <c r="E39" s="2"/>
      <c r="F39" s="2"/>
      <c r="G39" s="2"/>
      <c r="H39" s="2"/>
    </row>
    <row r="40" spans="1:8" ht="12.75" customHeight="1" x14ac:dyDescent="0.2">
      <c r="A40" s="2" t="s">
        <v>359</v>
      </c>
      <c r="B40" s="2"/>
      <c r="C40" s="2"/>
      <c r="D40" s="2"/>
      <c r="E40" s="2"/>
      <c r="F40" s="2"/>
      <c r="G40" s="2"/>
      <c r="H40" s="2"/>
    </row>
    <row r="41" spans="1:8" ht="12.75" customHeight="1" x14ac:dyDescent="0.2">
      <c r="A41" s="2" t="s">
        <v>360</v>
      </c>
      <c r="B41" s="2"/>
      <c r="C41" s="2"/>
      <c r="D41" s="2"/>
      <c r="E41" s="2"/>
      <c r="F41" s="2"/>
      <c r="G41" s="2"/>
      <c r="H41" s="2"/>
    </row>
    <row r="42" spans="1:8" ht="12.75" customHeight="1" x14ac:dyDescent="0.2">
      <c r="A42" s="2"/>
      <c r="B42" s="2"/>
      <c r="C42" s="2"/>
      <c r="D42" s="2"/>
      <c r="E42" s="2"/>
      <c r="F42" s="2"/>
      <c r="G42" s="2"/>
      <c r="H42" s="2"/>
    </row>
    <row r="43" spans="1:8" ht="12.75" customHeight="1" x14ac:dyDescent="0.2">
      <c r="A43" s="2"/>
      <c r="B43" s="2"/>
      <c r="C43" s="2"/>
      <c r="D43" s="2"/>
      <c r="E43" s="2"/>
      <c r="F43" s="2"/>
      <c r="G43" s="2"/>
      <c r="H43" s="2"/>
    </row>
    <row r="44" spans="1:8" ht="12.75" customHeight="1" x14ac:dyDescent="0.2">
      <c r="A44" s="2"/>
      <c r="B44" s="2"/>
      <c r="C44" s="2"/>
      <c r="D44" s="2"/>
      <c r="E44" s="2"/>
      <c r="F44" s="2"/>
      <c r="G44" s="2"/>
      <c r="H44" s="2"/>
    </row>
    <row r="45" spans="1:8" ht="12.75" customHeight="1" x14ac:dyDescent="0.2">
      <c r="A45" s="2"/>
      <c r="B45" s="2"/>
      <c r="C45" s="2"/>
      <c r="D45" s="2"/>
      <c r="E45" s="2"/>
      <c r="F45" s="2"/>
      <c r="G45" s="2"/>
      <c r="H45" s="2"/>
    </row>
    <row r="46" spans="1:8" ht="12.75" customHeight="1" x14ac:dyDescent="0.2">
      <c r="A46" s="2"/>
      <c r="B46" s="2"/>
      <c r="C46" s="2"/>
      <c r="D46" s="2"/>
      <c r="E46" s="2"/>
      <c r="F46" s="2"/>
      <c r="G46" s="2"/>
      <c r="H46" s="2"/>
    </row>
    <row r="47" spans="1:8" ht="12.75" customHeight="1" x14ac:dyDescent="0.2">
      <c r="A47" s="2"/>
      <c r="B47" s="2"/>
      <c r="C47" s="2"/>
      <c r="D47" s="2"/>
      <c r="E47" s="2"/>
      <c r="F47" s="2"/>
      <c r="G47" s="2"/>
      <c r="H47" s="2"/>
    </row>
    <row r="48" spans="1:8" ht="12.75" customHeight="1" x14ac:dyDescent="0.2">
      <c r="A48" s="2"/>
      <c r="B48" s="2"/>
      <c r="C48" s="2"/>
      <c r="D48" s="2"/>
      <c r="E48" s="2"/>
      <c r="F48" s="2"/>
      <c r="G48" s="2"/>
      <c r="H48" s="2"/>
    </row>
    <row r="49" spans="1:8" ht="12.75" customHeight="1" x14ac:dyDescent="0.2">
      <c r="A49" s="2"/>
      <c r="B49" s="2"/>
      <c r="C49" s="2"/>
      <c r="D49" s="2"/>
      <c r="E49" s="2"/>
      <c r="F49" s="2"/>
      <c r="G49" s="2"/>
      <c r="H49" s="2"/>
    </row>
    <row r="50" spans="1:8" ht="12.75" customHeight="1" x14ac:dyDescent="0.2">
      <c r="A50" s="2"/>
      <c r="B50" s="2"/>
      <c r="C50" s="2"/>
      <c r="D50" s="2"/>
      <c r="E50" s="2"/>
      <c r="F50" s="2"/>
      <c r="G50" s="2"/>
      <c r="H50" s="2"/>
    </row>
    <row r="51" spans="1:8" ht="12.75" customHeight="1" x14ac:dyDescent="0.2">
      <c r="A51" s="2"/>
      <c r="B51" s="2"/>
      <c r="C51" s="2"/>
      <c r="D51" s="2"/>
      <c r="E51" s="2"/>
      <c r="F51" s="2"/>
      <c r="G51" s="2"/>
      <c r="H51" s="2"/>
    </row>
    <row r="52" spans="1:8" ht="12.75" customHeight="1" x14ac:dyDescent="0.2">
      <c r="A52" s="2"/>
      <c r="B52" s="2"/>
      <c r="C52" s="2"/>
      <c r="D52" s="2"/>
      <c r="E52" s="2"/>
      <c r="F52" s="2"/>
      <c r="G52" s="2"/>
      <c r="H52" s="2"/>
    </row>
    <row r="53" spans="1:8" ht="12.75" customHeight="1" x14ac:dyDescent="0.2">
      <c r="A53" s="2"/>
      <c r="B53" s="2"/>
      <c r="C53" s="2"/>
      <c r="D53" s="2"/>
      <c r="E53" s="2"/>
      <c r="F53" s="2"/>
      <c r="G53" s="2"/>
      <c r="H53" s="2"/>
    </row>
    <row r="54" spans="1:8" ht="12.75" customHeight="1" x14ac:dyDescent="0.2">
      <c r="A54" s="2"/>
      <c r="B54" s="2"/>
      <c r="C54" s="2"/>
      <c r="D54" s="2"/>
      <c r="E54" s="2"/>
      <c r="F54" s="2"/>
      <c r="G54" s="2"/>
      <c r="H54" s="2"/>
    </row>
    <row r="55" spans="1:8" ht="12.75" customHeight="1" x14ac:dyDescent="0.2"/>
    <row r="56" spans="1:8" ht="12.75" customHeight="1" x14ac:dyDescent="0.2"/>
    <row r="57" spans="1:8" ht="12.75" customHeight="1" x14ac:dyDescent="0.2"/>
    <row r="58" spans="1:8" ht="12.75" customHeight="1" x14ac:dyDescent="0.2"/>
    <row r="59" spans="1:8" ht="12.75" customHeight="1" x14ac:dyDescent="0.2"/>
    <row r="60" spans="1:8" ht="12.75" customHeight="1" x14ac:dyDescent="0.2"/>
    <row r="61" spans="1:8" ht="12.75" customHeight="1" x14ac:dyDescent="0.2"/>
    <row r="62" spans="1:8" ht="12.75" customHeight="1" x14ac:dyDescent="0.2"/>
    <row r="63" spans="1:8" ht="12.75" customHeight="1" x14ac:dyDescent="0.2"/>
    <row r="64" spans="1:8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ySplit="9" topLeftCell="A73" activePane="bottomLeft" state="frozen"/>
      <selection pane="bottomLeft" activeCell="F7" sqref="F7"/>
    </sheetView>
  </sheetViews>
  <sheetFormatPr defaultColWidth="14.42578125" defaultRowHeight="15" customHeight="1" x14ac:dyDescent="0.2"/>
  <cols>
    <col min="1" max="1" width="19.85546875" customWidth="1"/>
    <col min="2" max="2" width="12.85546875" customWidth="1"/>
    <col min="3" max="3" width="15.28515625" customWidth="1"/>
    <col min="4" max="4" width="50.85546875" customWidth="1"/>
    <col min="5" max="5" width="13.5703125" customWidth="1"/>
    <col min="6" max="6" width="17.85546875" customWidth="1"/>
    <col min="7" max="7" width="15" customWidth="1"/>
    <col min="8" max="8" width="13.5703125" customWidth="1"/>
    <col min="9" max="10" width="14.5703125" customWidth="1"/>
    <col min="11" max="11" width="14" customWidth="1"/>
    <col min="12" max="12" width="51.7109375" customWidth="1"/>
    <col min="13" max="14" width="21.42578125" customWidth="1"/>
    <col min="15" max="26" width="8" customWidth="1"/>
  </cols>
  <sheetData>
    <row r="1" spans="1:10" ht="18" customHeight="1" x14ac:dyDescent="0.25">
      <c r="A1" s="24" t="s">
        <v>34</v>
      </c>
      <c r="B1" s="25">
        <f>'Signature Page'!$B$9</f>
        <v>5</v>
      </c>
    </row>
    <row r="2" spans="1:10" ht="18" customHeight="1" x14ac:dyDescent="0.25">
      <c r="A2" s="24" t="s">
        <v>57</v>
      </c>
      <c r="B2" s="26" t="str">
        <f>Revenues!B2</f>
        <v>2018-2019</v>
      </c>
    </row>
    <row r="3" spans="1:10" ht="18" customHeight="1" x14ac:dyDescent="0.25">
      <c r="A3" s="24"/>
      <c r="B3" s="27"/>
    </row>
    <row r="4" spans="1:10" ht="12.75" customHeight="1" x14ac:dyDescent="0.2">
      <c r="A4" s="28" t="s">
        <v>58</v>
      </c>
      <c r="E4" s="2" t="s">
        <v>59</v>
      </c>
      <c r="F4" s="101" t="s">
        <v>365</v>
      </c>
    </row>
    <row r="5" spans="1:10" ht="12.75" customHeight="1" x14ac:dyDescent="0.2">
      <c r="A5" s="28" t="s">
        <v>60</v>
      </c>
      <c r="C5" s="29" t="str">
        <f>B2</f>
        <v>2018-2019</v>
      </c>
    </row>
    <row r="6" spans="1:10" ht="12.75" customHeight="1" x14ac:dyDescent="0.2">
      <c r="A6" s="28" t="s">
        <v>61</v>
      </c>
      <c r="E6" s="2" t="s">
        <v>62</v>
      </c>
      <c r="F6" s="117">
        <v>43889</v>
      </c>
    </row>
    <row r="7" spans="1:10" ht="12.75" customHeight="1" x14ac:dyDescent="0.2"/>
    <row r="8" spans="1:10" ht="12.75" customHeight="1" x14ac:dyDescent="0.2">
      <c r="A8" s="28" t="s">
        <v>63</v>
      </c>
      <c r="E8" s="30" t="s">
        <v>64</v>
      </c>
      <c r="F8" s="30" t="s">
        <v>64</v>
      </c>
      <c r="G8" s="30" t="s">
        <v>65</v>
      </c>
      <c r="H8" s="30" t="s">
        <v>66</v>
      </c>
      <c r="I8" s="30" t="s">
        <v>67</v>
      </c>
      <c r="J8" s="30"/>
    </row>
    <row r="9" spans="1:10" ht="12.75" customHeight="1" x14ac:dyDescent="0.2">
      <c r="A9" s="28" t="s">
        <v>68</v>
      </c>
      <c r="B9" s="28" t="s">
        <v>69</v>
      </c>
      <c r="C9" s="28" t="s">
        <v>70</v>
      </c>
      <c r="D9" s="28" t="s">
        <v>71</v>
      </c>
      <c r="E9" s="30" t="s">
        <v>72</v>
      </c>
      <c r="F9" s="30" t="s">
        <v>73</v>
      </c>
      <c r="G9" s="30" t="s">
        <v>63</v>
      </c>
      <c r="H9" s="30" t="s">
        <v>63</v>
      </c>
      <c r="I9" s="30" t="s">
        <v>63</v>
      </c>
      <c r="J9" s="30"/>
    </row>
    <row r="10" spans="1:10" ht="12.75" customHeight="1" x14ac:dyDescent="0.2"/>
    <row r="11" spans="1:10" ht="12.75" customHeight="1" x14ac:dyDescent="0.2">
      <c r="A11" s="31" t="s">
        <v>74</v>
      </c>
      <c r="B11" s="31" t="s">
        <v>75</v>
      </c>
      <c r="C11" s="31" t="s">
        <v>76</v>
      </c>
      <c r="D11" s="28" t="s">
        <v>77</v>
      </c>
      <c r="E11" s="32"/>
      <c r="F11" s="32"/>
      <c r="G11" s="33">
        <f>900556.51</f>
        <v>900556.51</v>
      </c>
      <c r="H11" s="34"/>
      <c r="I11" s="35">
        <v>0</v>
      </c>
      <c r="J11" s="35"/>
    </row>
    <row r="12" spans="1:10" ht="12.75" customHeight="1" x14ac:dyDescent="0.2">
      <c r="A12" s="31" t="s">
        <v>74</v>
      </c>
      <c r="B12" s="31" t="s">
        <v>75</v>
      </c>
      <c r="C12" s="31" t="s">
        <v>78</v>
      </c>
      <c r="D12" s="28" t="s">
        <v>79</v>
      </c>
      <c r="E12" s="32"/>
      <c r="F12" s="32"/>
      <c r="G12" s="33">
        <f>279617</f>
        <v>279617</v>
      </c>
      <c r="H12" s="32"/>
      <c r="I12" s="35">
        <v>0</v>
      </c>
      <c r="J12" s="35"/>
    </row>
    <row r="13" spans="1:10" ht="12.75" customHeight="1" x14ac:dyDescent="0.2">
      <c r="A13" s="31" t="s">
        <v>74</v>
      </c>
      <c r="B13" s="31" t="s">
        <v>75</v>
      </c>
      <c r="C13" s="31" t="s">
        <v>80</v>
      </c>
      <c r="D13" s="28" t="s">
        <v>81</v>
      </c>
      <c r="E13" s="33">
        <v>206818.47</v>
      </c>
      <c r="F13" s="33">
        <v>206818.41699999999</v>
      </c>
      <c r="G13" s="32"/>
      <c r="H13" s="32"/>
      <c r="I13" s="35">
        <v>0</v>
      </c>
      <c r="J13" s="35"/>
    </row>
    <row r="14" spans="1:10" ht="12.75" customHeight="1" x14ac:dyDescent="0.2">
      <c r="A14" s="31" t="s">
        <v>74</v>
      </c>
      <c r="B14" s="31" t="s">
        <v>75</v>
      </c>
      <c r="C14" s="31" t="s">
        <v>82</v>
      </c>
      <c r="D14" s="28" t="s">
        <v>83</v>
      </c>
      <c r="E14" s="32"/>
      <c r="F14" s="33">
        <f>29753.57-3854.11</f>
        <v>25899.46</v>
      </c>
      <c r="G14" s="34"/>
      <c r="H14" s="36">
        <v>3854.11</v>
      </c>
      <c r="I14" s="35">
        <v>0</v>
      </c>
      <c r="J14" s="35"/>
    </row>
    <row r="15" spans="1:10" ht="12.75" customHeight="1" x14ac:dyDescent="0.2">
      <c r="A15" s="31" t="s">
        <v>74</v>
      </c>
      <c r="B15" s="31" t="s">
        <v>75</v>
      </c>
      <c r="C15" s="31" t="s">
        <v>84</v>
      </c>
      <c r="D15" s="28" t="s">
        <v>85</v>
      </c>
      <c r="E15" s="32"/>
      <c r="F15" s="33">
        <v>18331</v>
      </c>
      <c r="G15" s="32"/>
      <c r="H15" s="32"/>
      <c r="I15" s="35">
        <v>0</v>
      </c>
      <c r="J15" s="35"/>
    </row>
    <row r="16" spans="1:10" ht="12.75" customHeight="1" x14ac:dyDescent="0.2">
      <c r="A16" s="31" t="s">
        <v>74</v>
      </c>
      <c r="B16" s="31" t="s">
        <v>75</v>
      </c>
      <c r="C16" s="31" t="s">
        <v>86</v>
      </c>
      <c r="D16" s="28" t="s">
        <v>87</v>
      </c>
      <c r="E16" s="32"/>
      <c r="F16" s="32"/>
      <c r="G16" s="33">
        <v>76333.95</v>
      </c>
      <c r="H16" s="34"/>
      <c r="I16" s="35">
        <v>0</v>
      </c>
      <c r="J16" s="35"/>
    </row>
    <row r="17" spans="1:26" ht="12.75" customHeight="1" x14ac:dyDescent="0.2">
      <c r="A17" s="31" t="s">
        <v>74</v>
      </c>
      <c r="B17" s="31" t="s">
        <v>75</v>
      </c>
      <c r="C17" s="31" t="s">
        <v>88</v>
      </c>
      <c r="D17" s="28" t="s">
        <v>89</v>
      </c>
      <c r="E17" s="33">
        <v>13834.08</v>
      </c>
      <c r="F17" s="33">
        <v>13834</v>
      </c>
      <c r="G17" s="32"/>
      <c r="H17" s="32"/>
      <c r="I17" s="35">
        <v>0</v>
      </c>
      <c r="J17" s="35"/>
    </row>
    <row r="18" spans="1:26" ht="12.75" customHeight="1" x14ac:dyDescent="0.2">
      <c r="A18" s="31" t="s">
        <v>74</v>
      </c>
      <c r="B18" s="31" t="s">
        <v>75</v>
      </c>
      <c r="C18" s="31" t="s">
        <v>90</v>
      </c>
      <c r="D18" s="28" t="s">
        <v>91</v>
      </c>
      <c r="E18" s="35">
        <f>+I18</f>
        <v>0</v>
      </c>
      <c r="F18" s="35">
        <f>+I18</f>
        <v>0</v>
      </c>
      <c r="G18" s="32"/>
      <c r="H18" s="32"/>
      <c r="I18" s="35">
        <v>0</v>
      </c>
      <c r="J18" s="35"/>
    </row>
    <row r="19" spans="1:26" ht="12.75" customHeight="1" x14ac:dyDescent="0.2">
      <c r="A19" s="31" t="s">
        <v>74</v>
      </c>
      <c r="B19" s="31" t="s">
        <v>75</v>
      </c>
      <c r="C19" s="31" t="s">
        <v>92</v>
      </c>
      <c r="D19" s="28" t="s">
        <v>93</v>
      </c>
      <c r="E19" s="35">
        <f>+I19</f>
        <v>0</v>
      </c>
      <c r="F19" s="35">
        <f>+I19</f>
        <v>0</v>
      </c>
      <c r="G19" s="32"/>
      <c r="H19" s="32"/>
      <c r="I19" s="35">
        <v>0</v>
      </c>
      <c r="J19" s="35"/>
    </row>
    <row r="20" spans="1:26" ht="12.75" customHeight="1" x14ac:dyDescent="0.2">
      <c r="A20" s="31" t="s">
        <v>74</v>
      </c>
      <c r="B20" s="31" t="s">
        <v>75</v>
      </c>
      <c r="C20" s="31" t="s">
        <v>94</v>
      </c>
      <c r="D20" s="28" t="s">
        <v>95</v>
      </c>
      <c r="E20" s="32"/>
      <c r="F20" s="32"/>
      <c r="G20" s="32"/>
      <c r="H20" s="33">
        <v>4473</v>
      </c>
      <c r="I20" s="35">
        <v>0</v>
      </c>
      <c r="J20" s="35"/>
    </row>
    <row r="21" spans="1:26" ht="12.75" customHeight="1" x14ac:dyDescent="0.2">
      <c r="A21" s="31" t="s">
        <v>74</v>
      </c>
      <c r="B21" s="31" t="s">
        <v>75</v>
      </c>
      <c r="C21" s="31" t="s">
        <v>96</v>
      </c>
      <c r="D21" s="28" t="s">
        <v>97</v>
      </c>
      <c r="E21" s="35">
        <v>1582</v>
      </c>
      <c r="F21" s="35">
        <v>1582</v>
      </c>
      <c r="G21" s="35">
        <v>0</v>
      </c>
      <c r="H21" s="35">
        <v>0</v>
      </c>
      <c r="I21" s="35">
        <v>0</v>
      </c>
      <c r="J21" s="3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31" t="s">
        <v>74</v>
      </c>
      <c r="B22" s="31" t="s">
        <v>75</v>
      </c>
      <c r="C22" s="31" t="s">
        <v>98</v>
      </c>
      <c r="D22" s="28" t="s">
        <v>99</v>
      </c>
      <c r="E22" s="33">
        <v>234788</v>
      </c>
      <c r="F22" s="33">
        <v>234788</v>
      </c>
      <c r="G22" s="32"/>
      <c r="H22" s="32"/>
      <c r="I22" s="35">
        <v>0</v>
      </c>
      <c r="J22" s="35"/>
    </row>
    <row r="23" spans="1:26" ht="12.75" customHeight="1" x14ac:dyDescent="0.2">
      <c r="A23" s="31" t="s">
        <v>74</v>
      </c>
      <c r="B23" s="31" t="s">
        <v>75</v>
      </c>
      <c r="C23" s="31" t="s">
        <v>100</v>
      </c>
      <c r="D23" s="28" t="s">
        <v>101</v>
      </c>
      <c r="E23" s="32"/>
      <c r="F23" s="32"/>
      <c r="G23" s="32"/>
      <c r="H23" s="33">
        <v>18687</v>
      </c>
      <c r="I23" s="35">
        <v>0</v>
      </c>
      <c r="J23" s="35"/>
    </row>
    <row r="24" spans="1:26" ht="12.75" customHeight="1" x14ac:dyDescent="0.2">
      <c r="A24" s="31" t="s">
        <v>74</v>
      </c>
      <c r="B24" s="31" t="s">
        <v>75</v>
      </c>
      <c r="C24" s="31" t="s">
        <v>102</v>
      </c>
      <c r="D24" s="28" t="s">
        <v>103</v>
      </c>
      <c r="E24" s="34"/>
      <c r="F24" s="34"/>
      <c r="G24" s="34"/>
      <c r="H24" s="35">
        <f>+I24</f>
        <v>0</v>
      </c>
      <c r="I24" s="37">
        <v>0</v>
      </c>
      <c r="J24" s="37"/>
    </row>
    <row r="25" spans="1:26" ht="12.75" customHeight="1" x14ac:dyDescent="0.2">
      <c r="A25" s="31" t="s">
        <v>74</v>
      </c>
      <c r="B25" s="31" t="s">
        <v>75</v>
      </c>
      <c r="C25" s="31" t="s">
        <v>104</v>
      </c>
      <c r="D25" s="28" t="s">
        <v>105</v>
      </c>
      <c r="E25" s="35">
        <f>110449-1219+1</f>
        <v>109231</v>
      </c>
      <c r="F25" s="33">
        <v>109231</v>
      </c>
      <c r="G25" s="32"/>
      <c r="H25" s="32"/>
      <c r="I25" s="35">
        <v>0</v>
      </c>
      <c r="J25" s="35"/>
    </row>
    <row r="26" spans="1:26" ht="12.75" customHeight="1" x14ac:dyDescent="0.2">
      <c r="A26" s="31" t="s">
        <v>74</v>
      </c>
      <c r="B26" s="31" t="s">
        <v>75</v>
      </c>
      <c r="C26" s="31" t="s">
        <v>106</v>
      </c>
      <c r="D26" s="28" t="s">
        <v>107</v>
      </c>
      <c r="E26" s="34"/>
      <c r="F26" s="34"/>
      <c r="G26" s="38">
        <v>0</v>
      </c>
      <c r="H26" s="34"/>
      <c r="I26" s="37">
        <v>0</v>
      </c>
      <c r="J26" s="37"/>
    </row>
    <row r="27" spans="1:26" ht="12.75" customHeight="1" x14ac:dyDescent="0.2">
      <c r="A27" s="31" t="s">
        <v>74</v>
      </c>
      <c r="B27" s="31" t="s">
        <v>75</v>
      </c>
      <c r="C27" s="31" t="s">
        <v>108</v>
      </c>
      <c r="D27" s="28" t="s">
        <v>109</v>
      </c>
      <c r="E27" s="32"/>
      <c r="F27" s="32"/>
      <c r="G27" s="39">
        <v>1219</v>
      </c>
      <c r="H27" s="32"/>
      <c r="I27" s="35">
        <v>0</v>
      </c>
      <c r="J27" s="35"/>
    </row>
    <row r="28" spans="1:26" ht="12.75" customHeight="1" x14ac:dyDescent="0.2">
      <c r="A28" s="31" t="s">
        <v>74</v>
      </c>
      <c r="B28" s="31" t="s">
        <v>75</v>
      </c>
      <c r="C28" s="31" t="s">
        <v>110</v>
      </c>
      <c r="D28" s="28" t="s">
        <v>111</v>
      </c>
      <c r="E28" s="32"/>
      <c r="F28" s="32"/>
      <c r="G28" s="35">
        <f>+I28</f>
        <v>0</v>
      </c>
      <c r="H28" s="32"/>
      <c r="I28" s="35">
        <v>0</v>
      </c>
      <c r="J28" s="35"/>
    </row>
    <row r="29" spans="1:26" ht="12.75" customHeight="1" x14ac:dyDescent="0.2">
      <c r="A29" s="31" t="s">
        <v>74</v>
      </c>
      <c r="B29" s="31" t="s">
        <v>75</v>
      </c>
      <c r="C29" s="31" t="s">
        <v>112</v>
      </c>
      <c r="D29" s="28" t="s">
        <v>113</v>
      </c>
      <c r="E29" s="32"/>
      <c r="F29" s="32"/>
      <c r="G29" s="35">
        <f>17641+13357.77-11475</f>
        <v>19523.77</v>
      </c>
      <c r="H29" s="32"/>
      <c r="I29" s="35">
        <v>0</v>
      </c>
      <c r="J29" s="35"/>
    </row>
    <row r="30" spans="1:26" ht="12.75" customHeight="1" x14ac:dyDescent="0.2">
      <c r="A30" s="31" t="s">
        <v>74</v>
      </c>
      <c r="B30" s="31" t="s">
        <v>114</v>
      </c>
      <c r="C30" s="31" t="s">
        <v>115</v>
      </c>
      <c r="D30" s="28" t="s">
        <v>116</v>
      </c>
      <c r="E30" s="35"/>
      <c r="F30" s="35"/>
      <c r="G30" s="35"/>
      <c r="H30" s="33">
        <v>45061</v>
      </c>
      <c r="I30" s="35">
        <v>0</v>
      </c>
      <c r="J30" s="35"/>
    </row>
    <row r="31" spans="1:26" ht="12.75" customHeight="1" x14ac:dyDescent="0.2">
      <c r="E31" s="35"/>
      <c r="F31" s="35"/>
      <c r="G31" s="35"/>
      <c r="H31" s="35"/>
      <c r="I31" s="35"/>
      <c r="J31" s="35"/>
    </row>
    <row r="32" spans="1:26" ht="12.75" customHeight="1" x14ac:dyDescent="0.2">
      <c r="A32" s="31" t="s">
        <v>74</v>
      </c>
      <c r="B32" s="31" t="s">
        <v>117</v>
      </c>
      <c r="C32" s="31" t="s">
        <v>115</v>
      </c>
      <c r="D32" s="28" t="s">
        <v>118</v>
      </c>
      <c r="E32" s="35">
        <f>SUM(E11:E31)</f>
        <v>566253.55000000005</v>
      </c>
      <c r="F32" s="35">
        <f>SUM(F11:F31)</f>
        <v>610483.87699999998</v>
      </c>
      <c r="G32" s="35">
        <f>SUM(G11:G31)</f>
        <v>1277250.23</v>
      </c>
      <c r="H32" s="35">
        <f>SUM(H11:H31)</f>
        <v>72075.11</v>
      </c>
      <c r="I32" s="35">
        <f>SUM(I11:I31)</f>
        <v>0</v>
      </c>
      <c r="J32" s="35"/>
    </row>
    <row r="33" spans="1:26" ht="12.75" customHeight="1" x14ac:dyDescent="0.2">
      <c r="A33" s="31" t="s">
        <v>119</v>
      </c>
      <c r="B33" s="31" t="s">
        <v>117</v>
      </c>
      <c r="C33" s="31" t="s">
        <v>115</v>
      </c>
      <c r="D33" s="28" t="s">
        <v>120</v>
      </c>
      <c r="E33" s="32"/>
      <c r="F33" s="32"/>
      <c r="G33" s="33">
        <f>'Governmental Funds'!B35</f>
        <v>4296518.5199999996</v>
      </c>
      <c r="H33" s="32"/>
      <c r="I33" s="35">
        <v>0</v>
      </c>
      <c r="J33" s="35"/>
    </row>
    <row r="34" spans="1:26" ht="12.75" customHeight="1" x14ac:dyDescent="0.2">
      <c r="A34" s="31" t="s">
        <v>121</v>
      </c>
      <c r="B34" s="31" t="s">
        <v>117</v>
      </c>
      <c r="C34" s="31" t="s">
        <v>115</v>
      </c>
      <c r="D34" s="28" t="s">
        <v>122</v>
      </c>
      <c r="E34" s="32"/>
      <c r="F34" s="32"/>
      <c r="G34" s="33">
        <f>'Governmental Funds'!C35</f>
        <v>367950.80000000005</v>
      </c>
      <c r="H34" s="32"/>
      <c r="I34" s="35">
        <v>0</v>
      </c>
      <c r="J34" s="35"/>
    </row>
    <row r="35" spans="1:26" ht="12.75" customHeight="1" x14ac:dyDescent="0.2">
      <c r="A35" s="40">
        <v>29</v>
      </c>
      <c r="B35" s="31" t="s">
        <v>117</v>
      </c>
      <c r="C35" s="31" t="s">
        <v>115</v>
      </c>
      <c r="D35" s="28" t="s">
        <v>123</v>
      </c>
      <c r="E35" s="32"/>
      <c r="F35" s="32"/>
      <c r="G35" s="33">
        <f>'Governmental Funds'!D35</f>
        <v>5132508.29</v>
      </c>
      <c r="H35" s="32"/>
      <c r="I35" s="35">
        <v>0</v>
      </c>
      <c r="J35" s="35"/>
    </row>
    <row r="36" spans="1:26" ht="12.75" customHeight="1" x14ac:dyDescent="0.2">
      <c r="A36" s="31" t="s">
        <v>124</v>
      </c>
      <c r="B36" s="31" t="s">
        <v>117</v>
      </c>
      <c r="C36" s="31" t="s">
        <v>115</v>
      </c>
      <c r="D36" s="28" t="s">
        <v>125</v>
      </c>
      <c r="E36" s="32"/>
      <c r="F36" s="32"/>
      <c r="G36" s="33">
        <v>0</v>
      </c>
      <c r="H36" s="32"/>
      <c r="I36" s="35">
        <v>0</v>
      </c>
      <c r="J36" s="35"/>
    </row>
    <row r="37" spans="1:26" ht="12.75" customHeight="1" x14ac:dyDescent="0.2">
      <c r="A37" s="31" t="s">
        <v>126</v>
      </c>
      <c r="B37" s="31" t="s">
        <v>117</v>
      </c>
      <c r="C37" s="31" t="s">
        <v>115</v>
      </c>
      <c r="D37" s="28" t="s">
        <v>127</v>
      </c>
      <c r="E37" s="32"/>
      <c r="F37" s="32"/>
      <c r="G37" s="32"/>
      <c r="H37" s="35">
        <f>+I37</f>
        <v>0</v>
      </c>
      <c r="I37" s="35">
        <v>0</v>
      </c>
      <c r="J37" s="35"/>
    </row>
    <row r="38" spans="1:26" ht="12.75" customHeight="1" x14ac:dyDescent="0.2">
      <c r="A38" s="31" t="s">
        <v>128</v>
      </c>
      <c r="B38" s="31" t="s">
        <v>117</v>
      </c>
      <c r="C38" s="31" t="s">
        <v>115</v>
      </c>
      <c r="D38" s="28" t="s">
        <v>129</v>
      </c>
      <c r="E38" s="32"/>
      <c r="F38" s="32"/>
      <c r="G38" s="32"/>
      <c r="H38" s="41">
        <f>+I38</f>
        <v>0</v>
      </c>
      <c r="I38" s="35">
        <v>0</v>
      </c>
      <c r="J38" s="35"/>
    </row>
    <row r="39" spans="1:26" ht="12.75" customHeight="1" x14ac:dyDescent="0.2">
      <c r="A39" s="31" t="s">
        <v>130</v>
      </c>
      <c r="B39" s="31" t="s">
        <v>117</v>
      </c>
      <c r="C39" s="31" t="s">
        <v>115</v>
      </c>
      <c r="D39" s="28" t="s">
        <v>131</v>
      </c>
      <c r="E39" s="32"/>
      <c r="F39" s="32"/>
      <c r="G39" s="35">
        <f>+I39</f>
        <v>0</v>
      </c>
      <c r="H39" s="42"/>
      <c r="I39" s="35">
        <v>0</v>
      </c>
      <c r="J39" s="35"/>
    </row>
    <row r="40" spans="1:26" ht="12.75" customHeight="1" x14ac:dyDescent="0.2">
      <c r="A40" s="31" t="s">
        <v>132</v>
      </c>
      <c r="B40" s="31" t="s">
        <v>117</v>
      </c>
      <c r="C40" s="31" t="s">
        <v>115</v>
      </c>
      <c r="D40" s="28" t="s">
        <v>133</v>
      </c>
      <c r="E40" s="35"/>
      <c r="F40" s="35"/>
      <c r="G40" s="33">
        <v>4737894.3600000003</v>
      </c>
      <c r="H40" s="35"/>
      <c r="I40" s="35">
        <v>0</v>
      </c>
      <c r="J40" s="3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31" t="s">
        <v>134</v>
      </c>
      <c r="B41" s="31" t="s">
        <v>117</v>
      </c>
      <c r="C41" s="31" t="s">
        <v>115</v>
      </c>
      <c r="D41" s="28" t="s">
        <v>135</v>
      </c>
      <c r="E41" s="32"/>
      <c r="F41" s="32"/>
      <c r="G41" s="43" t="s">
        <v>136</v>
      </c>
      <c r="H41" s="33">
        <v>32118.63</v>
      </c>
      <c r="I41" s="35">
        <v>0</v>
      </c>
      <c r="J41" s="35"/>
    </row>
    <row r="42" spans="1:26" ht="12.75" customHeight="1" x14ac:dyDescent="0.2">
      <c r="A42" s="31" t="s">
        <v>137</v>
      </c>
      <c r="B42" s="31" t="s">
        <v>117</v>
      </c>
      <c r="C42" s="31" t="s">
        <v>115</v>
      </c>
      <c r="D42" s="28" t="s">
        <v>138</v>
      </c>
      <c r="E42" s="32"/>
      <c r="F42" s="32"/>
      <c r="G42" s="32"/>
      <c r="H42" s="33">
        <v>7782.21</v>
      </c>
      <c r="I42" s="35">
        <v>0</v>
      </c>
      <c r="J42" s="35"/>
    </row>
    <row r="43" spans="1:26" ht="12.75" customHeight="1" x14ac:dyDescent="0.2">
      <c r="A43" s="40">
        <v>91</v>
      </c>
      <c r="B43" s="31" t="s">
        <v>117</v>
      </c>
      <c r="C43" s="31" t="s">
        <v>115</v>
      </c>
      <c r="D43" s="28" t="s">
        <v>139</v>
      </c>
      <c r="E43" s="32"/>
      <c r="F43" s="32"/>
      <c r="G43" s="32"/>
      <c r="H43" s="35">
        <f>'Governmental Funds'!G35</f>
        <v>378051.33999999997</v>
      </c>
      <c r="I43" s="35">
        <v>0</v>
      </c>
      <c r="J43" s="35"/>
    </row>
    <row r="44" spans="1:26" ht="12.75" customHeight="1" x14ac:dyDescent="0.2">
      <c r="A44" s="31" t="s">
        <v>140</v>
      </c>
      <c r="B44" s="31" t="s">
        <v>117</v>
      </c>
      <c r="C44" s="31" t="s">
        <v>115</v>
      </c>
      <c r="D44" s="28" t="s">
        <v>141</v>
      </c>
      <c r="E44" s="34"/>
      <c r="F44" s="34"/>
      <c r="G44" s="45">
        <f>'Governmental Funds'!H35+'Governmental Funds'!F35</f>
        <v>13319213.369999999</v>
      </c>
      <c r="H44" s="34"/>
      <c r="I44" s="35">
        <v>0</v>
      </c>
      <c r="J44" s="35"/>
    </row>
    <row r="45" spans="1:26" ht="12.75" customHeight="1" x14ac:dyDescent="0.2">
      <c r="A45" s="31" t="s">
        <v>142</v>
      </c>
      <c r="B45" s="31" t="s">
        <v>117</v>
      </c>
      <c r="C45" s="31" t="s">
        <v>115</v>
      </c>
      <c r="D45" s="28" t="s">
        <v>143</v>
      </c>
      <c r="E45" s="32"/>
      <c r="F45" s="32"/>
      <c r="G45" s="35">
        <f>'Governmental Funds'!I35</f>
        <v>1456787.15</v>
      </c>
      <c r="H45" s="32"/>
      <c r="I45" s="35">
        <v>0</v>
      </c>
      <c r="J45" s="35"/>
    </row>
    <row r="46" spans="1:26" ht="12.75" customHeight="1" x14ac:dyDescent="0.2">
      <c r="A46" s="31" t="s">
        <v>144</v>
      </c>
      <c r="B46" s="31" t="s">
        <v>117</v>
      </c>
      <c r="C46" s="31" t="s">
        <v>115</v>
      </c>
      <c r="D46" s="28" t="s">
        <v>145</v>
      </c>
      <c r="E46" s="32"/>
      <c r="F46" s="32"/>
      <c r="G46" s="35">
        <f>'Governmental Funds'!J35-G40-H41-H42</f>
        <v>201438.06999999922</v>
      </c>
      <c r="H46" s="32"/>
      <c r="I46" s="35">
        <v>0</v>
      </c>
      <c r="J46" s="35"/>
    </row>
    <row r="47" spans="1:26" ht="15.75" customHeight="1" x14ac:dyDescent="0.25">
      <c r="E47" s="35"/>
      <c r="F47" s="35"/>
      <c r="G47" s="35"/>
      <c r="H47" s="35"/>
      <c r="I47" s="35"/>
      <c r="J47" s="35"/>
      <c r="K47" s="108"/>
      <c r="L47" s="105"/>
      <c r="M47" s="105"/>
      <c r="N47" s="105"/>
    </row>
    <row r="48" spans="1:26" ht="26.25" customHeight="1" x14ac:dyDescent="0.4">
      <c r="D48" s="28" t="s">
        <v>67</v>
      </c>
      <c r="E48" s="35">
        <f>SUM(E32:E47)</f>
        <v>566253.55000000005</v>
      </c>
      <c r="F48" s="35">
        <f>SUM(F32:F47)</f>
        <v>610483.87699999998</v>
      </c>
      <c r="G48" s="35">
        <f>SUM(G32:G47)</f>
        <v>30789560.789999999</v>
      </c>
      <c r="H48" s="35">
        <f>SUM(H32:H47)</f>
        <v>490027.29</v>
      </c>
      <c r="I48" s="35">
        <f>H48+G48+F48</f>
        <v>31890071.956999999</v>
      </c>
      <c r="J48" s="47"/>
      <c r="L48" s="2"/>
      <c r="M48" s="2"/>
      <c r="N48" s="2"/>
    </row>
    <row r="49" spans="1:26" ht="12.75" customHeight="1" x14ac:dyDescent="0.2">
      <c r="I49" s="48"/>
      <c r="K49" s="2"/>
      <c r="L49" s="2"/>
      <c r="M49" s="2"/>
      <c r="N49" s="2"/>
    </row>
    <row r="50" spans="1:26" ht="12.75" customHeight="1" x14ac:dyDescent="0.2">
      <c r="J50" s="45"/>
      <c r="K50" s="30"/>
      <c r="L50" s="109"/>
      <c r="M50" s="105"/>
      <c r="N50" s="105"/>
    </row>
    <row r="51" spans="1:26" ht="12.75" customHeight="1" x14ac:dyDescent="0.2">
      <c r="D51" s="28" t="s">
        <v>146</v>
      </c>
      <c r="K51" s="49"/>
      <c r="L51" s="105"/>
      <c r="M51" s="105"/>
      <c r="N51" s="105"/>
    </row>
    <row r="52" spans="1:26" ht="12.75" customHeight="1" x14ac:dyDescent="0.2">
      <c r="I52" s="50" t="s">
        <v>136</v>
      </c>
      <c r="J52" s="50"/>
      <c r="K52" s="2"/>
      <c r="L52" s="2"/>
      <c r="M52" s="2"/>
      <c r="N52" s="2"/>
    </row>
    <row r="53" spans="1:26" ht="12.75" customHeight="1" x14ac:dyDescent="0.2">
      <c r="D53" s="28" t="s">
        <v>73</v>
      </c>
      <c r="E53" s="51">
        <f>F48/G48</f>
        <v>1.982762538133627E-2</v>
      </c>
      <c r="K53" s="2"/>
      <c r="L53" s="2"/>
      <c r="M53" s="2"/>
      <c r="N53" s="2"/>
    </row>
    <row r="54" spans="1:26" ht="12.75" customHeight="1" x14ac:dyDescent="0.2">
      <c r="K54" s="2"/>
      <c r="L54" s="2"/>
      <c r="M54" s="2"/>
      <c r="N54" s="2"/>
    </row>
    <row r="55" spans="1:26" ht="12.75" customHeight="1" x14ac:dyDescent="0.2">
      <c r="D55" s="28" t="s">
        <v>72</v>
      </c>
      <c r="E55" s="51">
        <f>E48/(+G48+F48-E48)</f>
        <v>1.8364707338495267E-2</v>
      </c>
      <c r="K55" s="2"/>
      <c r="L55" s="2"/>
      <c r="M55" s="2"/>
      <c r="N55" s="2"/>
    </row>
    <row r="56" spans="1:26" ht="9" customHeight="1" x14ac:dyDescent="0.2"/>
    <row r="57" spans="1:26" ht="12.75" customHeight="1" x14ac:dyDescent="0.2">
      <c r="D57" s="52"/>
      <c r="E57" s="28"/>
    </row>
    <row r="58" spans="1:26" ht="12.75" customHeight="1" x14ac:dyDescent="0.2">
      <c r="D58" s="28" t="s">
        <v>147</v>
      </c>
    </row>
    <row r="59" spans="1:26" ht="12.75" customHeight="1" x14ac:dyDescent="0.2">
      <c r="A59" s="2"/>
      <c r="B59" s="38"/>
      <c r="C59" s="38"/>
      <c r="D59" s="28" t="s">
        <v>148</v>
      </c>
      <c r="E59" s="92">
        <f>964736.93</f>
        <v>964736.93</v>
      </c>
      <c r="F59" s="92">
        <f>964736.93</f>
        <v>964736.93</v>
      </c>
      <c r="G59" s="92">
        <v>0</v>
      </c>
      <c r="H59" s="92"/>
      <c r="I59" s="9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2"/>
      <c r="B60" s="38"/>
      <c r="C60" s="38"/>
      <c r="D60" s="28" t="s">
        <v>149</v>
      </c>
      <c r="E60" s="92">
        <v>16062.92</v>
      </c>
      <c r="F60" s="92">
        <v>16062.92</v>
      </c>
      <c r="G60" s="92">
        <v>0</v>
      </c>
      <c r="H60" s="92"/>
      <c r="I60" s="9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2"/>
      <c r="B61" s="2"/>
      <c r="C61" s="38"/>
      <c r="D61" s="53" t="s">
        <v>150</v>
      </c>
      <c r="E61" s="92">
        <v>0</v>
      </c>
      <c r="F61" s="92">
        <v>0</v>
      </c>
      <c r="G61" s="92">
        <v>0</v>
      </c>
      <c r="H61" s="92"/>
      <c r="I61" s="9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2"/>
      <c r="B62" s="2"/>
      <c r="C62" s="38"/>
      <c r="D62" s="53" t="s">
        <v>151</v>
      </c>
      <c r="E62" s="93">
        <v>0</v>
      </c>
      <c r="F62" s="92">
        <v>0</v>
      </c>
      <c r="G62" s="93">
        <v>0</v>
      </c>
      <c r="H62" s="93"/>
      <c r="I62" s="93"/>
      <c r="J62" s="30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28"/>
      <c r="B63" s="28"/>
      <c r="C63" s="53"/>
      <c r="D63" s="53" t="s">
        <v>152</v>
      </c>
      <c r="E63" s="93">
        <v>1219.4100000000001</v>
      </c>
      <c r="F63" s="93">
        <v>1219.4100000000001</v>
      </c>
      <c r="G63" s="93">
        <v>0</v>
      </c>
      <c r="H63" s="93"/>
      <c r="I63" s="93"/>
      <c r="J63" s="30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2"/>
      <c r="B64" s="2"/>
      <c r="C64" s="38"/>
      <c r="D64" s="28" t="s">
        <v>153</v>
      </c>
      <c r="E64" s="92"/>
      <c r="F64" s="92"/>
      <c r="G64" s="92"/>
      <c r="H64" s="92"/>
      <c r="I64" s="9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31"/>
      <c r="B65" s="31"/>
      <c r="C65" s="31"/>
      <c r="D65" s="28" t="s">
        <v>154</v>
      </c>
      <c r="E65" s="93">
        <v>0</v>
      </c>
      <c r="F65" s="93">
        <v>0</v>
      </c>
      <c r="G65" s="93">
        <v>0</v>
      </c>
      <c r="H65" s="92"/>
      <c r="I65" s="92"/>
      <c r="J65" s="3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31"/>
      <c r="B66" s="31"/>
      <c r="C66" s="40"/>
      <c r="D66" s="53" t="s">
        <v>155</v>
      </c>
      <c r="E66" s="93">
        <v>28827.360000000001</v>
      </c>
      <c r="F66" s="93">
        <v>28827.360000000001</v>
      </c>
      <c r="G66" s="93">
        <v>0</v>
      </c>
      <c r="H66" s="92"/>
      <c r="I66" s="92"/>
      <c r="J66" s="3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31"/>
      <c r="B67" s="31"/>
      <c r="C67" s="31"/>
      <c r="D67" s="28"/>
      <c r="E67" s="92"/>
      <c r="F67" s="92"/>
      <c r="G67" s="92"/>
      <c r="H67" s="92"/>
      <c r="I67" s="92"/>
      <c r="J67" s="3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31"/>
      <c r="B68" s="31"/>
      <c r="C68" s="31"/>
      <c r="D68" s="28" t="s">
        <v>172</v>
      </c>
      <c r="E68" s="92"/>
      <c r="F68" s="92"/>
      <c r="G68" s="92"/>
      <c r="H68" s="92"/>
      <c r="I68" s="92"/>
      <c r="J68" s="3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31"/>
      <c r="B69" s="31"/>
      <c r="C69" s="31"/>
      <c r="D69" s="28" t="s">
        <v>177</v>
      </c>
      <c r="E69" s="92"/>
      <c r="F69" s="92"/>
      <c r="G69" s="92"/>
      <c r="H69" s="92"/>
      <c r="I69" s="92"/>
      <c r="J69" s="3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31"/>
      <c r="B70" s="31"/>
      <c r="C70" s="40">
        <v>990</v>
      </c>
      <c r="D70" s="28" t="s">
        <v>181</v>
      </c>
      <c r="E70" s="92">
        <v>0</v>
      </c>
      <c r="F70" s="92">
        <v>0</v>
      </c>
      <c r="G70" s="92">
        <v>2041159.29</v>
      </c>
      <c r="H70" s="92"/>
      <c r="I70" s="92"/>
      <c r="J70" s="3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31"/>
      <c r="B71" s="31"/>
      <c r="C71" s="40">
        <v>800</v>
      </c>
      <c r="D71" s="28" t="s">
        <v>182</v>
      </c>
      <c r="E71" s="92">
        <v>0</v>
      </c>
      <c r="F71" s="92">
        <v>0</v>
      </c>
      <c r="G71" s="92">
        <v>4209946.87</v>
      </c>
      <c r="H71" s="92"/>
      <c r="I71" s="92"/>
      <c r="J71" s="3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31"/>
      <c r="B72" s="31"/>
      <c r="C72" s="40">
        <v>500</v>
      </c>
      <c r="D72" s="28" t="s">
        <v>101</v>
      </c>
      <c r="E72" s="92">
        <v>0</v>
      </c>
      <c r="F72" s="92">
        <v>0</v>
      </c>
      <c r="G72" s="92">
        <v>0</v>
      </c>
      <c r="H72" s="92">
        <f>40725-H23</f>
        <v>22038</v>
      </c>
      <c r="I72" s="92"/>
      <c r="J72" s="3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31"/>
      <c r="B73" s="31"/>
      <c r="C73" s="40">
        <v>600</v>
      </c>
      <c r="D73" s="28" t="s">
        <v>183</v>
      </c>
      <c r="E73" s="92">
        <v>0</v>
      </c>
      <c r="F73" s="92">
        <v>0</v>
      </c>
      <c r="G73" s="92">
        <v>0</v>
      </c>
      <c r="H73" s="92">
        <v>0</v>
      </c>
      <c r="I73" s="92"/>
      <c r="J73" s="3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31"/>
      <c r="B74" s="31"/>
      <c r="C74" s="31"/>
      <c r="D74" s="28" t="s">
        <v>185</v>
      </c>
      <c r="E74" s="92">
        <v>0</v>
      </c>
      <c r="F74" s="92">
        <v>0</v>
      </c>
      <c r="G74" s="92">
        <v>0</v>
      </c>
      <c r="H74" s="92">
        <v>0</v>
      </c>
      <c r="I74" s="92"/>
      <c r="J74" s="3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31"/>
      <c r="B75" s="31"/>
      <c r="C75" s="31"/>
      <c r="D75" s="28"/>
      <c r="E75" s="92"/>
      <c r="F75" s="92"/>
      <c r="G75" s="92"/>
      <c r="H75" s="92"/>
      <c r="I75" s="92"/>
      <c r="J75" s="35"/>
    </row>
    <row r="76" spans="1:26" ht="12.75" customHeight="1" x14ac:dyDescent="0.2">
      <c r="A76" s="31"/>
      <c r="B76" s="31"/>
      <c r="C76" s="31"/>
      <c r="D76" s="28" t="s">
        <v>186</v>
      </c>
      <c r="E76" s="92">
        <f>+E48+SUM(E59:E67)-SUM(E69:E75)</f>
        <v>1577100.1700000002</v>
      </c>
      <c r="F76" s="92">
        <f>+F48+SUM(F59:F67)-SUM(F69:F75)</f>
        <v>1621330.497</v>
      </c>
      <c r="G76" s="92">
        <f>+G48+SUM(G59:G67)-SUM(G69:G75)</f>
        <v>24538454.629999999</v>
      </c>
      <c r="H76" s="92">
        <f>+H48+SUM(H59:H67)-SUM(H69:H75)</f>
        <v>467989.29</v>
      </c>
      <c r="I76" s="92">
        <f>+I48+SUM(I59:I65)-SUM(I69:I73)</f>
        <v>31890071.956999999</v>
      </c>
      <c r="J76" s="35"/>
    </row>
    <row r="77" spans="1:26" ht="12.75" customHeight="1" x14ac:dyDescent="0.2">
      <c r="A77" s="31"/>
      <c r="B77" s="31"/>
      <c r="C77" s="31"/>
      <c r="D77" s="28"/>
      <c r="E77" s="41"/>
      <c r="F77" s="41"/>
      <c r="G77" s="35"/>
      <c r="H77" s="35"/>
      <c r="I77" s="35"/>
      <c r="J77" s="35"/>
    </row>
    <row r="78" spans="1:26" ht="12.75" customHeight="1" x14ac:dyDescent="0.2">
      <c r="A78" s="31"/>
      <c r="B78" s="31"/>
      <c r="C78" s="31"/>
      <c r="D78" s="28" t="s">
        <v>189</v>
      </c>
      <c r="E78" s="51"/>
      <c r="F78" s="35"/>
      <c r="G78" s="35"/>
      <c r="H78" s="35"/>
      <c r="I78" s="35"/>
      <c r="J78" s="35"/>
    </row>
    <row r="79" spans="1:26" ht="12.75" customHeight="1" x14ac:dyDescent="0.2">
      <c r="A79" s="31"/>
      <c r="B79" s="31"/>
      <c r="C79" s="31"/>
      <c r="D79" s="28"/>
      <c r="E79" s="35"/>
      <c r="F79" s="35"/>
      <c r="G79" s="35"/>
      <c r="H79" s="35"/>
      <c r="I79" s="35"/>
      <c r="J79" s="35"/>
    </row>
    <row r="80" spans="1:26" ht="12.75" customHeight="1" x14ac:dyDescent="0.2">
      <c r="A80" s="61"/>
      <c r="B80" s="61"/>
      <c r="C80" s="61"/>
      <c r="D80" s="28" t="s">
        <v>73</v>
      </c>
      <c r="E80" s="51">
        <f>F76/G76</f>
        <v>6.6073048260252246E-2</v>
      </c>
      <c r="I80" s="37"/>
      <c r="J80" s="37"/>
    </row>
    <row r="81" spans="1:10" ht="12.75" customHeight="1" x14ac:dyDescent="0.2">
      <c r="A81" s="31"/>
      <c r="B81" s="31"/>
      <c r="C81" s="31"/>
      <c r="D81" s="28"/>
      <c r="E81" s="35"/>
      <c r="F81" s="35"/>
      <c r="G81" s="35"/>
      <c r="H81" s="35"/>
      <c r="I81" s="35"/>
      <c r="J81" s="35"/>
    </row>
    <row r="82" spans="1:10" ht="12.75" customHeight="1" x14ac:dyDescent="0.2">
      <c r="A82" s="61"/>
      <c r="B82" s="61"/>
      <c r="C82" s="61"/>
      <c r="D82" s="28" t="s">
        <v>72</v>
      </c>
      <c r="E82" s="51">
        <f>E76/(+G76+F76-E76)</f>
        <v>6.4154919316529571E-2</v>
      </c>
      <c r="I82" s="37"/>
      <c r="J82" s="37"/>
    </row>
    <row r="83" spans="1:10" ht="12.75" customHeight="1" x14ac:dyDescent="0.2">
      <c r="A83" s="31"/>
      <c r="B83" s="31"/>
      <c r="C83" s="31"/>
      <c r="D83" s="28"/>
      <c r="E83" s="35"/>
      <c r="F83" s="35"/>
      <c r="G83" s="35"/>
      <c r="H83" s="35"/>
      <c r="I83" s="35"/>
      <c r="J83" s="35"/>
    </row>
    <row r="84" spans="1:10" ht="12.75" customHeight="1" x14ac:dyDescent="0.2">
      <c r="A84" s="31"/>
      <c r="B84" s="31"/>
      <c r="C84" s="31"/>
      <c r="D84" s="28"/>
      <c r="E84" s="35"/>
      <c r="F84" s="35"/>
      <c r="G84" s="35"/>
      <c r="H84" s="35"/>
      <c r="I84" s="35"/>
      <c r="J84" s="35"/>
    </row>
    <row r="85" spans="1:10" ht="12.75" customHeight="1" x14ac:dyDescent="0.2">
      <c r="A85" s="31"/>
      <c r="B85" s="31"/>
      <c r="C85" s="31"/>
      <c r="D85" s="28"/>
      <c r="E85" s="35"/>
      <c r="F85" s="35"/>
      <c r="G85" s="35"/>
      <c r="H85" s="35"/>
      <c r="I85" s="35"/>
      <c r="J85" s="35"/>
    </row>
    <row r="86" spans="1:10" ht="12.75" customHeight="1" x14ac:dyDescent="0.2">
      <c r="A86" s="31"/>
      <c r="B86" s="31"/>
      <c r="C86" s="31"/>
      <c r="D86" s="28"/>
      <c r="E86" s="35"/>
      <c r="F86" s="35"/>
      <c r="G86" s="35"/>
      <c r="H86" s="41"/>
      <c r="I86" s="35"/>
      <c r="J86" s="35"/>
    </row>
    <row r="87" spans="1:10" ht="12.75" customHeight="1" x14ac:dyDescent="0.2">
      <c r="E87" s="35"/>
      <c r="F87" s="35"/>
      <c r="G87" s="35"/>
      <c r="H87" s="35"/>
      <c r="I87" s="35"/>
      <c r="J87" s="35"/>
    </row>
    <row r="88" spans="1:10" ht="12.75" customHeight="1" x14ac:dyDescent="0.2">
      <c r="A88" s="31"/>
      <c r="B88" s="31"/>
      <c r="C88" s="31"/>
      <c r="D88" s="28"/>
      <c r="E88" s="35"/>
      <c r="F88" s="35"/>
      <c r="G88" s="35"/>
      <c r="H88" s="35"/>
      <c r="I88" s="35"/>
      <c r="J88" s="35"/>
    </row>
    <row r="89" spans="1:10" ht="12.75" customHeight="1" x14ac:dyDescent="0.2">
      <c r="A89" s="31"/>
      <c r="B89" s="31"/>
      <c r="C89" s="31"/>
      <c r="D89" s="28"/>
      <c r="E89" s="35"/>
      <c r="F89" s="35"/>
      <c r="G89" s="35"/>
      <c r="H89" s="35"/>
      <c r="I89" s="35"/>
      <c r="J89" s="35"/>
    </row>
    <row r="90" spans="1:10" ht="12.75" customHeight="1" x14ac:dyDescent="0.2">
      <c r="A90" s="31"/>
      <c r="B90" s="31"/>
      <c r="C90" s="31"/>
      <c r="D90" s="28"/>
      <c r="E90" s="35"/>
      <c r="F90" s="35"/>
      <c r="G90" s="35"/>
      <c r="H90" s="35"/>
      <c r="I90" s="35"/>
      <c r="J90" s="35"/>
    </row>
    <row r="91" spans="1:10" ht="12.75" customHeight="1" x14ac:dyDescent="0.2">
      <c r="A91" s="31"/>
      <c r="B91" s="31"/>
      <c r="C91" s="31"/>
      <c r="D91" s="28"/>
      <c r="E91" s="35"/>
      <c r="F91" s="35"/>
      <c r="G91" s="35"/>
      <c r="H91" s="35"/>
      <c r="I91" s="35"/>
      <c r="J91" s="35"/>
    </row>
    <row r="92" spans="1:10" ht="12.75" customHeight="1" x14ac:dyDescent="0.2">
      <c r="A92" s="31"/>
      <c r="B92" s="31"/>
      <c r="C92" s="31"/>
      <c r="D92" s="28"/>
      <c r="E92" s="35"/>
      <c r="F92" s="35"/>
      <c r="G92" s="35"/>
      <c r="H92" s="35"/>
      <c r="I92" s="35"/>
      <c r="J92" s="35"/>
    </row>
    <row r="93" spans="1:10" ht="12.75" customHeight="1" x14ac:dyDescent="0.2">
      <c r="A93" s="31"/>
      <c r="B93" s="31"/>
      <c r="C93" s="31"/>
      <c r="D93" s="28"/>
      <c r="E93" s="35"/>
      <c r="F93" s="35"/>
      <c r="G93" s="63"/>
      <c r="H93" s="35"/>
      <c r="I93" s="35"/>
      <c r="J93" s="35"/>
    </row>
    <row r="94" spans="1:10" ht="12.75" customHeight="1" x14ac:dyDescent="0.2">
      <c r="A94" s="31"/>
      <c r="B94" s="31"/>
      <c r="C94" s="31"/>
      <c r="D94" s="28"/>
      <c r="E94" s="35"/>
      <c r="F94" s="35"/>
      <c r="G94" s="35"/>
      <c r="H94" s="35"/>
      <c r="I94" s="35"/>
      <c r="J94" s="35"/>
    </row>
    <row r="95" spans="1:10" ht="12.75" customHeight="1" x14ac:dyDescent="0.2">
      <c r="A95" s="31"/>
      <c r="B95" s="31"/>
      <c r="C95" s="31"/>
      <c r="D95" s="28"/>
      <c r="E95" s="35"/>
      <c r="F95" s="35"/>
      <c r="G95" s="35"/>
      <c r="H95" s="35"/>
      <c r="I95" s="35"/>
      <c r="J95" s="35"/>
    </row>
    <row r="96" spans="1:10" ht="12.75" customHeight="1" x14ac:dyDescent="0.2">
      <c r="A96" s="31"/>
      <c r="B96" s="31"/>
      <c r="C96" s="31"/>
      <c r="D96" s="28"/>
      <c r="E96" s="35"/>
      <c r="F96" s="35"/>
      <c r="G96" s="35"/>
      <c r="H96" s="35"/>
      <c r="I96" s="35"/>
      <c r="J96" s="35"/>
    </row>
    <row r="97" spans="1:10" ht="12.75" customHeight="1" x14ac:dyDescent="0.2">
      <c r="A97" s="31"/>
      <c r="B97" s="31"/>
      <c r="C97" s="31"/>
      <c r="D97" s="28"/>
      <c r="E97" s="35"/>
      <c r="F97" s="35"/>
      <c r="G97" s="63"/>
      <c r="H97" s="41"/>
      <c r="I97" s="35"/>
      <c r="J97" s="35"/>
    </row>
    <row r="98" spans="1:10" ht="12.75" customHeight="1" x14ac:dyDescent="0.2">
      <c r="A98" s="31"/>
      <c r="B98" s="31"/>
      <c r="C98" s="31"/>
      <c r="D98" s="28"/>
      <c r="E98" s="35"/>
      <c r="F98" s="35"/>
      <c r="G98" s="35"/>
      <c r="H98" s="35"/>
      <c r="I98" s="35"/>
      <c r="J98" s="35"/>
    </row>
    <row r="99" spans="1:10" ht="12.75" customHeight="1" x14ac:dyDescent="0.2">
      <c r="A99" s="31"/>
      <c r="B99" s="31"/>
      <c r="C99" s="31"/>
      <c r="D99" s="28"/>
      <c r="E99" s="35"/>
      <c r="F99" s="35"/>
      <c r="G99" s="35"/>
      <c r="H99" s="35"/>
      <c r="I99" s="35"/>
      <c r="J99" s="35"/>
    </row>
    <row r="100" spans="1:10" ht="12.75" customHeight="1" x14ac:dyDescent="0.2">
      <c r="A100" s="61"/>
      <c r="B100" s="61"/>
      <c r="C100" s="61"/>
      <c r="D100" s="50"/>
      <c r="G100" s="37"/>
      <c r="I100" s="37"/>
      <c r="J100" s="37"/>
    </row>
    <row r="101" spans="1:10" ht="12.75" customHeight="1" x14ac:dyDescent="0.2">
      <c r="A101" s="31"/>
      <c r="B101" s="31"/>
      <c r="C101" s="31"/>
      <c r="D101" s="28"/>
      <c r="E101" s="35"/>
      <c r="F101" s="35"/>
      <c r="G101" s="35"/>
      <c r="H101" s="35"/>
      <c r="I101" s="35"/>
      <c r="J101" s="35"/>
    </row>
    <row r="102" spans="1:10" ht="12.75" customHeight="1" x14ac:dyDescent="0.2">
      <c r="A102" s="31"/>
      <c r="B102" s="31"/>
      <c r="C102" s="31"/>
      <c r="D102" s="28"/>
      <c r="E102" s="35"/>
      <c r="F102" s="35"/>
      <c r="G102" s="35"/>
      <c r="H102" s="35"/>
      <c r="I102" s="35"/>
      <c r="J102" s="35"/>
    </row>
    <row r="103" spans="1:10" ht="12.75" customHeight="1" x14ac:dyDescent="0.2">
      <c r="E103" s="35"/>
      <c r="F103" s="35"/>
      <c r="G103" s="35"/>
      <c r="H103" s="35"/>
      <c r="I103" s="35"/>
      <c r="J103" s="35"/>
    </row>
    <row r="104" spans="1:10" ht="12.75" customHeight="1" x14ac:dyDescent="0.2">
      <c r="D104" s="28"/>
      <c r="E104" s="35"/>
      <c r="F104" s="35"/>
      <c r="G104" s="35"/>
      <c r="H104" s="35"/>
      <c r="I104" s="35"/>
      <c r="J104" s="35"/>
    </row>
    <row r="105" spans="1:10" ht="12.75" customHeight="1" x14ac:dyDescent="0.2"/>
    <row r="106" spans="1:10" ht="12.75" customHeight="1" x14ac:dyDescent="0.2"/>
    <row r="107" spans="1:10" ht="12.75" customHeight="1" x14ac:dyDescent="0.2">
      <c r="D107" s="28"/>
    </row>
    <row r="108" spans="1:10" ht="12.75" customHeight="1" x14ac:dyDescent="0.2"/>
    <row r="109" spans="1:10" ht="12.75" customHeight="1" x14ac:dyDescent="0.2">
      <c r="D109" s="28"/>
      <c r="E109" s="51"/>
    </row>
    <row r="110" spans="1:10" ht="12.75" customHeight="1" x14ac:dyDescent="0.2"/>
    <row r="111" spans="1:10" ht="12.75" customHeight="1" x14ac:dyDescent="0.2">
      <c r="D111" s="28"/>
      <c r="E111" s="51"/>
    </row>
    <row r="112" spans="1:10" ht="12.75" customHeight="1" x14ac:dyDescent="0.2"/>
    <row r="113" spans="1:10" ht="12.75" customHeight="1" x14ac:dyDescent="0.2">
      <c r="D113" s="52"/>
      <c r="E113" s="28"/>
    </row>
    <row r="114" spans="1:10" ht="12.75" customHeight="1" x14ac:dyDescent="0.2">
      <c r="D114" s="28"/>
    </row>
    <row r="115" spans="1:10" ht="12.75" customHeight="1" x14ac:dyDescent="0.2">
      <c r="D115" s="28"/>
    </row>
    <row r="116" spans="1:10" ht="12.75" customHeight="1" x14ac:dyDescent="0.2">
      <c r="D116" s="28"/>
    </row>
    <row r="117" spans="1:10" ht="12.75" customHeight="1" x14ac:dyDescent="0.2"/>
    <row r="118" spans="1:10" ht="12.75" customHeight="1" x14ac:dyDescent="0.2">
      <c r="E118" s="30"/>
      <c r="F118" s="30"/>
      <c r="G118" s="30"/>
      <c r="H118" s="30"/>
      <c r="I118" s="30"/>
      <c r="J118" s="30"/>
    </row>
    <row r="119" spans="1:10" ht="12.75" customHeight="1" x14ac:dyDescent="0.2">
      <c r="A119" s="28"/>
      <c r="B119" s="28"/>
      <c r="C119" s="28"/>
      <c r="D119" s="28"/>
      <c r="E119" s="30"/>
      <c r="F119" s="30"/>
      <c r="G119" s="30"/>
      <c r="H119" s="30"/>
      <c r="I119" s="30"/>
      <c r="J119" s="30"/>
    </row>
    <row r="120" spans="1:10" ht="12.75" customHeight="1" x14ac:dyDescent="0.2"/>
    <row r="121" spans="1:10" ht="12.75" customHeight="1" x14ac:dyDescent="0.2">
      <c r="A121" s="31"/>
      <c r="B121" s="31"/>
      <c r="C121" s="31"/>
      <c r="D121" s="28"/>
      <c r="E121" s="35"/>
      <c r="F121" s="35"/>
      <c r="G121" s="35"/>
      <c r="H121" s="35"/>
      <c r="I121" s="35"/>
      <c r="J121" s="35"/>
    </row>
    <row r="122" spans="1:10" ht="12.75" customHeight="1" x14ac:dyDescent="0.2">
      <c r="A122" s="31"/>
      <c r="B122" s="31"/>
      <c r="C122" s="31"/>
      <c r="D122" s="28"/>
      <c r="E122" s="35"/>
      <c r="F122" s="35"/>
      <c r="G122" s="35"/>
      <c r="H122" s="35"/>
      <c r="I122" s="35"/>
      <c r="J122" s="35"/>
    </row>
    <row r="123" spans="1:10" ht="12.75" customHeight="1" x14ac:dyDescent="0.2">
      <c r="A123" s="31"/>
      <c r="B123" s="31"/>
      <c r="C123" s="31"/>
      <c r="D123" s="28"/>
      <c r="E123" s="35"/>
      <c r="F123" s="35"/>
      <c r="G123" s="35"/>
      <c r="H123" s="35"/>
      <c r="I123" s="35"/>
      <c r="J123" s="35"/>
    </row>
    <row r="124" spans="1:10" ht="12.75" customHeight="1" x14ac:dyDescent="0.2">
      <c r="A124" s="31"/>
      <c r="B124" s="31"/>
      <c r="C124" s="31"/>
      <c r="D124" s="28"/>
      <c r="E124" s="35"/>
      <c r="F124" s="63"/>
      <c r="G124" s="35"/>
      <c r="H124" s="35"/>
      <c r="I124" s="35"/>
      <c r="J124" s="35"/>
    </row>
    <row r="125" spans="1:10" ht="12.75" customHeight="1" x14ac:dyDescent="0.2">
      <c r="A125" s="31"/>
      <c r="B125" s="31"/>
      <c r="C125" s="31"/>
      <c r="D125" s="28"/>
      <c r="E125" s="35"/>
      <c r="F125" s="35"/>
      <c r="G125" s="35"/>
      <c r="H125" s="35"/>
      <c r="I125" s="35"/>
      <c r="J125" s="35"/>
    </row>
    <row r="126" spans="1:10" ht="12.75" customHeight="1" x14ac:dyDescent="0.2">
      <c r="A126" s="31"/>
      <c r="B126" s="31"/>
      <c r="C126" s="31"/>
      <c r="D126" s="28"/>
      <c r="E126" s="35"/>
      <c r="F126" s="35"/>
      <c r="G126" s="35"/>
      <c r="H126" s="35"/>
      <c r="I126" s="35"/>
      <c r="J126" s="35"/>
    </row>
    <row r="127" spans="1:10" ht="12.75" customHeight="1" x14ac:dyDescent="0.2">
      <c r="A127" s="31"/>
      <c r="B127" s="31"/>
      <c r="C127" s="31"/>
      <c r="D127" s="28"/>
      <c r="E127" s="35"/>
      <c r="F127" s="35"/>
      <c r="G127" s="35"/>
      <c r="H127" s="35"/>
      <c r="I127" s="35"/>
      <c r="J127" s="35"/>
    </row>
    <row r="128" spans="1:10" ht="12.75" customHeight="1" x14ac:dyDescent="0.2">
      <c r="A128" s="31"/>
      <c r="B128" s="31"/>
      <c r="C128" s="31"/>
      <c r="D128" s="28"/>
      <c r="E128" s="35"/>
      <c r="F128" s="35"/>
      <c r="G128" s="35"/>
      <c r="H128" s="35"/>
      <c r="I128" s="35"/>
      <c r="J128" s="35"/>
    </row>
    <row r="129" spans="1:10" ht="12.75" customHeight="1" x14ac:dyDescent="0.2">
      <c r="A129" s="31"/>
      <c r="B129" s="31"/>
      <c r="C129" s="31"/>
      <c r="D129" s="28"/>
      <c r="E129" s="35"/>
      <c r="F129" s="35"/>
      <c r="G129" s="35"/>
      <c r="H129" s="35"/>
      <c r="I129" s="35"/>
      <c r="J129" s="35"/>
    </row>
    <row r="130" spans="1:10" ht="12.75" customHeight="1" x14ac:dyDescent="0.2">
      <c r="A130" s="31"/>
      <c r="B130" s="31"/>
      <c r="C130" s="31"/>
      <c r="D130" s="28"/>
      <c r="E130" s="35"/>
      <c r="F130" s="35"/>
      <c r="G130" s="35"/>
      <c r="H130" s="35"/>
      <c r="I130" s="35"/>
      <c r="J130" s="35"/>
    </row>
    <row r="131" spans="1:10" ht="12.75" customHeight="1" x14ac:dyDescent="0.2">
      <c r="A131" s="31"/>
      <c r="B131" s="31"/>
      <c r="C131" s="31"/>
      <c r="D131" s="28"/>
      <c r="E131" s="35"/>
      <c r="F131" s="35"/>
      <c r="G131" s="35"/>
      <c r="H131" s="35"/>
      <c r="I131" s="35"/>
      <c r="J131" s="35"/>
    </row>
    <row r="132" spans="1:10" ht="12.75" customHeight="1" x14ac:dyDescent="0.2">
      <c r="A132" s="31"/>
      <c r="B132" s="31"/>
      <c r="C132" s="31"/>
      <c r="D132" s="28"/>
      <c r="E132" s="35"/>
      <c r="F132" s="35"/>
      <c r="G132" s="35"/>
      <c r="H132" s="35"/>
      <c r="I132" s="35"/>
      <c r="J132" s="35"/>
    </row>
    <row r="133" spans="1:10" ht="12.75" customHeight="1" x14ac:dyDescent="0.2">
      <c r="A133" s="31"/>
      <c r="B133" s="31"/>
      <c r="C133" s="31"/>
      <c r="D133" s="28"/>
      <c r="E133" s="35"/>
      <c r="F133" s="35"/>
      <c r="G133" s="35"/>
      <c r="H133" s="41"/>
      <c r="I133" s="35"/>
      <c r="J133" s="35"/>
    </row>
    <row r="134" spans="1:10" ht="12.75" customHeight="1" x14ac:dyDescent="0.2">
      <c r="A134" s="61"/>
      <c r="B134" s="61"/>
      <c r="C134" s="61"/>
      <c r="D134" s="50"/>
      <c r="I134" s="37"/>
      <c r="J134" s="37"/>
    </row>
    <row r="135" spans="1:10" ht="12.75" customHeight="1" x14ac:dyDescent="0.2">
      <c r="A135" s="31"/>
      <c r="B135" s="31"/>
      <c r="C135" s="31"/>
      <c r="D135" s="28"/>
      <c r="E135" s="35"/>
      <c r="F135" s="35"/>
      <c r="G135" s="35"/>
      <c r="H135" s="35"/>
      <c r="I135" s="35"/>
      <c r="J135" s="35"/>
    </row>
    <row r="136" spans="1:10" ht="12.75" customHeight="1" x14ac:dyDescent="0.2">
      <c r="A136" s="61"/>
      <c r="B136" s="61"/>
      <c r="C136" s="61"/>
      <c r="D136" s="50"/>
      <c r="I136" s="37"/>
      <c r="J136" s="37"/>
    </row>
    <row r="137" spans="1:10" ht="12.75" customHeight="1" x14ac:dyDescent="0.2">
      <c r="A137" s="31"/>
      <c r="B137" s="31"/>
      <c r="C137" s="31"/>
      <c r="D137" s="28"/>
      <c r="E137" s="35"/>
      <c r="F137" s="35"/>
      <c r="G137" s="35"/>
      <c r="H137" s="35"/>
      <c r="I137" s="35"/>
      <c r="J137" s="35"/>
    </row>
    <row r="138" spans="1:10" ht="12.75" customHeight="1" x14ac:dyDescent="0.2">
      <c r="A138" s="31"/>
      <c r="B138" s="31"/>
      <c r="C138" s="31"/>
      <c r="D138" s="28"/>
      <c r="E138" s="35"/>
      <c r="F138" s="35"/>
      <c r="G138" s="35"/>
      <c r="H138" s="35"/>
      <c r="I138" s="35"/>
      <c r="J138" s="35"/>
    </row>
    <row r="139" spans="1:10" ht="12.75" customHeight="1" x14ac:dyDescent="0.2">
      <c r="A139" s="31"/>
      <c r="B139" s="31"/>
      <c r="C139" s="31"/>
      <c r="D139" s="28"/>
      <c r="E139" s="35"/>
      <c r="F139" s="35"/>
      <c r="G139" s="35"/>
      <c r="H139" s="35"/>
      <c r="I139" s="35"/>
      <c r="J139" s="35"/>
    </row>
    <row r="140" spans="1:10" ht="12.75" customHeight="1" x14ac:dyDescent="0.2">
      <c r="A140" s="31"/>
      <c r="B140" s="31"/>
      <c r="C140" s="31"/>
      <c r="D140" s="28"/>
      <c r="E140" s="35"/>
      <c r="F140" s="35"/>
      <c r="G140" s="35"/>
      <c r="H140" s="35"/>
      <c r="I140" s="35"/>
      <c r="J140" s="35"/>
    </row>
    <row r="141" spans="1:10" ht="12.75" customHeight="1" x14ac:dyDescent="0.2">
      <c r="E141" s="35"/>
      <c r="F141" s="35"/>
      <c r="G141" s="35"/>
      <c r="H141" s="35"/>
      <c r="I141" s="35"/>
      <c r="J141" s="35"/>
    </row>
    <row r="142" spans="1:10" ht="12.75" customHeight="1" x14ac:dyDescent="0.2">
      <c r="A142" s="31"/>
      <c r="B142" s="31"/>
      <c r="C142" s="31"/>
      <c r="D142" s="28"/>
      <c r="E142" s="35"/>
      <c r="F142" s="35"/>
      <c r="G142" s="35"/>
      <c r="H142" s="35"/>
      <c r="I142" s="35"/>
      <c r="J142" s="35"/>
    </row>
    <row r="143" spans="1:10" ht="12.75" customHeight="1" x14ac:dyDescent="0.2">
      <c r="A143" s="31"/>
      <c r="B143" s="31"/>
      <c r="C143" s="31"/>
      <c r="D143" s="28"/>
      <c r="E143" s="35"/>
      <c r="F143" s="35"/>
      <c r="G143" s="35"/>
      <c r="H143" s="35"/>
      <c r="I143" s="35"/>
      <c r="J143" s="35"/>
    </row>
    <row r="144" spans="1:10" ht="12.75" customHeight="1" x14ac:dyDescent="0.2">
      <c r="A144" s="31"/>
      <c r="B144" s="31"/>
      <c r="C144" s="31"/>
      <c r="D144" s="28"/>
      <c r="E144" s="35"/>
      <c r="F144" s="35"/>
      <c r="G144" s="35"/>
      <c r="H144" s="35"/>
      <c r="I144" s="35"/>
      <c r="J144" s="35"/>
    </row>
    <row r="145" spans="1:10" ht="12.75" customHeight="1" x14ac:dyDescent="0.2">
      <c r="A145" s="31"/>
      <c r="B145" s="31"/>
      <c r="C145" s="31"/>
      <c r="D145" s="28"/>
      <c r="E145" s="35"/>
      <c r="F145" s="35"/>
      <c r="G145" s="35"/>
      <c r="H145" s="35"/>
      <c r="I145" s="35"/>
      <c r="J145" s="35"/>
    </row>
    <row r="146" spans="1:10" ht="12.75" customHeight="1" x14ac:dyDescent="0.2">
      <c r="A146" s="31"/>
      <c r="B146" s="31"/>
      <c r="C146" s="31"/>
      <c r="D146" s="28"/>
      <c r="E146" s="35"/>
      <c r="F146" s="35"/>
      <c r="G146" s="35"/>
      <c r="H146" s="35"/>
      <c r="I146" s="35"/>
      <c r="J146" s="35"/>
    </row>
    <row r="147" spans="1:10" ht="12.75" customHeight="1" x14ac:dyDescent="0.2">
      <c r="A147" s="31"/>
      <c r="B147" s="31"/>
      <c r="C147" s="31"/>
      <c r="D147" s="28"/>
      <c r="E147" s="35"/>
      <c r="F147" s="35"/>
      <c r="G147" s="63"/>
      <c r="H147" s="35"/>
      <c r="I147" s="35"/>
      <c r="J147" s="35"/>
    </row>
    <row r="148" spans="1:10" ht="12.75" customHeight="1" x14ac:dyDescent="0.2">
      <c r="A148" s="31"/>
      <c r="B148" s="31"/>
      <c r="C148" s="31"/>
      <c r="D148" s="28"/>
      <c r="E148" s="35"/>
      <c r="F148" s="35"/>
      <c r="G148" s="35"/>
      <c r="H148" s="35"/>
      <c r="I148" s="35"/>
      <c r="J148" s="35"/>
    </row>
    <row r="149" spans="1:10" ht="12.75" customHeight="1" x14ac:dyDescent="0.2">
      <c r="A149" s="31"/>
      <c r="B149" s="31"/>
      <c r="C149" s="31"/>
      <c r="D149" s="28"/>
      <c r="E149" s="35"/>
      <c r="F149" s="35"/>
      <c r="G149" s="35"/>
      <c r="H149" s="63"/>
      <c r="I149" s="35"/>
      <c r="J149" s="35"/>
    </row>
    <row r="150" spans="1:10" ht="12.75" customHeight="1" x14ac:dyDescent="0.2">
      <c r="A150" s="31"/>
      <c r="B150" s="31"/>
      <c r="C150" s="31"/>
      <c r="D150" s="28"/>
      <c r="E150" s="35"/>
      <c r="F150" s="35"/>
      <c r="G150" s="35"/>
      <c r="H150" s="35"/>
      <c r="I150" s="35"/>
      <c r="J150" s="35"/>
    </row>
    <row r="151" spans="1:10" ht="12.75" customHeight="1" x14ac:dyDescent="0.2">
      <c r="A151" s="31"/>
      <c r="B151" s="31"/>
      <c r="C151" s="31"/>
      <c r="D151" s="28"/>
      <c r="E151" s="35"/>
      <c r="F151" s="35"/>
      <c r="G151" s="63"/>
      <c r="H151" s="35"/>
      <c r="I151" s="35"/>
      <c r="J151" s="35"/>
    </row>
    <row r="152" spans="1:10" ht="12.75" customHeight="1" x14ac:dyDescent="0.2">
      <c r="A152" s="31"/>
      <c r="B152" s="31"/>
      <c r="C152" s="31"/>
      <c r="D152" s="28"/>
      <c r="E152" s="35"/>
      <c r="F152" s="35"/>
      <c r="G152" s="35"/>
      <c r="H152" s="35"/>
      <c r="I152" s="35"/>
      <c r="J152" s="35"/>
    </row>
    <row r="153" spans="1:10" ht="12.75" customHeight="1" x14ac:dyDescent="0.2">
      <c r="A153" s="31"/>
      <c r="B153" s="31"/>
      <c r="C153" s="31"/>
      <c r="D153" s="28"/>
      <c r="E153" s="35"/>
      <c r="F153" s="35"/>
      <c r="G153" s="35"/>
      <c r="H153" s="35"/>
      <c r="I153" s="35"/>
      <c r="J153" s="35"/>
    </row>
    <row r="154" spans="1:10" ht="12.75" customHeight="1" x14ac:dyDescent="0.2">
      <c r="A154" s="61"/>
      <c r="B154" s="61"/>
      <c r="C154" s="61"/>
      <c r="D154" s="50"/>
      <c r="G154" s="37"/>
      <c r="I154" s="37"/>
      <c r="J154" s="37"/>
    </row>
    <row r="155" spans="1:10" ht="12.75" customHeight="1" x14ac:dyDescent="0.2">
      <c r="A155" s="31"/>
      <c r="B155" s="31"/>
      <c r="C155" s="31"/>
      <c r="D155" s="28"/>
      <c r="E155" s="35"/>
      <c r="F155" s="35"/>
      <c r="G155" s="35"/>
      <c r="H155" s="35"/>
      <c r="I155" s="35"/>
      <c r="J155" s="35"/>
    </row>
    <row r="156" spans="1:10" ht="12.75" customHeight="1" x14ac:dyDescent="0.2">
      <c r="A156" s="31"/>
      <c r="B156" s="31"/>
      <c r="C156" s="31"/>
      <c r="D156" s="28"/>
      <c r="E156" s="35"/>
      <c r="F156" s="35"/>
      <c r="G156" s="35"/>
      <c r="H156" s="35"/>
      <c r="I156" s="35"/>
      <c r="J156" s="35"/>
    </row>
    <row r="157" spans="1:10" ht="12.75" customHeight="1" x14ac:dyDescent="0.2">
      <c r="E157" s="35"/>
      <c r="F157" s="35"/>
      <c r="G157" s="35"/>
      <c r="H157" s="35"/>
      <c r="I157" s="35"/>
      <c r="J157" s="35"/>
    </row>
    <row r="158" spans="1:10" ht="12.75" customHeight="1" x14ac:dyDescent="0.2">
      <c r="D158" s="28"/>
      <c r="E158" s="35"/>
      <c r="F158" s="35"/>
      <c r="G158" s="35"/>
      <c r="H158" s="35"/>
      <c r="I158" s="35"/>
      <c r="J158" s="35"/>
    </row>
    <row r="159" spans="1:10" ht="12.75" customHeight="1" x14ac:dyDescent="0.2"/>
    <row r="160" spans="1:10" ht="12.75" customHeight="1" x14ac:dyDescent="0.2"/>
    <row r="161" spans="1:10" ht="12.75" customHeight="1" x14ac:dyDescent="0.2">
      <c r="D161" s="28"/>
    </row>
    <row r="162" spans="1:10" ht="12.75" customHeight="1" x14ac:dyDescent="0.2"/>
    <row r="163" spans="1:10" ht="12.75" customHeight="1" x14ac:dyDescent="0.2">
      <c r="D163" s="28"/>
      <c r="E163" s="51"/>
    </row>
    <row r="164" spans="1:10" ht="12.75" customHeight="1" x14ac:dyDescent="0.2"/>
    <row r="165" spans="1:10" ht="12.75" customHeight="1" x14ac:dyDescent="0.2">
      <c r="D165" s="28"/>
      <c r="E165" s="51"/>
    </row>
    <row r="166" spans="1:10" ht="12.75" customHeight="1" x14ac:dyDescent="0.2"/>
    <row r="167" spans="1:10" ht="12.75" customHeight="1" x14ac:dyDescent="0.2">
      <c r="D167" s="52"/>
      <c r="E167" s="28"/>
    </row>
    <row r="168" spans="1:10" ht="12.75" customHeight="1" x14ac:dyDescent="0.2">
      <c r="D168" s="28"/>
    </row>
    <row r="169" spans="1:10" ht="12.75" customHeight="1" x14ac:dyDescent="0.2">
      <c r="D169" s="28"/>
    </row>
    <row r="170" spans="1:10" ht="12.75" customHeight="1" x14ac:dyDescent="0.2">
      <c r="D170" s="28"/>
    </row>
    <row r="171" spans="1:10" ht="12.75" customHeight="1" x14ac:dyDescent="0.2"/>
    <row r="172" spans="1:10" ht="12.75" customHeight="1" x14ac:dyDescent="0.2">
      <c r="E172" s="30"/>
      <c r="F172" s="30"/>
      <c r="G172" s="30"/>
      <c r="H172" s="30"/>
      <c r="I172" s="30"/>
      <c r="J172" s="30"/>
    </row>
    <row r="173" spans="1:10" ht="12.75" customHeight="1" x14ac:dyDescent="0.2">
      <c r="A173" s="28"/>
      <c r="B173" s="28"/>
      <c r="C173" s="28"/>
      <c r="D173" s="31"/>
      <c r="E173" s="30"/>
      <c r="F173" s="30"/>
      <c r="G173" s="30"/>
      <c r="H173" s="30"/>
      <c r="I173" s="30"/>
      <c r="J173" s="30"/>
    </row>
    <row r="174" spans="1:10" ht="12.75" customHeight="1" x14ac:dyDescent="0.2"/>
    <row r="175" spans="1:10" ht="12.75" customHeight="1" x14ac:dyDescent="0.2">
      <c r="A175" s="31"/>
      <c r="B175" s="31"/>
      <c r="C175" s="31"/>
      <c r="D175" s="28"/>
      <c r="E175" s="35"/>
      <c r="F175" s="35"/>
      <c r="G175" s="35"/>
      <c r="H175" s="35"/>
      <c r="I175" s="35"/>
      <c r="J175" s="35"/>
    </row>
    <row r="176" spans="1:10" ht="12.75" customHeight="1" x14ac:dyDescent="0.2">
      <c r="A176" s="31"/>
      <c r="B176" s="31"/>
      <c r="C176" s="31"/>
      <c r="D176" s="28"/>
      <c r="E176" s="35"/>
      <c r="F176" s="35"/>
      <c r="G176" s="35"/>
      <c r="H176" s="35"/>
      <c r="I176" s="35"/>
      <c r="J176" s="35"/>
    </row>
    <row r="177" spans="1:10" ht="12.75" customHeight="1" x14ac:dyDescent="0.2">
      <c r="A177" s="31"/>
      <c r="B177" s="31"/>
      <c r="C177" s="31"/>
      <c r="D177" s="28"/>
      <c r="E177" s="35"/>
      <c r="F177" s="35"/>
      <c r="G177" s="35"/>
      <c r="H177" s="35"/>
      <c r="I177" s="35"/>
      <c r="J177" s="35"/>
    </row>
    <row r="178" spans="1:10" ht="12.75" customHeight="1" x14ac:dyDescent="0.2">
      <c r="A178" s="31"/>
      <c r="B178" s="31"/>
      <c r="C178" s="31"/>
      <c r="D178" s="28"/>
      <c r="E178" s="35"/>
      <c r="F178" s="35"/>
      <c r="G178" s="35"/>
      <c r="H178" s="35"/>
      <c r="I178" s="35"/>
      <c r="J178" s="35"/>
    </row>
    <row r="179" spans="1:10" ht="12.75" customHeight="1" x14ac:dyDescent="0.2">
      <c r="A179" s="31"/>
      <c r="B179" s="31"/>
      <c r="C179" s="31"/>
      <c r="D179" s="28"/>
      <c r="E179" s="35"/>
      <c r="F179" s="35"/>
      <c r="G179" s="35"/>
      <c r="H179" s="35"/>
      <c r="I179" s="35"/>
      <c r="J179" s="35"/>
    </row>
    <row r="180" spans="1:10" ht="12.75" customHeight="1" x14ac:dyDescent="0.2">
      <c r="A180" s="31"/>
      <c r="B180" s="31"/>
      <c r="C180" s="31"/>
      <c r="D180" s="28"/>
      <c r="E180" s="35"/>
      <c r="F180" s="35"/>
      <c r="G180" s="35"/>
      <c r="H180" s="35"/>
      <c r="I180" s="35"/>
      <c r="J180" s="35"/>
    </row>
    <row r="181" spans="1:10" ht="12.75" customHeight="1" x14ac:dyDescent="0.2">
      <c r="A181" s="31"/>
      <c r="B181" s="31"/>
      <c r="C181" s="31"/>
      <c r="D181" s="28"/>
      <c r="E181" s="35"/>
      <c r="F181" s="35"/>
      <c r="G181" s="35"/>
      <c r="H181" s="35"/>
      <c r="I181" s="35"/>
      <c r="J181" s="35"/>
    </row>
    <row r="182" spans="1:10" ht="12.75" customHeight="1" x14ac:dyDescent="0.2">
      <c r="A182" s="31"/>
      <c r="B182" s="31"/>
      <c r="C182" s="31"/>
      <c r="D182" s="28"/>
      <c r="E182" s="35"/>
      <c r="F182" s="35"/>
      <c r="G182" s="35"/>
      <c r="H182" s="35"/>
      <c r="I182" s="35"/>
      <c r="J182" s="35"/>
    </row>
    <row r="183" spans="1:10" ht="12.75" customHeight="1" x14ac:dyDescent="0.2">
      <c r="A183" s="31"/>
      <c r="B183" s="31"/>
      <c r="C183" s="31"/>
      <c r="D183" s="28"/>
      <c r="E183" s="35"/>
      <c r="F183" s="35"/>
      <c r="G183" s="35"/>
      <c r="H183" s="35"/>
      <c r="I183" s="35"/>
      <c r="J183" s="35"/>
    </row>
    <row r="184" spans="1:10" ht="12.75" customHeight="1" x14ac:dyDescent="0.2">
      <c r="A184" s="31"/>
      <c r="B184" s="31"/>
      <c r="C184" s="31"/>
      <c r="D184" s="28"/>
      <c r="E184" s="35"/>
      <c r="F184" s="35"/>
      <c r="G184" s="35"/>
      <c r="H184" s="41"/>
      <c r="I184" s="35"/>
      <c r="J184" s="35"/>
    </row>
    <row r="185" spans="1:10" ht="12.75" customHeight="1" x14ac:dyDescent="0.2">
      <c r="A185" s="31"/>
      <c r="B185" s="31"/>
      <c r="C185" s="31"/>
      <c r="D185" s="28"/>
      <c r="E185" s="35"/>
      <c r="F185" s="35"/>
      <c r="G185" s="35"/>
      <c r="H185" s="35"/>
      <c r="I185" s="35"/>
      <c r="J185" s="35"/>
    </row>
    <row r="186" spans="1:10" ht="12.75" customHeight="1" x14ac:dyDescent="0.2">
      <c r="A186" s="31"/>
      <c r="B186" s="31"/>
      <c r="C186" s="31"/>
      <c r="D186" s="28"/>
      <c r="E186" s="35"/>
      <c r="F186" s="35"/>
      <c r="G186" s="35"/>
      <c r="H186" s="35"/>
      <c r="I186" s="35"/>
      <c r="J186" s="35"/>
    </row>
    <row r="187" spans="1:10" ht="12.75" customHeight="1" x14ac:dyDescent="0.2">
      <c r="A187" s="31"/>
      <c r="B187" s="31"/>
      <c r="C187" s="31"/>
      <c r="D187" s="28"/>
      <c r="E187" s="35"/>
      <c r="F187" s="63"/>
      <c r="G187" s="35"/>
      <c r="H187" s="35"/>
      <c r="I187" s="35"/>
      <c r="J187" s="35"/>
    </row>
    <row r="188" spans="1:10" ht="12.75" customHeight="1" x14ac:dyDescent="0.2">
      <c r="A188" s="61"/>
      <c r="B188" s="61"/>
      <c r="C188" s="61"/>
      <c r="D188" s="50"/>
      <c r="I188" s="37"/>
      <c r="J188" s="37"/>
    </row>
    <row r="189" spans="1:10" ht="12.75" customHeight="1" x14ac:dyDescent="0.2">
      <c r="A189" s="31"/>
      <c r="B189" s="31"/>
      <c r="C189" s="31"/>
      <c r="D189" s="28"/>
      <c r="E189" s="35"/>
      <c r="F189" s="35"/>
      <c r="G189" s="35"/>
      <c r="H189" s="35"/>
      <c r="I189" s="35"/>
      <c r="J189" s="35"/>
    </row>
    <row r="190" spans="1:10" ht="12.75" customHeight="1" x14ac:dyDescent="0.2">
      <c r="A190" s="61"/>
      <c r="B190" s="61"/>
      <c r="C190" s="61"/>
      <c r="D190" s="50"/>
      <c r="I190" s="37"/>
      <c r="J190" s="37"/>
    </row>
    <row r="191" spans="1:10" ht="12.75" customHeight="1" x14ac:dyDescent="0.2">
      <c r="A191" s="31"/>
      <c r="B191" s="31"/>
      <c r="C191" s="31"/>
      <c r="D191" s="28"/>
      <c r="E191" s="35"/>
      <c r="F191" s="35"/>
      <c r="G191" s="35"/>
      <c r="H191" s="35"/>
      <c r="I191" s="35"/>
      <c r="J191" s="35"/>
    </row>
    <row r="192" spans="1:10" ht="12.75" customHeight="1" x14ac:dyDescent="0.2">
      <c r="A192" s="31"/>
      <c r="B192" s="31"/>
      <c r="C192" s="31"/>
      <c r="D192" s="28"/>
      <c r="E192" s="35"/>
      <c r="F192" s="35"/>
      <c r="G192" s="35"/>
      <c r="H192" s="35"/>
      <c r="I192" s="35"/>
      <c r="J192" s="35"/>
    </row>
    <row r="193" spans="1:10" ht="12.75" customHeight="1" x14ac:dyDescent="0.2">
      <c r="A193" s="31"/>
      <c r="B193" s="31"/>
      <c r="C193" s="31"/>
      <c r="D193" s="28"/>
      <c r="E193" s="35"/>
      <c r="F193" s="35"/>
      <c r="G193" s="35"/>
      <c r="H193" s="35"/>
      <c r="I193" s="35"/>
      <c r="J193" s="35"/>
    </row>
    <row r="194" spans="1:10" ht="12.75" customHeight="1" x14ac:dyDescent="0.2">
      <c r="A194" s="31"/>
      <c r="B194" s="31"/>
      <c r="C194" s="31"/>
      <c r="D194" s="28"/>
      <c r="E194" s="35"/>
      <c r="F194" s="35"/>
      <c r="H194" s="35"/>
      <c r="I194" s="35"/>
      <c r="J194" s="35"/>
    </row>
    <row r="195" spans="1:10" ht="12.75" customHeight="1" x14ac:dyDescent="0.2">
      <c r="E195" s="35"/>
      <c r="F195" s="35"/>
      <c r="G195" s="35"/>
      <c r="H195" s="35"/>
      <c r="I195" s="35"/>
      <c r="J195" s="35"/>
    </row>
    <row r="196" spans="1:10" ht="12.75" customHeight="1" x14ac:dyDescent="0.2">
      <c r="A196" s="31"/>
      <c r="B196" s="31"/>
      <c r="C196" s="31"/>
      <c r="D196" s="28"/>
      <c r="E196" s="35"/>
      <c r="F196" s="35"/>
      <c r="G196" s="35"/>
      <c r="H196" s="35"/>
      <c r="I196" s="35"/>
      <c r="J196" s="35"/>
    </row>
    <row r="197" spans="1:10" ht="12.75" customHeight="1" x14ac:dyDescent="0.2">
      <c r="A197" s="31"/>
      <c r="B197" s="31"/>
      <c r="C197" s="31"/>
      <c r="D197" s="28"/>
      <c r="E197" s="35"/>
      <c r="F197" s="35"/>
      <c r="G197" s="35"/>
      <c r="H197" s="35"/>
      <c r="I197" s="35"/>
      <c r="J197" s="35"/>
    </row>
    <row r="198" spans="1:10" ht="12.75" customHeight="1" x14ac:dyDescent="0.2">
      <c r="A198" s="31"/>
      <c r="B198" s="31"/>
      <c r="C198" s="31"/>
      <c r="D198" s="28"/>
      <c r="E198" s="35"/>
      <c r="F198" s="35"/>
      <c r="G198" s="35"/>
      <c r="H198" s="35"/>
      <c r="I198" s="35"/>
      <c r="J198" s="35"/>
    </row>
    <row r="199" spans="1:10" ht="12.75" customHeight="1" x14ac:dyDescent="0.2">
      <c r="A199" s="31"/>
      <c r="B199" s="31"/>
      <c r="C199" s="31"/>
      <c r="D199" s="28"/>
      <c r="E199" s="35"/>
      <c r="F199" s="35"/>
      <c r="G199" s="35"/>
      <c r="H199" s="35"/>
      <c r="I199" s="35"/>
      <c r="J199" s="35"/>
    </row>
    <row r="200" spans="1:10" ht="12.75" customHeight="1" x14ac:dyDescent="0.2">
      <c r="A200" s="31"/>
      <c r="B200" s="31"/>
      <c r="C200" s="31"/>
      <c r="D200" s="28"/>
      <c r="E200" s="35"/>
      <c r="F200" s="35"/>
      <c r="G200" s="35"/>
      <c r="H200" s="35"/>
      <c r="I200" s="35"/>
      <c r="J200" s="35"/>
    </row>
    <row r="201" spans="1:10" ht="12.75" customHeight="1" x14ac:dyDescent="0.2">
      <c r="A201" s="31"/>
      <c r="B201" s="31"/>
      <c r="C201" s="31"/>
      <c r="D201" s="28"/>
      <c r="E201" s="35"/>
      <c r="F201" s="35"/>
      <c r="G201" s="63"/>
      <c r="H201" s="35"/>
      <c r="I201" s="35"/>
      <c r="J201" s="35"/>
    </row>
    <row r="202" spans="1:10" ht="12.75" customHeight="1" x14ac:dyDescent="0.2">
      <c r="A202" s="31"/>
      <c r="B202" s="31"/>
      <c r="C202" s="31"/>
      <c r="D202" s="28"/>
      <c r="E202" s="35"/>
      <c r="F202" s="35"/>
      <c r="G202" s="35"/>
      <c r="H202" s="35"/>
      <c r="I202" s="35"/>
      <c r="J202" s="35"/>
    </row>
    <row r="203" spans="1:10" ht="12.75" customHeight="1" x14ac:dyDescent="0.2">
      <c r="A203" s="31"/>
      <c r="B203" s="31"/>
      <c r="C203" s="31"/>
      <c r="D203" s="28"/>
      <c r="E203" s="35"/>
      <c r="F203" s="35"/>
      <c r="G203" s="35"/>
      <c r="H203" s="63"/>
      <c r="I203" s="35"/>
      <c r="J203" s="35"/>
    </row>
    <row r="204" spans="1:10" ht="12.75" customHeight="1" x14ac:dyDescent="0.2">
      <c r="A204" s="31"/>
      <c r="B204" s="31"/>
      <c r="C204" s="31"/>
      <c r="D204" s="28"/>
      <c r="E204" s="35"/>
      <c r="F204" s="35"/>
      <c r="G204" s="35"/>
      <c r="H204" s="35"/>
      <c r="I204" s="35"/>
      <c r="J204" s="35"/>
    </row>
    <row r="205" spans="1:10" ht="12.75" customHeight="1" x14ac:dyDescent="0.2">
      <c r="A205" s="31"/>
      <c r="B205" s="31"/>
      <c r="C205" s="31"/>
      <c r="D205" s="28"/>
      <c r="E205" s="35"/>
      <c r="F205" s="35"/>
      <c r="G205" s="63"/>
      <c r="H205" s="35"/>
      <c r="I205" s="35"/>
      <c r="J205" s="35"/>
    </row>
    <row r="206" spans="1:10" ht="12.75" customHeight="1" x14ac:dyDescent="0.2">
      <c r="A206" s="31"/>
      <c r="B206" s="31"/>
      <c r="C206" s="31"/>
      <c r="D206" s="28"/>
      <c r="E206" s="35"/>
      <c r="F206" s="35"/>
      <c r="G206" s="35"/>
      <c r="H206" s="35"/>
      <c r="I206" s="35"/>
      <c r="J206" s="35"/>
    </row>
    <row r="207" spans="1:10" ht="12.75" customHeight="1" x14ac:dyDescent="0.2">
      <c r="A207" s="31"/>
      <c r="B207" s="31"/>
      <c r="C207" s="31"/>
      <c r="D207" s="28"/>
      <c r="E207" s="35"/>
      <c r="F207" s="35"/>
      <c r="G207" s="35"/>
      <c r="H207" s="35"/>
      <c r="I207" s="35"/>
      <c r="J207" s="35"/>
    </row>
    <row r="208" spans="1:10" ht="12.75" customHeight="1" x14ac:dyDescent="0.2">
      <c r="A208" s="61"/>
      <c r="B208" s="61"/>
      <c r="C208" s="61"/>
      <c r="D208" s="50"/>
      <c r="G208" s="37"/>
      <c r="I208" s="37"/>
      <c r="J208" s="37"/>
    </row>
    <row r="209" spans="1:10" ht="12.75" customHeight="1" x14ac:dyDescent="0.2">
      <c r="A209" s="31"/>
      <c r="B209" s="31"/>
      <c r="C209" s="31"/>
      <c r="D209" s="28"/>
      <c r="E209" s="35"/>
      <c r="F209" s="35"/>
      <c r="G209" s="35"/>
      <c r="H209" s="35"/>
      <c r="I209" s="35"/>
      <c r="J209" s="35"/>
    </row>
    <row r="210" spans="1:10" ht="12.75" customHeight="1" x14ac:dyDescent="0.2">
      <c r="A210" s="31"/>
      <c r="B210" s="31"/>
      <c r="C210" s="31"/>
      <c r="D210" s="28"/>
      <c r="E210" s="35"/>
      <c r="F210" s="35"/>
      <c r="G210" s="35"/>
      <c r="H210" s="35"/>
      <c r="I210" s="35"/>
      <c r="J210" s="35"/>
    </row>
    <row r="211" spans="1:10" ht="12.75" customHeight="1" x14ac:dyDescent="0.2">
      <c r="E211" s="35"/>
      <c r="F211" s="35"/>
      <c r="G211" s="35"/>
      <c r="H211" s="35"/>
      <c r="I211" s="35"/>
      <c r="J211" s="35"/>
    </row>
    <row r="212" spans="1:10" ht="12.75" customHeight="1" x14ac:dyDescent="0.2">
      <c r="D212" s="28"/>
      <c r="E212" s="35"/>
      <c r="F212" s="35"/>
      <c r="G212" s="35"/>
      <c r="H212" s="35"/>
      <c r="I212" s="35"/>
      <c r="J212" s="35"/>
    </row>
    <row r="213" spans="1:10" ht="12.75" customHeight="1" x14ac:dyDescent="0.2"/>
    <row r="214" spans="1:10" ht="12.75" customHeight="1" x14ac:dyDescent="0.2"/>
    <row r="215" spans="1:10" ht="12.75" customHeight="1" x14ac:dyDescent="0.2">
      <c r="D215" s="28"/>
    </row>
    <row r="216" spans="1:10" ht="12.75" customHeight="1" x14ac:dyDescent="0.2"/>
    <row r="217" spans="1:10" ht="12.75" customHeight="1" x14ac:dyDescent="0.2">
      <c r="D217" s="28"/>
      <c r="E217" s="51"/>
    </row>
    <row r="218" spans="1:10" ht="12.75" customHeight="1" x14ac:dyDescent="0.2"/>
    <row r="219" spans="1:10" ht="12.75" customHeight="1" x14ac:dyDescent="0.2">
      <c r="D219" s="28"/>
      <c r="E219" s="51"/>
    </row>
    <row r="220" spans="1:10" ht="12.75" customHeight="1" x14ac:dyDescent="0.2"/>
    <row r="221" spans="1:10" ht="12.75" customHeight="1" x14ac:dyDescent="0.2">
      <c r="D221" s="52"/>
      <c r="E221" s="28"/>
    </row>
    <row r="222" spans="1:10" ht="12.75" customHeight="1" x14ac:dyDescent="0.2">
      <c r="D222" s="28"/>
    </row>
    <row r="223" spans="1:10" ht="12.75" customHeight="1" x14ac:dyDescent="0.2">
      <c r="D223" s="28"/>
    </row>
    <row r="224" spans="1:10" ht="12.75" customHeight="1" x14ac:dyDescent="0.2">
      <c r="D224" s="28"/>
    </row>
    <row r="225" spans="1:10" ht="12.75" customHeight="1" x14ac:dyDescent="0.2"/>
    <row r="226" spans="1:10" ht="12.75" customHeight="1" x14ac:dyDescent="0.2">
      <c r="E226" s="30"/>
      <c r="F226" s="30"/>
      <c r="G226" s="30"/>
      <c r="H226" s="30"/>
      <c r="I226" s="30"/>
      <c r="J226" s="30"/>
    </row>
    <row r="227" spans="1:10" ht="12.75" customHeight="1" x14ac:dyDescent="0.2">
      <c r="A227" s="28"/>
      <c r="B227" s="28"/>
      <c r="C227" s="28"/>
      <c r="D227" s="28"/>
      <c r="E227" s="30"/>
      <c r="F227" s="30"/>
      <c r="G227" s="30"/>
      <c r="H227" s="30"/>
      <c r="I227" s="30"/>
      <c r="J227" s="30"/>
    </row>
    <row r="228" spans="1:10" ht="12.75" customHeight="1" x14ac:dyDescent="0.2"/>
    <row r="229" spans="1:10" ht="12.75" customHeight="1" x14ac:dyDescent="0.2">
      <c r="A229" s="31"/>
      <c r="B229" s="31"/>
      <c r="C229" s="31"/>
      <c r="D229" s="28"/>
      <c r="E229" s="35"/>
      <c r="F229" s="35"/>
      <c r="G229" s="35"/>
      <c r="H229" s="35"/>
      <c r="I229" s="35"/>
      <c r="J229" s="35"/>
    </row>
    <row r="230" spans="1:10" ht="12.75" customHeight="1" x14ac:dyDescent="0.2">
      <c r="A230" s="31"/>
      <c r="B230" s="31"/>
      <c r="C230" s="31"/>
      <c r="D230" s="28"/>
      <c r="E230" s="35"/>
      <c r="F230" s="35"/>
      <c r="G230" s="35"/>
      <c r="H230" s="35"/>
      <c r="I230" s="35"/>
      <c r="J230" s="35"/>
    </row>
    <row r="231" spans="1:10" ht="12.75" customHeight="1" x14ac:dyDescent="0.2">
      <c r="A231" s="31"/>
      <c r="B231" s="31"/>
      <c r="C231" s="31"/>
      <c r="D231" s="28"/>
      <c r="E231" s="35"/>
      <c r="F231" s="35"/>
      <c r="G231" s="63"/>
      <c r="H231" s="35"/>
      <c r="I231" s="35"/>
      <c r="J231" s="35"/>
    </row>
    <row r="232" spans="1:10" ht="12.75" customHeight="1" x14ac:dyDescent="0.2">
      <c r="A232" s="31"/>
      <c r="B232" s="31"/>
      <c r="C232" s="31"/>
      <c r="D232" s="28"/>
      <c r="E232" s="35"/>
      <c r="F232" s="35"/>
      <c r="G232" s="35"/>
      <c r="H232" s="35"/>
      <c r="I232" s="35"/>
      <c r="J232" s="35"/>
    </row>
    <row r="233" spans="1:10" ht="12.75" customHeight="1" x14ac:dyDescent="0.2">
      <c r="A233" s="31"/>
      <c r="B233" s="31"/>
      <c r="C233" s="31"/>
      <c r="D233" s="28"/>
      <c r="E233" s="35"/>
      <c r="F233" s="35"/>
      <c r="G233" s="35"/>
      <c r="H233" s="35"/>
      <c r="I233" s="35"/>
      <c r="J233" s="35"/>
    </row>
    <row r="234" spans="1:10" ht="12.75" customHeight="1" x14ac:dyDescent="0.2">
      <c r="A234" s="31"/>
      <c r="B234" s="31"/>
      <c r="C234" s="31"/>
      <c r="D234" s="28"/>
      <c r="E234" s="35"/>
      <c r="F234" s="35"/>
      <c r="G234" s="35"/>
      <c r="H234" s="35"/>
      <c r="I234" s="35"/>
      <c r="J234" s="35"/>
    </row>
    <row r="235" spans="1:10" ht="12.75" customHeight="1" x14ac:dyDescent="0.2">
      <c r="A235" s="31"/>
      <c r="B235" s="31"/>
      <c r="C235" s="31"/>
      <c r="D235" s="28"/>
      <c r="E235" s="35"/>
      <c r="F235" s="35"/>
      <c r="G235" s="35"/>
      <c r="H235" s="35"/>
      <c r="I235" s="35"/>
      <c r="J235" s="35"/>
    </row>
    <row r="236" spans="1:10" ht="12.75" customHeight="1" x14ac:dyDescent="0.2">
      <c r="A236" s="2"/>
      <c r="B236" s="31"/>
      <c r="C236" s="31"/>
      <c r="D236" s="28"/>
      <c r="E236" s="35"/>
      <c r="F236" s="35"/>
      <c r="G236" s="35"/>
      <c r="H236" s="35"/>
      <c r="I236" s="35"/>
      <c r="J236" s="35"/>
    </row>
    <row r="237" spans="1:10" ht="12.75" customHeight="1" x14ac:dyDescent="0.2">
      <c r="A237" s="31"/>
      <c r="B237" s="31"/>
      <c r="C237" s="31"/>
      <c r="D237" s="28"/>
      <c r="E237" s="35"/>
      <c r="F237" s="35"/>
      <c r="G237" s="35"/>
      <c r="H237" s="35"/>
      <c r="I237" s="35"/>
      <c r="J237" s="35"/>
    </row>
    <row r="238" spans="1:10" ht="12.75" customHeight="1" x14ac:dyDescent="0.2">
      <c r="A238" s="31"/>
      <c r="B238" s="31"/>
      <c r="C238" s="31"/>
      <c r="D238" s="28"/>
      <c r="E238" s="35"/>
      <c r="F238" s="35"/>
      <c r="G238" s="35"/>
      <c r="H238" s="35"/>
      <c r="I238" s="35"/>
      <c r="J238" s="35"/>
    </row>
    <row r="239" spans="1:10" ht="12.75" customHeight="1" x14ac:dyDescent="0.2">
      <c r="A239" s="31"/>
      <c r="B239" s="31"/>
      <c r="C239" s="31"/>
      <c r="D239" s="28"/>
      <c r="E239" s="35"/>
      <c r="F239" s="35"/>
      <c r="G239" s="35"/>
      <c r="H239" s="35"/>
      <c r="I239" s="35"/>
      <c r="J239" s="35"/>
    </row>
    <row r="240" spans="1:10" ht="12.75" customHeight="1" x14ac:dyDescent="0.2">
      <c r="A240" s="31"/>
      <c r="B240" s="31"/>
      <c r="C240" s="31"/>
      <c r="D240" s="28"/>
      <c r="E240" s="35"/>
      <c r="F240" s="35"/>
      <c r="G240" s="35"/>
      <c r="H240" s="35"/>
      <c r="I240" s="35"/>
      <c r="J240" s="35"/>
    </row>
    <row r="241" spans="1:10" ht="12.75" customHeight="1" x14ac:dyDescent="0.2">
      <c r="A241" s="31"/>
      <c r="B241" s="31"/>
      <c r="C241" s="31"/>
      <c r="D241" s="28"/>
      <c r="E241" s="35"/>
      <c r="F241" s="35"/>
      <c r="G241" s="35"/>
      <c r="H241" s="35"/>
      <c r="I241" s="35"/>
      <c r="J241" s="35"/>
    </row>
    <row r="242" spans="1:10" ht="12.75" customHeight="1" x14ac:dyDescent="0.2">
      <c r="A242" s="61"/>
      <c r="B242" s="61"/>
      <c r="C242" s="61"/>
      <c r="D242" s="50"/>
      <c r="H242" s="71"/>
      <c r="I242" s="37"/>
      <c r="J242" s="37"/>
    </row>
    <row r="243" spans="1:10" ht="12.75" customHeight="1" x14ac:dyDescent="0.2">
      <c r="A243" s="31"/>
      <c r="B243" s="31"/>
      <c r="C243" s="31"/>
      <c r="D243" s="28"/>
      <c r="E243" s="35"/>
      <c r="F243" s="35"/>
      <c r="G243" s="35"/>
      <c r="H243" s="35"/>
      <c r="I243" s="35"/>
      <c r="J243" s="35"/>
    </row>
    <row r="244" spans="1:10" ht="12.75" customHeight="1" x14ac:dyDescent="0.2">
      <c r="A244" s="61"/>
      <c r="B244" s="61"/>
      <c r="C244" s="61"/>
      <c r="D244" s="50"/>
      <c r="I244" s="37"/>
      <c r="J244" s="37"/>
    </row>
    <row r="245" spans="1:10" ht="12.75" customHeight="1" x14ac:dyDescent="0.2">
      <c r="A245" s="31"/>
      <c r="B245" s="31"/>
      <c r="C245" s="31"/>
      <c r="D245" s="28"/>
      <c r="E245" s="35"/>
      <c r="F245" s="35"/>
      <c r="G245" s="35"/>
      <c r="H245" s="35"/>
      <c r="I245" s="35"/>
      <c r="J245" s="35"/>
    </row>
    <row r="246" spans="1:10" ht="12.75" customHeight="1" x14ac:dyDescent="0.2">
      <c r="A246" s="31"/>
      <c r="B246" s="31"/>
      <c r="C246" s="31"/>
      <c r="D246" s="28"/>
      <c r="E246" s="35"/>
      <c r="F246" s="35"/>
      <c r="G246" s="35"/>
      <c r="H246" s="35"/>
      <c r="I246" s="35"/>
      <c r="J246" s="35"/>
    </row>
    <row r="247" spans="1:10" ht="12.75" customHeight="1" x14ac:dyDescent="0.2">
      <c r="A247" s="31"/>
      <c r="B247" s="31"/>
      <c r="C247" s="31"/>
      <c r="D247" s="28"/>
      <c r="E247" s="35"/>
      <c r="F247" s="35"/>
      <c r="G247" s="35"/>
      <c r="H247" s="35"/>
      <c r="I247" s="35"/>
      <c r="J247" s="35"/>
    </row>
    <row r="248" spans="1:10" ht="12.75" customHeight="1" x14ac:dyDescent="0.2">
      <c r="A248" s="31"/>
      <c r="B248" s="31"/>
      <c r="C248" s="31"/>
      <c r="D248" s="28"/>
      <c r="E248" s="35"/>
      <c r="F248" s="35"/>
      <c r="G248" s="35"/>
      <c r="H248" s="35"/>
      <c r="I248" s="35"/>
      <c r="J248" s="35"/>
    </row>
    <row r="249" spans="1:10" ht="12.75" customHeight="1" x14ac:dyDescent="0.2">
      <c r="E249" s="35"/>
      <c r="F249" s="35"/>
      <c r="G249" s="35"/>
      <c r="H249" s="35"/>
      <c r="I249" s="35"/>
      <c r="J249" s="35"/>
    </row>
    <row r="250" spans="1:10" ht="12.75" customHeight="1" x14ac:dyDescent="0.2">
      <c r="A250" s="31"/>
      <c r="B250" s="31"/>
      <c r="C250" s="31"/>
      <c r="D250" s="28"/>
      <c r="E250" s="35"/>
      <c r="F250" s="35"/>
      <c r="G250" s="35"/>
      <c r="H250" s="35"/>
      <c r="I250" s="35"/>
      <c r="J250" s="35"/>
    </row>
    <row r="251" spans="1:10" ht="12.75" customHeight="1" x14ac:dyDescent="0.2">
      <c r="A251" s="31"/>
      <c r="B251" s="31"/>
      <c r="C251" s="31"/>
      <c r="D251" s="28"/>
      <c r="E251" s="35"/>
      <c r="F251" s="35"/>
      <c r="G251" s="35"/>
      <c r="H251" s="35"/>
      <c r="I251" s="35"/>
      <c r="J251" s="35"/>
    </row>
    <row r="252" spans="1:10" ht="12.75" customHeight="1" x14ac:dyDescent="0.2">
      <c r="A252" s="31"/>
      <c r="B252" s="31"/>
      <c r="C252" s="31"/>
      <c r="D252" s="28"/>
      <c r="E252" s="35"/>
      <c r="F252" s="35"/>
      <c r="G252" s="35"/>
      <c r="H252" s="35"/>
      <c r="I252" s="35"/>
      <c r="J252" s="35"/>
    </row>
    <row r="253" spans="1:10" ht="12.75" customHeight="1" x14ac:dyDescent="0.2">
      <c r="A253" s="31"/>
      <c r="B253" s="31"/>
      <c r="C253" s="31"/>
      <c r="D253" s="28"/>
      <c r="E253" s="35"/>
      <c r="F253" s="35"/>
      <c r="G253" s="35"/>
      <c r="H253" s="35"/>
      <c r="I253" s="35"/>
      <c r="J253" s="35"/>
    </row>
    <row r="254" spans="1:10" ht="12.75" customHeight="1" x14ac:dyDescent="0.2">
      <c r="A254" s="31"/>
      <c r="B254" s="31"/>
      <c r="C254" s="31"/>
      <c r="D254" s="28"/>
      <c r="E254" s="35"/>
      <c r="F254" s="35"/>
      <c r="G254" s="35"/>
      <c r="H254" s="35"/>
      <c r="I254" s="35"/>
      <c r="J254" s="35"/>
    </row>
    <row r="255" spans="1:10" ht="12.75" customHeight="1" x14ac:dyDescent="0.2">
      <c r="A255" s="31"/>
      <c r="B255" s="31"/>
      <c r="C255" s="31"/>
      <c r="D255" s="28"/>
      <c r="E255" s="35"/>
      <c r="F255" s="35"/>
      <c r="G255" s="63"/>
      <c r="H255" s="35"/>
      <c r="I255" s="35"/>
      <c r="J255" s="35"/>
    </row>
    <row r="256" spans="1:10" ht="12.75" customHeight="1" x14ac:dyDescent="0.2">
      <c r="A256" s="31"/>
      <c r="B256" s="31"/>
      <c r="C256" s="31"/>
      <c r="D256" s="28"/>
      <c r="E256" s="35"/>
      <c r="F256" s="35"/>
      <c r="G256" s="35"/>
      <c r="H256" s="35"/>
      <c r="I256" s="35"/>
      <c r="J256" s="35"/>
    </row>
    <row r="257" spans="1:10" ht="12.75" customHeight="1" x14ac:dyDescent="0.2">
      <c r="A257" s="31"/>
      <c r="B257" s="31"/>
      <c r="C257" s="31"/>
      <c r="D257" s="28"/>
      <c r="E257" s="35"/>
      <c r="F257" s="35"/>
      <c r="G257" s="35"/>
      <c r="H257" s="35"/>
      <c r="I257" s="35"/>
      <c r="J257" s="35"/>
    </row>
    <row r="258" spans="1:10" ht="12.75" customHeight="1" x14ac:dyDescent="0.2">
      <c r="A258" s="31"/>
      <c r="B258" s="31"/>
      <c r="C258" s="31"/>
      <c r="D258" s="28"/>
      <c r="E258" s="35"/>
      <c r="F258" s="35"/>
      <c r="G258" s="35"/>
      <c r="H258" s="35"/>
      <c r="I258" s="35"/>
      <c r="J258" s="35"/>
    </row>
    <row r="259" spans="1:10" ht="12.75" customHeight="1" x14ac:dyDescent="0.2">
      <c r="A259" s="31"/>
      <c r="B259" s="31"/>
      <c r="C259" s="31"/>
      <c r="D259" s="28"/>
      <c r="E259" s="35"/>
      <c r="F259" s="35"/>
      <c r="G259" s="63"/>
      <c r="H259" s="35"/>
      <c r="I259" s="35"/>
      <c r="J259" s="35"/>
    </row>
    <row r="260" spans="1:10" ht="12.75" customHeight="1" x14ac:dyDescent="0.2">
      <c r="A260" s="31"/>
      <c r="B260" s="31"/>
      <c r="C260" s="31"/>
      <c r="D260" s="28"/>
      <c r="E260" s="35"/>
      <c r="F260" s="35"/>
      <c r="G260" s="35"/>
      <c r="H260" s="35"/>
      <c r="I260" s="35"/>
      <c r="J260" s="35"/>
    </row>
    <row r="261" spans="1:10" ht="12.75" customHeight="1" x14ac:dyDescent="0.2">
      <c r="A261" s="31"/>
      <c r="B261" s="31"/>
      <c r="C261" s="31"/>
      <c r="D261" s="28"/>
      <c r="E261" s="35"/>
      <c r="F261" s="35"/>
      <c r="G261" s="35"/>
      <c r="H261" s="35"/>
      <c r="I261" s="35"/>
      <c r="J261" s="35"/>
    </row>
    <row r="262" spans="1:10" ht="12.75" customHeight="1" x14ac:dyDescent="0.2">
      <c r="A262" s="61"/>
      <c r="B262" s="61"/>
      <c r="C262" s="61"/>
      <c r="D262" s="50"/>
      <c r="G262" s="37"/>
      <c r="I262" s="37"/>
      <c r="J262" s="37"/>
    </row>
    <row r="263" spans="1:10" ht="12.75" customHeight="1" x14ac:dyDescent="0.2">
      <c r="A263" s="31"/>
      <c r="B263" s="31"/>
      <c r="C263" s="31"/>
      <c r="D263" s="28"/>
      <c r="E263" s="35"/>
      <c r="F263" s="35"/>
      <c r="G263" s="35"/>
      <c r="H263" s="35"/>
      <c r="I263" s="35"/>
      <c r="J263" s="35"/>
    </row>
    <row r="264" spans="1:10" ht="12.75" customHeight="1" x14ac:dyDescent="0.2">
      <c r="A264" s="31"/>
      <c r="B264" s="31"/>
      <c r="C264" s="31"/>
      <c r="D264" s="28"/>
      <c r="E264" s="35"/>
      <c r="F264" s="35"/>
      <c r="G264" s="35"/>
      <c r="H264" s="35"/>
      <c r="I264" s="35"/>
      <c r="J264" s="35"/>
    </row>
    <row r="265" spans="1:10" ht="12.75" customHeight="1" x14ac:dyDescent="0.2">
      <c r="E265" s="35"/>
      <c r="F265" s="35"/>
      <c r="G265" s="35"/>
      <c r="H265" s="35"/>
      <c r="I265" s="35"/>
      <c r="J265" s="35"/>
    </row>
    <row r="266" spans="1:10" ht="12.75" customHeight="1" x14ac:dyDescent="0.2">
      <c r="D266" s="28"/>
      <c r="E266" s="35"/>
      <c r="F266" s="35"/>
      <c r="G266" s="35"/>
      <c r="H266" s="35"/>
      <c r="I266" s="35"/>
      <c r="J266" s="35"/>
    </row>
    <row r="267" spans="1:10" ht="12.75" customHeight="1" x14ac:dyDescent="0.2"/>
    <row r="268" spans="1:10" ht="12.75" customHeight="1" x14ac:dyDescent="0.2"/>
    <row r="269" spans="1:10" ht="12.75" customHeight="1" x14ac:dyDescent="0.2">
      <c r="D269" s="28"/>
    </row>
    <row r="270" spans="1:10" ht="12.75" customHeight="1" x14ac:dyDescent="0.2"/>
    <row r="271" spans="1:10" ht="12.75" customHeight="1" x14ac:dyDescent="0.2">
      <c r="D271" s="28"/>
      <c r="E271" s="51"/>
    </row>
    <row r="272" spans="1:10" ht="12.75" customHeight="1" x14ac:dyDescent="0.2"/>
    <row r="273" spans="1:10" ht="12.75" customHeight="1" x14ac:dyDescent="0.2">
      <c r="D273" s="28"/>
      <c r="E273" s="51"/>
    </row>
    <row r="274" spans="1:10" ht="12.75" customHeight="1" x14ac:dyDescent="0.2"/>
    <row r="275" spans="1:10" ht="12.75" customHeight="1" x14ac:dyDescent="0.2">
      <c r="D275" s="52"/>
      <c r="E275" s="28"/>
    </row>
    <row r="276" spans="1:10" ht="12.75" customHeight="1" x14ac:dyDescent="0.2">
      <c r="D276" s="28"/>
    </row>
    <row r="277" spans="1:10" ht="12.75" customHeight="1" x14ac:dyDescent="0.2">
      <c r="D277" s="28"/>
    </row>
    <row r="278" spans="1:10" ht="12.75" customHeight="1" x14ac:dyDescent="0.2">
      <c r="D278" s="28"/>
    </row>
    <row r="279" spans="1:10" ht="12.75" customHeight="1" x14ac:dyDescent="0.2"/>
    <row r="280" spans="1:10" ht="12.75" customHeight="1" x14ac:dyDescent="0.2">
      <c r="E280" s="30"/>
      <c r="F280" s="30"/>
      <c r="G280" s="30"/>
      <c r="H280" s="30"/>
      <c r="I280" s="30"/>
      <c r="J280" s="30"/>
    </row>
    <row r="281" spans="1:10" ht="12.75" customHeight="1" x14ac:dyDescent="0.2">
      <c r="A281" s="28"/>
      <c r="B281" s="28"/>
      <c r="C281" s="28"/>
      <c r="D281" s="28"/>
      <c r="E281" s="30"/>
      <c r="F281" s="30"/>
      <c r="G281" s="30"/>
      <c r="H281" s="30"/>
      <c r="I281" s="30"/>
      <c r="J281" s="30"/>
    </row>
    <row r="282" spans="1:10" ht="12.75" customHeight="1" x14ac:dyDescent="0.2"/>
    <row r="283" spans="1:10" ht="12.75" customHeight="1" x14ac:dyDescent="0.2"/>
    <row r="284" spans="1:10" ht="12.75" customHeight="1" x14ac:dyDescent="0.2"/>
    <row r="285" spans="1:10" ht="12.75" customHeight="1" x14ac:dyDescent="0.2"/>
    <row r="286" spans="1:10" ht="12.75" customHeight="1" x14ac:dyDescent="0.2"/>
    <row r="287" spans="1:10" ht="12.75" customHeight="1" x14ac:dyDescent="0.2"/>
    <row r="288" spans="1:10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">
    <mergeCell ref="K47:N47"/>
    <mergeCell ref="L50:N5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Signature Page</vt:lpstr>
      <vt:lpstr>Directions</vt:lpstr>
      <vt:lpstr>Governmental Funds</vt:lpstr>
      <vt:lpstr>Revenues</vt:lpstr>
      <vt:lpstr>Expenses</vt:lpstr>
      <vt:lpstr>Employee Benefit Trust Fund</vt:lpstr>
      <vt:lpstr>Internal Service Funds</vt:lpstr>
      <vt:lpstr>Indirect cost instructions</vt:lpstr>
      <vt:lpstr>Indirect cost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Van Spankeren</dc:creator>
  <cp:lastModifiedBy>Dave Van Spankeren</cp:lastModifiedBy>
  <dcterms:created xsi:type="dcterms:W3CDTF">2020-02-20T22:05:47Z</dcterms:created>
  <dcterms:modified xsi:type="dcterms:W3CDTF">2020-03-26T17:08:21Z</dcterms:modified>
</cp:coreProperties>
</file>