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160" windowHeight="8760" tabRatio="862" activeTab="0"/>
  </bookViews>
  <sheets>
    <sheet name="Excel Instructions" sheetId="1" r:id="rId1"/>
    <sheet name="Cover Page" sheetId="2" r:id="rId2"/>
    <sheet name="Error Report" sheetId="3" r:id="rId3"/>
    <sheet name="Schedule 1-1" sheetId="4" r:id="rId4"/>
    <sheet name="Schedule 1-2" sheetId="5" r:id="rId5"/>
    <sheet name="Sample Info" sheetId="6" r:id="rId6"/>
    <sheet name="Schedule 2" sheetId="7" r:id="rId7"/>
    <sheet name="Ineligibility Reasons" sheetId="8" r:id="rId8"/>
    <sheet name="Schedule 3" sheetId="9" r:id="rId9"/>
    <sheet name="Schedule 4" sheetId="10" r:id="rId10"/>
    <sheet name="Schedule 5" sheetId="11" r:id="rId11"/>
    <sheet name="Schedule 6" sheetId="12" r:id="rId12"/>
    <sheet name="Schedule 7" sheetId="13" r:id="rId13"/>
    <sheet name="Counts" sheetId="14" r:id="rId14"/>
    <sheet name="Payment Amounts" sheetId="15" state="hidden" r:id="rId15"/>
    <sheet name="Schedule 5 Jan Only" sheetId="16" state="hidden" r:id="rId16"/>
    <sheet name="Schedule 5 (OLD Sept)" sheetId="17" state="hidden" r:id="rId17"/>
  </sheets>
  <definedNames>
    <definedName name="_xlnm._FilterDatabase" localSheetId="13" hidden="1">'Counts'!$A$3:$AW$415</definedName>
    <definedName name="_xlfn.COUNTIFS" hidden="1">#NAME?</definedName>
    <definedName name="_xlfn.SUMIFS" hidden="1">#NAME?</definedName>
    <definedName name="Last_Row" localSheetId="7">IF(Values_Entered,Header_Row+Number_of_Payments,Header_Row)</definedName>
    <definedName name="Last_Row" localSheetId="4">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 localSheetId="16">IF(Values_Entered,Header_Row+Number_of_Payments,Header_Row)</definedName>
    <definedName name="Last_Row" localSheetId="15">IF(Values_Entered,Header_Row+Number_of_Payments,Header_Row)</definedName>
    <definedName name="Last_Row" localSheetId="11">IF(Values_Entered,Header_Row+Number_of_Payments,Header_Row)</definedName>
    <definedName name="Last_Row" localSheetId="12">IF(Values_Entered,Header_Row+Number_of_Payments,Header_Row)</definedName>
    <definedName name="Last_Row">IF(Values_Entered,Header_Row+Number_of_Payments,Header_Row)</definedName>
    <definedName name="_xlnm.Print_Area" localSheetId="2">'Error Report'!$A$1:$E$27</definedName>
    <definedName name="_xlnm.Print_Area" localSheetId="0">'Excel Instructions'!$A$1:$J$55</definedName>
    <definedName name="_xlnm.Print_Area" localSheetId="3">'Schedule 1-1'!$A$1:$I$30</definedName>
    <definedName name="_xlnm.Print_Area" localSheetId="4">'Schedule 1-2'!$A$1:$I$40</definedName>
    <definedName name="_xlnm.Print_Area" localSheetId="6">'Schedule 2'!$A$1:$H$46</definedName>
    <definedName name="_xlnm.Print_Area" localSheetId="8">'Schedule 3'!$A$1:$L$46</definedName>
    <definedName name="_xlnm.Print_Area" localSheetId="9">'Schedule 4'!$A$1:$J$34</definedName>
    <definedName name="_xlnm.Print_Area" localSheetId="10">'Schedule 5'!$A$1:$L$31</definedName>
    <definedName name="_xlnm.Print_Area" localSheetId="16">'Schedule 5 (OLD Sept)'!$A$1:$L$35</definedName>
    <definedName name="_xlnm.Print_Area" localSheetId="15">'Schedule 5 Jan Only'!$A$1:$L$27</definedName>
    <definedName name="_xlnm.Print_Area" localSheetId="11">'Schedule 6'!$A$1:$H$40</definedName>
    <definedName name="_xlnm.Print_Area" localSheetId="12">'Schedule 7'!$A$1:$I$47</definedName>
    <definedName name="Print_Area_Reset" localSheetId="7">OFFSET(Full_Print,0,0,'Ineligibility Reasons'!Last_Row)</definedName>
    <definedName name="Print_Area_Reset" localSheetId="4">OFFSET(Full_Print,0,0,'Schedule 1-2'!Last_Row)</definedName>
    <definedName name="Print_Area_Reset" localSheetId="9">OFFSET(Full_Print,0,0,'Schedule 4'!Last_Row)</definedName>
    <definedName name="Print_Area_Reset" localSheetId="10">OFFSET(Full_Print,0,0,'Schedule 5'!Last_Row)</definedName>
    <definedName name="Print_Area_Reset" localSheetId="16">OFFSET(Full_Print,0,0,'Schedule 5 (OLD Sept)'!Last_Row)</definedName>
    <definedName name="Print_Area_Reset" localSheetId="15">OFFSET(Full_Print,0,0,'Schedule 5 Jan Only'!Last_Row)</definedName>
    <definedName name="Print_Area_Reset" localSheetId="11">OFFSET(Full_Print,0,0,'Schedule 6'!Last_Row)</definedName>
    <definedName name="Print_Area_Reset" localSheetId="12">OFFSET(Full_Print,0,0,'Schedule 7'!Last_Row)</definedName>
    <definedName name="Print_Area_Reset">OFFSET(Full_Print,0,0,Last_Row)</definedName>
    <definedName name="_xlnm.Print_Titles" localSheetId="6">'Schedule 2'!$1:$3</definedName>
    <definedName name="_xlnm.Print_Titles" localSheetId="8">'Schedule 3'!$1:$3</definedName>
    <definedName name="_xlnm.Print_Titles" localSheetId="9">'Schedule 4'!$1:$3</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#/family ID #, pupil first name, pupil last name, reason(s) for ineligibility, and program. The total line on Schedule 2 can be used to identify which column does not equal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#/family ID #, audited pupil first name, audited pupil last name, program, pupil added to count, or pupil added to waiting list. The total line on Schedule 4 can be used to identify which column does not equal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7,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For each pupil on the Summer School Schedule 7, there must be a grade, application #, pupil first name, pupil last name, program, reported days attended, and audited days attended.  There are three columns to the right of each line that indicate if required information is complete.  Resolve any items that have a "No" in the error columns.
</t>
        </r>
      </text>
    </comment>
    <comment ref="A25" authorId="0">
      <text>
        <r>
          <rPr>
            <b/>
            <sz val="8"/>
            <rFont val="Arial"/>
            <family val="2"/>
          </rPr>
          <t xml:space="preserve">SUMMER SCHOOL CHANGES
</t>
        </r>
        <r>
          <rPr>
            <sz val="8"/>
            <rFont val="Arial"/>
            <family val="2"/>
          </rPr>
          <t>Schedule 7,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#/family ID #, pupil first name, pupil last name, and program. </t>
        </r>
      </text>
    </comment>
  </commentList>
</comments>
</file>

<file path=xl/sharedStrings.xml><?xml version="1.0" encoding="utf-8"?>
<sst xmlns="http://schemas.openxmlformats.org/spreadsheetml/2006/main" count="1828" uniqueCount="630">
  <si>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</si>
  <si>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</si>
  <si>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</si>
  <si>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</si>
  <si>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</si>
  <si>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</si>
  <si>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</si>
  <si>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</si>
  <si>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</si>
  <si>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</si>
  <si>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</si>
  <si>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</si>
  <si>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</si>
  <si>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</si>
  <si>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</si>
  <si>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</si>
  <si>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</si>
  <si>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</si>
  <si>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</si>
  <si>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</si>
  <si>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</si>
  <si>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</si>
  <si>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</si>
  <si>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</si>
  <si>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</si>
  <si>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</si>
  <si>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</si>
  <si>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</si>
  <si>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</si>
  <si>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</si>
  <si>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</si>
  <si>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</si>
  <si>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</si>
  <si>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</si>
  <si>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</si>
  <si>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</si>
  <si>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</si>
  <si>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</si>
  <si>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</si>
  <si>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</si>
  <si>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</si>
  <si>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</si>
  <si>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</si>
  <si>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</si>
  <si>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</si>
  <si>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</si>
  <si>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</si>
  <si>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</si>
  <si>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</si>
  <si>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</si>
  <si>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</si>
  <si>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</si>
  <si>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</si>
  <si>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</si>
  <si>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</si>
  <si>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</si>
  <si>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</si>
  <si>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</si>
  <si>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</si>
  <si>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</si>
  <si>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App #/
Family ID #</t>
  </si>
  <si>
    <t>Line</t>
  </si>
  <si>
    <t>All Pupils</t>
  </si>
  <si>
    <t>Choice Pupils</t>
  </si>
  <si>
    <t>Number of family applications with instances of income and/or residency related errors (even if corrected)</t>
  </si>
  <si>
    <t>?</t>
  </si>
  <si>
    <t>Error Report</t>
  </si>
  <si>
    <t>Correct Any Indicated Errors Before Filing with the DPI</t>
  </si>
  <si>
    <t>Include This Page Immediately Behind the Signature Page</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</si>
  <si>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</si>
  <si>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</si>
  <si>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</si>
  <si>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</si>
  <si>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</si>
  <si>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</si>
  <si>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</si>
  <si>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</si>
  <si>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</si>
  <si>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</si>
  <si>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</si>
  <si>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</si>
  <si>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</si>
  <si>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</si>
  <si>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</si>
  <si>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</si>
  <si>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 xml:space="preserve">1) The student did not attend either on, or before and after the count date. </t>
  </si>
  <si>
    <t xml:space="preserve">2) The student does not have a classroom record. </t>
  </si>
  <si>
    <t xml:space="preserve">4) The student is too young for the grade he or she attended per the classroom records. </t>
  </si>
  <si>
    <t xml:space="preserve">5) The student is too old to participate in the program. </t>
  </si>
  <si>
    <t>Attendance &amp; Age</t>
  </si>
  <si>
    <t xml:space="preserve">22) The pupil was inappropriately included on the waiting list. </t>
  </si>
  <si>
    <t xml:space="preserve">23) The pupil was identified as a duplicate by the auditor. </t>
  </si>
  <si>
    <t xml:space="preserve">3)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</si>
  <si>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All Pupil Count</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</si>
  <si>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</si>
  <si>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</si>
  <si>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</si>
  <si>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</si>
  <si>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</si>
  <si>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</si>
  <si>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</si>
  <si>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</si>
  <si>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</si>
  <si>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</si>
  <si>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</si>
  <si>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</si>
  <si>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</si>
  <si>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</si>
  <si>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</si>
  <si>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</si>
  <si>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Eastbrook Academy</t>
  </si>
  <si>
    <t>Elm Grove Lutheran School</t>
  </si>
  <si>
    <t>EverGreen Academy</t>
  </si>
  <si>
    <t>First Immanuel Lutheran School</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</si>
  <si>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</si>
  <si>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</si>
  <si>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</si>
  <si>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</si>
  <si>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</si>
  <si>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</si>
  <si>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</si>
  <si>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</si>
  <si>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</si>
  <si>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</si>
  <si>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</si>
  <si>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</si>
  <si>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</si>
  <si>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</si>
  <si>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</si>
  <si>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</si>
  <si>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</si>
  <si>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</si>
  <si>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</si>
  <si>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</si>
  <si>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</si>
  <si>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</si>
  <si>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</si>
  <si>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</si>
  <si>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Rock County Christian School</t>
  </si>
  <si>
    <t>Roncalli High School</t>
  </si>
  <si>
    <t>Saint Catherine School</t>
  </si>
  <si>
    <t>Saint Francis Xavier Catholic School System, Inc.</t>
  </si>
  <si>
    <t>Saint Francis of Assisi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</si>
  <si>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</si>
  <si>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</si>
  <si>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</si>
  <si>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</si>
  <si>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</si>
  <si>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</si>
  <si>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</si>
  <si>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</si>
  <si>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</si>
  <si>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</si>
  <si>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</si>
  <si>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</si>
  <si>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</si>
  <si>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</si>
  <si>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</si>
  <si>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</si>
  <si>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</si>
  <si>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</si>
  <si>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</si>
  <si>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Wells Street Academy</t>
  </si>
  <si>
    <t>Winnebago Lutheran Academy</t>
  </si>
  <si>
    <t>Wisconsin Academy</t>
  </si>
  <si>
    <t>Yeshiva Elementary School</t>
  </si>
  <si>
    <t>Friedens Lutheran School</t>
  </si>
  <si>
    <t>Choice Pupil Count</t>
  </si>
  <si>
    <t>CERT School</t>
  </si>
  <si>
    <t>Central Wisconsin Christian School</t>
  </si>
  <si>
    <t>Cristo Rey Jesuit Milwaukee High School</t>
  </si>
  <si>
    <t>Granville Lutheran School</t>
  </si>
  <si>
    <t>Hope Christian School: Via</t>
  </si>
  <si>
    <t>Immanuel Lutheran School - Sheboygan</t>
  </si>
  <si>
    <t>McDonell Area Catholic Schools</t>
  </si>
  <si>
    <t>Pacelli Catholic Schools</t>
  </si>
  <si>
    <t>Pilgrim Lutheran School - Wauwatosa</t>
  </si>
  <si>
    <t>Saint John's Lutheran School - Burlington</t>
  </si>
  <si>
    <t>Saint Joseph Catholic School - Boyd</t>
  </si>
  <si>
    <t>Saint Mark Lutheran School</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</si>
  <si>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</si>
  <si>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</si>
  <si>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</si>
  <si>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</si>
  <si>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</si>
  <si>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</si>
  <si>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</si>
  <si>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</si>
  <si>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</si>
  <si>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</si>
  <si>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</si>
  <si>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</si>
  <si>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</si>
  <si>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</si>
  <si>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</si>
  <si>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</si>
  <si>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</si>
  <si>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</si>
  <si>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</si>
  <si>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</si>
  <si>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</si>
  <si>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</si>
  <si>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</si>
  <si>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</si>
  <si>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</si>
  <si>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SCHOOL_NAME (include city)</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</si>
  <si>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</si>
  <si>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</si>
  <si>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</si>
  <si>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</si>
  <si>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</si>
  <si>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</si>
  <si>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</si>
  <si>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</si>
  <si>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</si>
  <si>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</si>
  <si>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</si>
  <si>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</si>
  <si>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</si>
  <si>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</si>
  <si>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</si>
  <si>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</si>
  <si>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</si>
  <si>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</si>
  <si>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</si>
  <si>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</si>
  <si>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</si>
  <si>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</si>
  <si>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</si>
  <si>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</si>
  <si>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</si>
  <si>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Mount Calvary Lutheran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</si>
  <si>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</si>
  <si>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</si>
  <si>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</si>
  <si>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</si>
  <si>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</si>
  <si>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</si>
  <si>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</si>
  <si>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</si>
  <si>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</si>
  <si>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Coletta Day School</t>
  </si>
  <si>
    <t>Saint Gregory the Great Parish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</si>
  <si>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</si>
  <si>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</si>
  <si>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</si>
  <si>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</si>
  <si>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</si>
  <si>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</si>
  <si>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</si>
  <si>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</si>
  <si>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</si>
  <si>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</si>
  <si>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</si>
  <si>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</si>
  <si>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</si>
  <si>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</si>
  <si>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</si>
  <si>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</si>
  <si>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</si>
  <si>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</si>
  <si>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</si>
  <si>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</si>
  <si>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</si>
  <si>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Waiting List Count</t>
  </si>
  <si>
    <t>School &amp; Program</t>
  </si>
  <si>
    <t>MPCP WAITING LIST</t>
  </si>
  <si>
    <t>RPCP WAITING LIST</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</si>
  <si>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</si>
  <si>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</si>
  <si>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</si>
  <si>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</si>
  <si>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</si>
  <si>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</si>
  <si>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</si>
  <si>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</si>
  <si>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</si>
  <si>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</si>
  <si>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</si>
  <si>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</si>
  <si>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</si>
  <si>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</si>
  <si>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</si>
  <si>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</si>
  <si>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</si>
  <si>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</si>
  <si>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</si>
  <si>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</si>
  <si>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WPCP WAITING LIST</t>
  </si>
  <si>
    <t xml:space="preserve">6) The student is listed as the parent/guardian but is not eligible to apply themselves.  </t>
  </si>
  <si>
    <t xml:space="preserve">7) The DOR determination was not appropriately completed or the DOR determined the application was not income eligible. </t>
  </si>
  <si>
    <t xml:space="preserve">8) The income is above the allowable amount. </t>
  </si>
  <si>
    <t xml:space="preserve">9) The support for the prior year income was not provided. </t>
  </si>
  <si>
    <t xml:space="preserve">11) The application did not include a sufficient explanation of how basic needs were supplied or the basic needs explanation indicates income was received that has not been included in the income eligibility determination. </t>
  </si>
  <si>
    <t xml:space="preserve">12) The supporting income documentation or assistance received documentation was obtained outside of the open application period that the application was received. </t>
  </si>
  <si>
    <t xml:space="preserve">13) The name on the supporting income documentation or assistance received documentation does not match the parent/guardian(s) name on the application. </t>
  </si>
  <si>
    <t xml:space="preserve">14) MPCP participants: The address is outside the City of Milwaukee. WPCP: The address is in the City of Milwaukee/Racine Unified School District or not in Wisconsin. RPCP participants: The address is outside of the RUSD area. </t>
  </si>
  <si>
    <t xml:space="preserve">15) The address is a PO Box. </t>
  </si>
  <si>
    <t xml:space="preserve">17)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</si>
  <si>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18) The address on the application does not match the residency documentation. </t>
  </si>
  <si>
    <t xml:space="preserve">19) The residency documentation was obtained outside of the open application period that the application was received. </t>
  </si>
  <si>
    <t xml:space="preserve">20) The parent/guardian name on the application does not match the residency documentation and an Alternative Residency form was not completed. </t>
  </si>
  <si>
    <t xml:space="preserve">21) The Alternative Residency form was used but was not properly completed and/or the supporting documentation required by the Alternative Residency form was not provided. </t>
  </si>
  <si>
    <t>26) {Insert other reason as applicable. The auditor should use one of the above reasons whenever able}</t>
  </si>
  <si>
    <t>Reason 26</t>
  </si>
  <si>
    <t>All Pupil Count Exceeds Choice Pupil Count</t>
  </si>
  <si>
    <t>INELIGIBILITY REASONS 
The following is a summary listing of the reasons an application may be ineligible. This listing corresponds with the reasons on Schedule 2. The last two reasons may be used if no other reason is applicable.</t>
  </si>
  <si>
    <t>Bay City Christian School</t>
  </si>
  <si>
    <t>Beautiful Savior Lutheran School</t>
  </si>
  <si>
    <t>Divine Redeemer Lutheran School</t>
  </si>
  <si>
    <t>Emanuel Lutheran School</t>
  </si>
  <si>
    <t>First Evangelical Lutheran School</t>
  </si>
  <si>
    <t>Good Shepherd Lutheran School - Watertown</t>
  </si>
  <si>
    <t>Hope Christian School: Fidelis</t>
  </si>
  <si>
    <t>Lake Country Lutheran High School</t>
  </si>
  <si>
    <t>Lakeside Lutheran High School</t>
  </si>
  <si>
    <t>Morning Star Lutheran School</t>
  </si>
  <si>
    <t>Notre Dame School of Milwaukee</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</si>
  <si>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</si>
  <si>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</si>
  <si>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</si>
  <si>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</si>
  <si>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</si>
  <si>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</si>
  <si>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</si>
  <si>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</si>
  <si>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</si>
  <si>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</si>
  <si>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</si>
  <si>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</si>
  <si>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Family App Count</t>
  </si>
  <si>
    <t>Number of Family Apps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</si>
  <si>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</si>
  <si>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</si>
  <si>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</si>
  <si>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</si>
  <si>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</si>
  <si>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</si>
  <si>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</si>
  <si>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</si>
  <si>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</si>
  <si>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</si>
  <si>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</si>
  <si>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</si>
  <si>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</si>
  <si>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</si>
  <si>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</si>
  <si>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</si>
  <si>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Francis de Sales Parish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</si>
  <si>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</si>
  <si>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</si>
  <si>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</si>
  <si>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</si>
  <si>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</si>
  <si>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</si>
  <si>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</si>
  <si>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Luxemburg</t>
  </si>
  <si>
    <t>Saint Paul Lutheran School - Green Bay</t>
  </si>
  <si>
    <t>Saint Paul's Lutheran School - Muskego</t>
  </si>
  <si>
    <t>Trinity Lutheran School - Neenah</t>
  </si>
  <si>
    <t>Trinity Lutheran School - Oshkosh</t>
  </si>
  <si>
    <t>Outreach Change</t>
  </si>
  <si>
    <t xml:space="preserve">SUMMER SCHOOL PUPIL CHANGES </t>
  </si>
  <si>
    <t>Summer School Grade</t>
  </si>
  <si>
    <t>K5-0.5 FTE</t>
  </si>
  <si>
    <t>K5-1.0 FTE</t>
  </si>
  <si>
    <t>Grade Selected</t>
  </si>
  <si>
    <t>Grade Category</t>
  </si>
  <si>
    <t>Summer School Counts Counts</t>
  </si>
  <si>
    <t>K-8</t>
  </si>
  <si>
    <t>9-12</t>
  </si>
  <si>
    <t>Summer School Payments</t>
  </si>
  <si>
    <t>Email address</t>
  </si>
  <si>
    <t xml:space="preserve">10) The support for assistance received in the prior year was not provided. </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</si>
  <si>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</si>
  <si>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</si>
  <si>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</si>
  <si>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</si>
  <si>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</si>
  <si>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</si>
  <si>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</si>
  <si>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</si>
  <si>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King's Academy, Inc.</t>
  </si>
  <si>
    <t>Schedule 6:  Waiting Lists</t>
  </si>
  <si>
    <t>24) The school received a payment for the student from the SNSP and the Choice program. The parent/guardian did not elect the Choice program.</t>
  </si>
  <si>
    <t>25) {Insert other reason as applicable. The auditor should use one of the above reasons whenever able}</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</si>
  <si>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</si>
  <si>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</si>
  <si>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</si>
  <si>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</si>
  <si>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</si>
  <si>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</si>
  <si>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</si>
  <si>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</si>
  <si>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</si>
  <si>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</si>
  <si>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</si>
  <si>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</si>
  <si>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</si>
  <si>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</si>
  <si>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</si>
  <si>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</si>
  <si>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</si>
  <si>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</si>
  <si>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K4-8 Payment Rate (50% of $7,754)</t>
  </si>
  <si>
    <t>9-12 Payment Rate (50% of $8,400)</t>
  </si>
  <si>
    <t>CHOICE PAYMENT ELIGIBILITY &amp; HEADCOUNT  - EXCLUDING SUMMER SCHOOL</t>
  </si>
  <si>
    <t>Total Sept &amp; Nov Choice Payments Issued Excluding Summer School</t>
  </si>
  <si>
    <t>Summer School Payment Issued</t>
  </si>
  <si>
    <t>Payment Amt</t>
  </si>
  <si>
    <t>Audited Payment Difference</t>
  </si>
  <si>
    <t>Summary of Results from All Programs</t>
  </si>
  <si>
    <t>Waiting List</t>
  </si>
  <si>
    <t>Schedule 3:  Applications Requiring Corrections</t>
  </si>
  <si>
    <t>Schedule 2:  Ineligible Pupils</t>
  </si>
  <si>
    <t>1) Schedule 2:  Ineligible Pupils</t>
  </si>
  <si>
    <t>3) Schedule 4: Pupil Additions</t>
  </si>
  <si>
    <t>2) Schedule 3: Applications Requiring Corrections</t>
  </si>
  <si>
    <t>Description</t>
  </si>
  <si>
    <t>Payment</t>
  </si>
  <si>
    <r>
      <t xml:space="preserve">The payment eligibility shown is subject to final determination by the DPI and may be </t>
    </r>
    <r>
      <rPr>
        <b/>
        <sz val="8"/>
        <color indexed="8"/>
        <rFont val="Arial"/>
        <family val="2"/>
      </rPr>
      <t>changed upon the DPI's review of the report.</t>
    </r>
  </si>
  <si>
    <r>
      <t xml:space="preserve">Total Payment Eligibility </t>
    </r>
    <r>
      <rPr>
        <i/>
        <sz val="8"/>
        <color indexed="8"/>
        <rFont val="Arial"/>
        <family val="2"/>
      </rPr>
      <t>Sum Lines 15 and 18</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</si>
  <si>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</si>
  <si>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</si>
  <si>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</si>
  <si>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</si>
  <si>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</si>
  <si>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</si>
  <si>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</si>
  <si>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</si>
  <si>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Schedule 7:  Summer School</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</si>
  <si>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</si>
  <si>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</si>
  <si>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</si>
  <si>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</si>
  <si>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</si>
  <si>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</si>
  <si>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</si>
  <si>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</si>
  <si>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</si>
  <si>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</si>
  <si>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</si>
  <si>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</si>
  <si>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</si>
  <si>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</si>
  <si>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</si>
  <si>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</si>
  <si>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Holyland Catholic School</t>
  </si>
  <si>
    <t>Immanuel Lutheran School - Wisconsin Rapids</t>
  </si>
  <si>
    <t>Kingdom Prep Lutheran High School</t>
  </si>
  <si>
    <t>Living Word Lutheran High School</t>
  </si>
  <si>
    <t>Luther High School - Onalaska</t>
  </si>
  <si>
    <t>Lutheran Special School &amp; Education Services</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</si>
  <si>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</si>
  <si>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</si>
  <si>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</si>
  <si>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</si>
  <si>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</si>
  <si>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</si>
  <si>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</si>
  <si>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</si>
  <si>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</si>
  <si>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</si>
  <si>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</si>
  <si>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</si>
  <si>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</si>
  <si>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</si>
  <si>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</si>
  <si>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</si>
  <si>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</si>
  <si>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</si>
  <si>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</si>
  <si>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</si>
  <si>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</si>
  <si>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</si>
  <si>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</si>
  <si>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</si>
  <si>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</si>
  <si>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Rose Saint Mary's School</t>
  </si>
  <si>
    <t>Saint Stephen Lutheran School</t>
  </si>
  <si>
    <t>Siena Catholic Schools of Racine, Inc</t>
  </si>
  <si>
    <t>Stevens Point Christian Academy</t>
  </si>
  <si>
    <t>The City School</t>
  </si>
  <si>
    <t>Trinity Academy - Pewaukee</t>
  </si>
  <si>
    <t>Trinity Evangelical Lutheran School - Brillion</t>
  </si>
  <si>
    <t>Trinity Lutheran School - Marinette</t>
  </si>
  <si>
    <t>Trinity Lutheran School - Waukesha</t>
  </si>
  <si>
    <t>Trinity St. Luke's Lutheran School</t>
  </si>
  <si>
    <t>Waupaca Christian Academy</t>
  </si>
  <si>
    <t>Wolf River Lutheran High School</t>
  </si>
  <si>
    <t>Zion Lutheran School - Wayside</t>
  </si>
  <si>
    <t>Totals</t>
  </si>
  <si>
    <t>4) Applications with auditor identified corrections that had correct information in OAS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</si>
  <si>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</si>
  <si>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</si>
  <si>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</si>
  <si>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</si>
  <si>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</si>
  <si>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</si>
  <si>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</si>
  <si>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</si>
  <si>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</si>
  <si>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</si>
  <si>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t xml:space="preserve">Audited
</t>
    </r>
    <r>
      <rPr>
        <i/>
        <sz val="8"/>
        <color indexed="8"/>
        <rFont val="Arial"/>
        <family val="2"/>
      </rPr>
      <t>Only required if grade and/or pupil name changed</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</si>
  <si>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</si>
  <si>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</si>
  <si>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Excluding Summer School </t>
    </r>
    <r>
      <rPr>
        <b/>
        <i/>
        <sz val="8"/>
        <color indexed="8"/>
        <rFont val="Arial"/>
        <family val="2"/>
      </rPr>
      <t>Ln 15 Less Ln 16</t>
    </r>
  </si>
  <si>
    <r>
      <t xml:space="preserve">Amount Due From (To) State for Summer School </t>
    </r>
    <r>
      <rPr>
        <b/>
        <i/>
        <sz val="8"/>
        <color indexed="8"/>
        <rFont val="Arial"/>
        <family val="2"/>
      </rPr>
      <t>Ln 18 Less Ln 19</t>
    </r>
  </si>
  <si>
    <r>
      <t xml:space="preserve">Total Sept, Nov &amp; Summer School Choice Payments Issued </t>
    </r>
    <r>
      <rPr>
        <i/>
        <sz val="8"/>
        <color indexed="8"/>
        <rFont val="Arial"/>
        <family val="2"/>
      </rPr>
      <t>Line 16 and Line 19</t>
    </r>
  </si>
  <si>
    <r>
      <t xml:space="preserve">Amount Due From (To) State </t>
    </r>
    <r>
      <rPr>
        <b/>
        <i/>
        <sz val="8"/>
        <color indexed="8"/>
        <rFont val="Arial"/>
        <family val="2"/>
      </rPr>
      <t>Line 21 Less Line 22</t>
    </r>
  </si>
  <si>
    <r>
      <t xml:space="preserve">Total Pupil Count and FTE </t>
    </r>
    <r>
      <rPr>
        <b/>
        <i/>
        <sz val="8"/>
        <color indexed="8"/>
        <rFont val="Arial"/>
        <family val="2"/>
      </rPr>
      <t>Sum Lines 1 -7</t>
    </r>
  </si>
  <si>
    <t>Headcount Added</t>
  </si>
  <si>
    <t>Headcount Removed</t>
  </si>
  <si>
    <t>If there are changes to the summer school days attended, include the summer school grade, application number, pupil first name, pupil last name, and program.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</si>
  <si>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</si>
  <si>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</si>
  <si>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</si>
  <si>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</si>
  <si>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</si>
  <si>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</si>
  <si>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</si>
  <si>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r>
      <t xml:space="preserve">Payment Eligibility - Excluding Summary School </t>
    </r>
    <r>
      <rPr>
        <i/>
        <sz val="8"/>
        <color indexed="8"/>
        <rFont val="Arial"/>
        <family val="2"/>
      </rPr>
      <t>Sum Lines 10 and 13</t>
    </r>
  </si>
  <si>
    <t>If any pupils on the waiting list are determined ineligible on Schedule 2, have a grade change on Schedule 3, or should be added to the waiting list on Schedule 4, then the pupil must be identified as being on the waiting list as required on that schedule.  The "Per Examination" count is the "Per DPI" count minus "Ineligible Pupils" plus "Pupil Grade Changes" plus "Pupil Additions" from Schedule 4. Final determination regarding the eligibility of such pupils is made by the DPI.</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</si>
  <si>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</si>
  <si>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</si>
  <si>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</si>
  <si>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</si>
  <si>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5) K4 parental outreach result</t>
  </si>
  <si>
    <t>TOTAL HEADCOUNT AND FTE</t>
  </si>
  <si>
    <t>Total Payment Eligibility Sum Lines 10 and 13</t>
  </si>
  <si>
    <t>Total Expected February and May Payments</t>
  </si>
  <si>
    <t>Tentative Adjustment Due From (To) State</t>
  </si>
  <si>
    <t>Auditor/Department Eligibility Determination for Pupil Additions: 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</si>
  <si>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</si>
  <si>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</si>
  <si>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</si>
  <si>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</si>
  <si>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</si>
  <si>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</si>
  <si>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</si>
  <si>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</si>
  <si>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John Paul II School</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</si>
  <si>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</si>
  <si>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</si>
  <si>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</si>
  <si>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</si>
  <si>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</si>
  <si>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</si>
  <si>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</si>
  <si>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</si>
  <si>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 xml:space="preserve">Auditor/Department Eligibility Determination for Applications Requiring Corrections: 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Resize the "Required DPI Application Information Correction(s)" cell so all changes are visible.  If a waiting list pupil is included on this schedule, a "W" should be entered in the "Wait" column.  
There are three different versions of this document.  See the Excel Instructions sheet for additional information.
</t>
  </si>
  <si>
    <r>
      <t xml:space="preserve">As a result of your review, does the school have any pupils that require corrections who were already counted or on the waiting list? </t>
    </r>
    <r>
      <rPr>
        <i/>
        <sz val="8"/>
        <rFont val="Arial"/>
        <family val="2"/>
      </rPr>
      <t>If yes, complete the schedule below.</t>
    </r>
  </si>
  <si>
    <r>
      <rPr>
        <b/>
        <sz val="8"/>
        <color indexed="8"/>
        <rFont val="Arial"/>
        <family val="2"/>
      </rPr>
      <t>INSTRUCTIONS:</t>
    </r>
    <r>
      <rPr>
        <sz val="8"/>
        <color indexed="8"/>
        <rFont val="Arial"/>
        <family val="2"/>
      </rPr>
      <t xml:space="preserve">  Complete and return the report by </t>
    </r>
    <r>
      <rPr>
        <b/>
        <sz val="8"/>
        <color indexed="8"/>
        <rFont val="Arial"/>
        <family val="2"/>
      </rPr>
      <t xml:space="preserve">DECEMBER 15, 2019. </t>
    </r>
    <r>
      <rPr>
        <sz val="8"/>
        <color indexed="8"/>
        <rFont val="Arial"/>
        <family val="2"/>
      </rPr>
      <t xml:space="preserve"> Faxed forms are not accepted. 
Refer to detailed instructions on the Excel Instructions sheet.</t>
    </r>
  </si>
  <si>
    <t>Annual K-8</t>
  </si>
  <si>
    <t>Annual 9-12</t>
  </si>
  <si>
    <r>
      <t xml:space="preserve">Amount Due From (To) State </t>
    </r>
    <r>
      <rPr>
        <b/>
        <i/>
        <sz val="8"/>
        <color indexed="8"/>
        <rFont val="Arial"/>
        <family val="2"/>
      </rPr>
      <t>Lines 17 and 20</t>
    </r>
  </si>
  <si>
    <t>1. Schedule 1: The All Pupil count is greater than the Choice pupil count for one or more FTE categories.</t>
  </si>
  <si>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</si>
  <si>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</si>
  <si>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</si>
  <si>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</si>
  <si>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7. Sample Information: Required sample has not been completed.</t>
  </si>
  <si>
    <t>8. Schedule 7: Summer school program requirements question has not been answered.</t>
  </si>
  <si>
    <t>9. Schedule 7: Summer school pupil changes question has not been answered.</t>
  </si>
  <si>
    <t>10. Schedule 7: Summer School information is not complete.</t>
  </si>
  <si>
    <t>3. Schedule 1: K4 parental outreach question has not been answered.</t>
  </si>
  <si>
    <t>Abundant Life Christian School</t>
  </si>
  <si>
    <t>All Saints Grade School</t>
  </si>
  <si>
    <t>Aquinas Academy - Menomonee Falls</t>
  </si>
  <si>
    <t>Bader Hillel High, Inc.</t>
  </si>
  <si>
    <t>Bethany Lutheran School</t>
  </si>
  <si>
    <t>Chesterton Academy of Milwaukee, Inc.</t>
  </si>
  <si>
    <t>Christ Child Academy</t>
  </si>
  <si>
    <t>Coulee Christian School</t>
  </si>
  <si>
    <t>Crown of Life Christian Academy</t>
  </si>
  <si>
    <t>Faith Lutheran School - Fond du Lac</t>
  </si>
  <si>
    <t>First German Evangelical Lutheran Grade School</t>
  </si>
  <si>
    <t>Grace Lutheran School - Oshkosh</t>
  </si>
  <si>
    <t>High Point Christian School</t>
  </si>
  <si>
    <t>Holy Trinity School</t>
  </si>
  <si>
    <t>Lamb of God Ev Lutheran School</t>
  </si>
  <si>
    <t>Maranatha Baptist Academy</t>
  </si>
  <si>
    <t>Martin Luther Evangelical Lutheran Grade School - Neenah</t>
  </si>
  <si>
    <t>Mount Olive Evangelical Lutheran School - Appleton</t>
  </si>
  <si>
    <t>Our Lady of The Lake Catholic School</t>
  </si>
  <si>
    <t>Renaissance Lutheran School</t>
  </si>
  <si>
    <t>Riverview Lutheran School</t>
  </si>
  <si>
    <t>Saint Anthony de Padua Catholic School</t>
  </si>
  <si>
    <t>Saint Charles Borromeo Catholic School - Milwaukee</t>
  </si>
  <si>
    <t>Saint Clare Catholic School</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</si>
  <si>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</si>
  <si>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</si>
  <si>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</si>
  <si>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</si>
  <si>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</si>
  <si>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</si>
  <si>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Beloit</t>
  </si>
  <si>
    <t>Saint John's Lutheran School - Newburg</t>
  </si>
  <si>
    <t>Saint Mary Catholic School - Hilbert</t>
  </si>
  <si>
    <t>Saint Mary of the Immaculate Conception</t>
  </si>
  <si>
    <t>Saint Paul's Evangelical Lutheran School - Onalaska</t>
  </si>
  <si>
    <t>Saint Paul's Lutheran School - East Troy</t>
  </si>
  <si>
    <t>Saint Paul's Lutheran School - Menomonie</t>
  </si>
  <si>
    <t>Saint Peter's Lutheran School - Helenville</t>
  </si>
  <si>
    <t>Saint Peter's School - East Troy</t>
  </si>
  <si>
    <t>Westside Christian School</t>
  </si>
  <si>
    <t>Zion Lutheran School - Hartland</t>
  </si>
  <si>
    <t>Sept_K4</t>
  </si>
  <si>
    <t>Sept_K4_PLUS</t>
  </si>
  <si>
    <t>Sept_KG_HALF_TIME</t>
  </si>
  <si>
    <t>Sept_KG_3_DAYS</t>
  </si>
  <si>
    <t>Sept_KG_4_DAYS</t>
  </si>
  <si>
    <t>Sept_KG_5_DAYS</t>
  </si>
  <si>
    <t>Sept_GRADES_1_8</t>
  </si>
  <si>
    <t>Sept_GRADES_9_12</t>
  </si>
  <si>
    <t>Sept_ALL_STUDENTS</t>
  </si>
  <si>
    <t>Sept_CHOICE_STUDENTS</t>
  </si>
  <si>
    <t>Est Sept &amp; Nov Payment</t>
  </si>
  <si>
    <t>Prior Year Used for Summer School</t>
  </si>
  <si>
    <t>2019-20 - Current Year</t>
  </si>
  <si>
    <t>2018-19 - Prior Year</t>
  </si>
  <si>
    <t xml:space="preserve">The number of family applications that were counted for September 20, 2019,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</si>
  <si>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6) Schedule 7: Summer school result</t>
  </si>
  <si>
    <t>Bethlehem Lutheran School - Sheboygan</t>
  </si>
  <si>
    <t>Holy Family School - Brillion</t>
  </si>
  <si>
    <t>Check figures:</t>
  </si>
  <si>
    <r>
      <t xml:space="preserve">Wisconsin Department of Public Instruction
</t>
    </r>
    <r>
      <rPr>
        <b/>
        <sz val="8"/>
        <color indexed="8"/>
        <rFont val="Arial"/>
        <family val="2"/>
      </rPr>
      <t>PRIVATE SCHOOL CHOICE PROGRAMS
ENROLLMENT AUDIT FOR SEPTEMBER AND NOVEMBER 2019
PAYMENT ELIGIBILITY AS OF SEPTEMBER 20, 2019</t>
    </r>
    <r>
      <rPr>
        <sz val="8"/>
        <color indexed="8"/>
        <rFont val="Arial"/>
        <family val="2"/>
      </rPr>
      <t xml:space="preserve">
PI-PCP-103 (35-25 Lines) (Rev 10-19)</t>
    </r>
  </si>
  <si>
    <t>September 20, 2019 Choice Enrollment Audit</t>
  </si>
  <si>
    <r>
      <t xml:space="preserve">Payment Eligibility - Excluding Summer School </t>
    </r>
    <r>
      <rPr>
        <i/>
        <sz val="8"/>
        <color indexed="8"/>
        <rFont val="Arial"/>
        <family val="2"/>
      </rPr>
      <t>Sum Lines 10 and 13</t>
    </r>
  </si>
  <si>
    <t xml:space="preserve">16) A complete and signed lease agreement, utility bill or letter, government correspondence, letter from a public service agency for a homeless individual, current wage statement, W2 form, or Safe at Home card was not provided.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</si>
</sst>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s>
  <fonts count="85">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name val="MS Shell Dlg"/>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i/>
      <sz val="11"/>
      <color indexed="8"/>
      <name val="Calibri"/>
      <family val="2"/>
    </font>
    <font>
      <u val="single"/>
      <sz val="10"/>
      <color indexed="12"/>
      <name val="Times New Roman"/>
      <family val="1"/>
    </font>
    <font>
      <sz val="8"/>
      <name val="Segoe UI"/>
      <family val="2"/>
    </font>
    <font>
      <b/>
      <u val="single"/>
      <sz val="10"/>
      <color indexed="8"/>
      <name val="Arial"/>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u val="single"/>
      <sz val="8"/>
      <color theme="1"/>
      <name val="Arial"/>
      <family val="2"/>
    </font>
    <font>
      <b/>
      <sz val="8"/>
      <color rgb="FF002060"/>
      <name val="Arial"/>
      <family val="2"/>
    </font>
    <font>
      <b/>
      <sz val="8"/>
      <color rgb="FF00B0F0"/>
      <name val="Arial"/>
      <family val="2"/>
    </font>
    <font>
      <u val="single"/>
      <sz val="8"/>
      <color theme="1"/>
      <name val="Arial"/>
      <family val="2"/>
    </font>
    <font>
      <i/>
      <sz val="11"/>
      <color theme="1"/>
      <name val="Calibri"/>
      <family val="2"/>
    </font>
    <font>
      <u val="single"/>
      <sz val="10"/>
      <color theme="10"/>
      <name val="Times New Roman"/>
      <family val="1"/>
    </font>
    <font>
      <b/>
      <sz val="10"/>
      <color theme="1"/>
      <name val="Arial"/>
      <family val="2"/>
    </font>
    <font>
      <b/>
      <sz val="9"/>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0499799996614456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thin"/>
      <right style="thin"/>
      <top style="thin"/>
      <bottom/>
    </border>
    <border>
      <left style="medium"/>
      <right style="thin"/>
      <top style="thin"/>
      <bottom style="thin"/>
    </border>
    <border>
      <left style="thin"/>
      <right style="medium"/>
      <top style="thin"/>
      <bottom style="thin"/>
    </border>
    <border>
      <left style="thin"/>
      <right/>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color rgb="FF000000"/>
      </left>
      <right style="thin">
        <color rgb="FF000000"/>
      </right>
      <top style="thin">
        <color rgb="FF000000"/>
      </top>
      <bottom style="thin">
        <color rgb="FF000000"/>
      </bottom>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style="thin"/>
      <right/>
      <top style="medium"/>
      <bottom style="double"/>
    </border>
    <border>
      <left style="thin">
        <color rgb="FF000000"/>
      </left>
      <right>
        <color indexed="63"/>
      </right>
      <top>
        <color indexed="63"/>
      </top>
      <bottom>
        <color indexed="63"/>
      </bottom>
    </border>
    <border>
      <left>
        <color indexed="63"/>
      </left>
      <right style="medium"/>
      <top>
        <color indexed="63"/>
      </top>
      <bottom>
        <color indexed="63"/>
      </bottom>
    </border>
    <border>
      <left style="thin">
        <color rgb="FF000000"/>
      </left>
      <right style="thin">
        <color rgb="FF000000"/>
      </right>
      <top>
        <color indexed="63"/>
      </top>
      <bottom style="thin">
        <color rgb="FF000000"/>
      </bottom>
    </border>
    <border>
      <left/>
      <right>
        <color indexed="63"/>
      </right>
      <top style="thin"/>
      <bottom style="double"/>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style="thin">
        <color rgb="FF000000"/>
      </left>
      <right style="thin">
        <color rgb="FF000000"/>
      </right>
      <top>
        <color indexed="63"/>
      </top>
      <bottom>
        <color indexed="63"/>
      </bottom>
    </border>
    <border>
      <left>
        <color indexed="63"/>
      </left>
      <right>
        <color indexed="63"/>
      </right>
      <top style="double"/>
      <bottom style="double"/>
    </border>
    <border>
      <left style="thin"/>
      <right style="thin"/>
      <top style="medium"/>
      <bottom style="double"/>
    </border>
    <border>
      <left/>
      <right style="thin"/>
      <top style="double"/>
      <bottom/>
    </border>
    <border>
      <left/>
      <right style="thin"/>
      <top style="double"/>
      <bottom style="thin"/>
    </border>
    <border>
      <left/>
      <right/>
      <top style="thin"/>
      <bottom/>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medium"/>
      <bottom style="double"/>
    </border>
    <border>
      <left style="medium"/>
      <right/>
      <top style="medium"/>
      <bottom style="double"/>
    </border>
    <border>
      <left style="thin"/>
      <right/>
      <top style="double"/>
      <bottom style="thin"/>
    </border>
    <border>
      <left style="thin"/>
      <right style="medium"/>
      <top style="thin"/>
      <bottom style="medium"/>
    </border>
    <border>
      <left>
        <color indexed="63"/>
      </left>
      <right>
        <color indexed="63"/>
      </right>
      <top style="medium"/>
      <bottom style="medium"/>
    </border>
    <border>
      <left style="medium"/>
      <right style="thin"/>
      <top>
        <color indexed="63"/>
      </top>
      <bottom style="double"/>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thin"/>
      <right style="thin"/>
      <top style="double"/>
      <bottom style="thin"/>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right style="medium"/>
      <top style="thin"/>
      <bottom style="thin"/>
    </border>
    <border>
      <left/>
      <right style="medium"/>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Border="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5" fillId="0" borderId="0" applyNumberForma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cellStyleXfs>
  <cellXfs count="560">
    <xf numFmtId="0" fontId="0" fillId="0" borderId="0" xfId="0" applyFont="1" applyAlignment="1">
      <alignment/>
    </xf>
    <xf numFmtId="0" fontId="68" fillId="0" borderId="0" xfId="0" applyFont="1" applyAlignment="1">
      <alignment horizontal="left" readingOrder="1"/>
    </xf>
    <xf numFmtId="0" fontId="69" fillId="0" borderId="0" xfId="0" applyFont="1" applyAlignment="1">
      <alignment horizontal="left" readingOrder="1"/>
    </xf>
    <xf numFmtId="0" fontId="70" fillId="0" borderId="0" xfId="0" applyFont="1" applyAlignment="1" applyProtection="1">
      <alignment/>
      <protection/>
    </xf>
    <xf numFmtId="0" fontId="71" fillId="0" borderId="0" xfId="0" applyFont="1" applyAlignment="1" applyProtection="1">
      <alignment/>
      <protection/>
    </xf>
    <xf numFmtId="0" fontId="71" fillId="0" borderId="0" xfId="0" applyFont="1" applyAlignment="1" applyProtection="1">
      <alignment horizontal="right"/>
      <protection/>
    </xf>
    <xf numFmtId="0" fontId="72" fillId="0" borderId="0" xfId="0" applyFont="1" applyAlignment="1" applyProtection="1">
      <alignment/>
      <protection/>
    </xf>
    <xf numFmtId="0" fontId="71" fillId="0" borderId="0" xfId="0" applyFont="1" applyFill="1" applyBorder="1" applyAlignment="1" applyProtection="1">
      <alignment/>
      <protection/>
    </xf>
    <xf numFmtId="0" fontId="71" fillId="0" borderId="0" xfId="0" applyFont="1" applyAlignment="1" applyProtection="1">
      <alignment horizontal="left" vertical="center" wrapText="1"/>
      <protection/>
    </xf>
    <xf numFmtId="0" fontId="71" fillId="0" borderId="0" xfId="0" applyFont="1" applyAlignment="1" applyProtection="1">
      <alignment/>
      <protection/>
    </xf>
    <xf numFmtId="0" fontId="70" fillId="0" borderId="0" xfId="0" applyFont="1" applyFill="1" applyAlignment="1" applyProtection="1">
      <alignment horizontal="justify"/>
      <protection/>
    </xf>
    <xf numFmtId="0" fontId="73" fillId="0" borderId="11" xfId="0" applyFont="1" applyBorder="1" applyAlignment="1" applyProtection="1">
      <alignment horizontal="center"/>
      <protection/>
    </xf>
    <xf numFmtId="0" fontId="73" fillId="0" borderId="12" xfId="0" applyFont="1" applyBorder="1" applyAlignment="1" applyProtection="1">
      <alignment horizontal="center"/>
      <protection/>
    </xf>
    <xf numFmtId="0" fontId="73" fillId="0" borderId="13" xfId="0" applyFont="1" applyBorder="1" applyAlignment="1" applyProtection="1">
      <alignment horizontal="center"/>
      <protection/>
    </xf>
    <xf numFmtId="0" fontId="71" fillId="0" borderId="0" xfId="0" applyFont="1" applyAlignment="1" applyProtection="1">
      <alignment wrapText="1"/>
      <protection/>
    </xf>
    <xf numFmtId="0" fontId="70" fillId="0" borderId="0" xfId="0" applyFont="1" applyAlignment="1">
      <alignment/>
    </xf>
    <xf numFmtId="0" fontId="71"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71" fillId="0" borderId="0" xfId="59" applyFont="1" applyProtection="1">
      <alignment/>
      <protection/>
    </xf>
    <xf numFmtId="0" fontId="70" fillId="0" borderId="0" xfId="59" applyFont="1" applyProtection="1">
      <alignment/>
      <protection/>
    </xf>
    <xf numFmtId="0" fontId="6" fillId="0" borderId="15" xfId="0" applyFont="1" applyBorder="1" applyAlignment="1" applyProtection="1">
      <alignment vertical="center"/>
      <protection/>
    </xf>
    <xf numFmtId="0" fontId="71" fillId="0" borderId="0" xfId="0" applyFont="1" applyAlignment="1" applyProtection="1">
      <alignment vertical="center"/>
      <protection/>
    </xf>
    <xf numFmtId="0" fontId="71" fillId="33" borderId="14" xfId="0" applyFont="1" applyFill="1" applyBorder="1" applyAlignment="1" applyProtection="1">
      <alignment horizontal="center" vertical="center"/>
      <protection/>
    </xf>
    <xf numFmtId="0" fontId="71" fillId="0" borderId="16" xfId="0" applyFont="1" applyBorder="1" applyAlignment="1" applyProtection="1">
      <alignment horizontal="center" vertical="center"/>
      <protection/>
    </xf>
    <xf numFmtId="0" fontId="71" fillId="0" borderId="17" xfId="0" applyFont="1" applyBorder="1" applyAlignment="1" applyProtection="1">
      <alignment horizontal="center" vertical="center"/>
      <protection/>
    </xf>
    <xf numFmtId="0" fontId="71" fillId="0" borderId="18" xfId="0" applyFont="1" applyBorder="1" applyAlignment="1" applyProtection="1">
      <alignment horizontal="center" vertical="center"/>
      <protection/>
    </xf>
    <xf numFmtId="0" fontId="74" fillId="32" borderId="16" xfId="0" applyFont="1" applyFill="1" applyBorder="1" applyAlignment="1" applyProtection="1">
      <alignment horizontal="center" vertical="center" wrapText="1"/>
      <protection locked="0"/>
    </xf>
    <xf numFmtId="0" fontId="74" fillId="32" borderId="19" xfId="0" applyFont="1" applyFill="1" applyBorder="1" applyAlignment="1" applyProtection="1">
      <alignment horizontal="center" vertical="center" wrapText="1"/>
      <protection locked="0"/>
    </xf>
    <xf numFmtId="0" fontId="74" fillId="32" borderId="19" xfId="0" applyFont="1" applyFill="1" applyBorder="1" applyAlignment="1" applyProtection="1">
      <alignment vertical="center" wrapText="1"/>
      <protection locked="0"/>
    </xf>
    <xf numFmtId="0" fontId="74" fillId="34" borderId="19" xfId="0" applyFont="1" applyFill="1" applyBorder="1" applyAlignment="1" applyProtection="1">
      <alignment vertical="center" wrapText="1"/>
      <protection/>
    </xf>
    <xf numFmtId="0" fontId="74" fillId="0" borderId="0" xfId="0" applyFont="1" applyAlignment="1" applyProtection="1">
      <alignment vertical="center"/>
      <protection/>
    </xf>
    <xf numFmtId="44" fontId="73" fillId="0" borderId="0" xfId="46" applyFont="1" applyFill="1" applyBorder="1" applyAlignment="1" applyProtection="1">
      <alignment vertical="center"/>
      <protection/>
    </xf>
    <xf numFmtId="0" fontId="70" fillId="0" borderId="0" xfId="0" applyFont="1" applyFill="1" applyAlignment="1" applyProtection="1">
      <alignment horizontal="justify" vertical="top"/>
      <protection/>
    </xf>
    <xf numFmtId="0" fontId="75" fillId="0" borderId="0" xfId="0" applyFont="1" applyAlignment="1" applyProtection="1">
      <alignment horizontal="center"/>
      <protection/>
    </xf>
    <xf numFmtId="0" fontId="70" fillId="0" borderId="0" xfId="0" applyFont="1" applyAlignment="1" applyProtection="1">
      <alignment/>
      <protection/>
    </xf>
    <xf numFmtId="0" fontId="70" fillId="0" borderId="0" xfId="0" applyFont="1" applyAlignment="1" applyProtection="1">
      <alignment vertical="center"/>
      <protection/>
    </xf>
    <xf numFmtId="0" fontId="71" fillId="34" borderId="0" xfId="0" applyFont="1" applyFill="1" applyAlignment="1" applyProtection="1">
      <alignment/>
      <protection/>
    </xf>
    <xf numFmtId="0" fontId="71" fillId="0" borderId="20" xfId="0" applyFont="1" applyBorder="1" applyAlignment="1" applyProtection="1">
      <alignment horizontal="left" vertical="center"/>
      <protection/>
    </xf>
    <xf numFmtId="0" fontId="73" fillId="0" borderId="0" xfId="0" applyFont="1" applyAlignment="1" applyProtection="1">
      <alignment/>
      <protection/>
    </xf>
    <xf numFmtId="0" fontId="71" fillId="0" borderId="20" xfId="0" applyFont="1" applyBorder="1" applyAlignment="1" applyProtection="1">
      <alignment/>
      <protection/>
    </xf>
    <xf numFmtId="0" fontId="71" fillId="35" borderId="9" xfId="0" applyFont="1" applyFill="1" applyBorder="1" applyAlignment="1" applyProtection="1">
      <alignment vertical="center"/>
      <protection locked="0"/>
    </xf>
    <xf numFmtId="0" fontId="71" fillId="0" borderId="0" xfId="0" applyFont="1" applyBorder="1" applyAlignment="1" applyProtection="1">
      <alignment/>
      <protection/>
    </xf>
    <xf numFmtId="0" fontId="71" fillId="0" borderId="21" xfId="0" applyFont="1" applyBorder="1" applyAlignment="1" applyProtection="1">
      <alignment horizontal="center" vertical="center"/>
      <protection/>
    </xf>
    <xf numFmtId="0" fontId="71" fillId="0" borderId="22" xfId="0" applyFont="1" applyBorder="1" applyAlignment="1" applyProtection="1">
      <alignment horizontal="center" vertical="center"/>
      <protection/>
    </xf>
    <xf numFmtId="0" fontId="71" fillId="0" borderId="23" xfId="0" applyFont="1" applyBorder="1" applyAlignment="1" applyProtection="1">
      <alignment horizontal="center" vertical="center"/>
      <protection/>
    </xf>
    <xf numFmtId="0" fontId="71" fillId="0" borderId="0" xfId="0" applyFont="1" applyBorder="1" applyAlignment="1" applyProtection="1">
      <alignment vertical="center"/>
      <protection/>
    </xf>
    <xf numFmtId="37" fontId="73" fillId="36" borderId="24" xfId="42" applyNumberFormat="1" applyFont="1" applyFill="1" applyBorder="1" applyAlignment="1" applyProtection="1">
      <alignment vertical="center"/>
      <protection/>
    </xf>
    <xf numFmtId="173" fontId="71" fillId="0" borderId="25" xfId="0" applyNumberFormat="1" applyFont="1" applyBorder="1" applyAlignment="1" applyProtection="1">
      <alignment vertical="center"/>
      <protection/>
    </xf>
    <xf numFmtId="173" fontId="71" fillId="0" borderId="9" xfId="0" applyNumberFormat="1" applyFont="1" applyBorder="1" applyAlignment="1" applyProtection="1">
      <alignment vertical="center"/>
      <protection/>
    </xf>
    <xf numFmtId="3" fontId="74" fillId="32" borderId="19" xfId="0" applyNumberFormat="1" applyFont="1" applyFill="1" applyBorder="1" applyAlignment="1" applyProtection="1">
      <alignment vertical="center"/>
      <protection locked="0"/>
    </xf>
    <xf numFmtId="3" fontId="74" fillId="32" borderId="26" xfId="0" applyNumberFormat="1" applyFont="1" applyFill="1" applyBorder="1" applyAlignment="1" applyProtection="1">
      <alignment vertical="center"/>
      <protection locked="0"/>
    </xf>
    <xf numFmtId="0" fontId="74" fillId="32" borderId="19" xfId="0" applyFont="1" applyFill="1" applyBorder="1" applyAlignment="1" applyProtection="1">
      <alignment horizontal="center" vertical="center"/>
      <protection locked="0"/>
    </xf>
    <xf numFmtId="0" fontId="74" fillId="32" borderId="27" xfId="0" applyFont="1" applyFill="1" applyBorder="1" applyAlignment="1" applyProtection="1">
      <alignment horizontal="center" vertical="center"/>
      <protection locked="0"/>
    </xf>
    <xf numFmtId="0" fontId="74" fillId="32" borderId="28" xfId="0" applyFont="1" applyFill="1" applyBorder="1" applyAlignment="1" applyProtection="1">
      <alignment horizontal="center" vertical="center"/>
      <protection locked="0"/>
    </xf>
    <xf numFmtId="0" fontId="71" fillId="35" borderId="29" xfId="0" applyFont="1" applyFill="1" applyBorder="1" applyAlignment="1" applyProtection="1">
      <alignment vertical="center"/>
      <protection locked="0"/>
    </xf>
    <xf numFmtId="0" fontId="73" fillId="0" borderId="30" xfId="0" applyFont="1" applyFill="1" applyBorder="1" applyAlignment="1" applyProtection="1">
      <alignment horizontal="center"/>
      <protection/>
    </xf>
    <xf numFmtId="0" fontId="73" fillId="0" borderId="0" xfId="0" applyFont="1" applyAlignment="1" applyProtection="1" quotePrefix="1">
      <alignment horizontal="center"/>
      <protection/>
    </xf>
    <xf numFmtId="0" fontId="73" fillId="0" borderId="0" xfId="0" applyFont="1" applyAlignment="1" applyProtection="1">
      <alignment horizontal="center"/>
      <protection/>
    </xf>
    <xf numFmtId="0" fontId="74"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3" fillId="34" borderId="0" xfId="61" applyFont="1" applyFill="1" applyBorder="1" applyAlignment="1">
      <alignment vertical="center"/>
      <protection/>
    </xf>
    <xf numFmtId="0" fontId="13"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71" fillId="0" borderId="31" xfId="0" applyFont="1" applyBorder="1" applyAlignment="1" applyProtection="1">
      <alignment vertical="center"/>
      <protection/>
    </xf>
    <xf numFmtId="0" fontId="71" fillId="0" borderId="17" xfId="0" applyFont="1" applyBorder="1" applyAlignment="1" applyProtection="1">
      <alignment vertical="center"/>
      <protection/>
    </xf>
    <xf numFmtId="0" fontId="71" fillId="0" borderId="32" xfId="0" applyFont="1" applyBorder="1" applyAlignment="1" applyProtection="1">
      <alignment horizontal="center" vertical="center"/>
      <protection/>
    </xf>
    <xf numFmtId="0" fontId="73" fillId="37" borderId="14" xfId="0" applyFont="1" applyFill="1" applyBorder="1" applyAlignment="1" applyProtection="1">
      <alignment horizontal="center"/>
      <protection/>
    </xf>
    <xf numFmtId="0" fontId="71" fillId="0" borderId="0" xfId="0" applyFont="1" applyFill="1" applyAlignment="1" applyProtection="1">
      <alignment/>
      <protection/>
    </xf>
    <xf numFmtId="0" fontId="71" fillId="0" borderId="33" xfId="0" applyFont="1" applyBorder="1" applyAlignment="1" applyProtection="1">
      <alignment horizontal="center" vertical="center"/>
      <protection/>
    </xf>
    <xf numFmtId="0" fontId="73" fillId="0" borderId="0" xfId="0" applyFont="1" applyBorder="1" applyAlignment="1" applyProtection="1">
      <alignment vertical="center"/>
      <protection/>
    </xf>
    <xf numFmtId="0" fontId="73" fillId="0" borderId="0" xfId="0" applyFont="1" applyAlignment="1" applyProtection="1">
      <alignment vertical="center"/>
      <protection/>
    </xf>
    <xf numFmtId="44" fontId="73" fillId="0" borderId="24" xfId="0" applyNumberFormat="1" applyFont="1" applyBorder="1" applyAlignment="1" applyProtection="1">
      <alignment vertical="center"/>
      <protection/>
    </xf>
    <xf numFmtId="44" fontId="73" fillId="0" borderId="34" xfId="0" applyNumberFormat="1" applyFont="1" applyBorder="1" applyAlignment="1" applyProtection="1">
      <alignment vertical="center"/>
      <protection/>
    </xf>
    <xf numFmtId="173" fontId="73" fillId="0" borderId="34" xfId="0" applyNumberFormat="1" applyFont="1" applyBorder="1" applyAlignment="1" applyProtection="1">
      <alignment vertical="center"/>
      <protection/>
    </xf>
    <xf numFmtId="0" fontId="71" fillId="37" borderId="14" xfId="0" applyFont="1" applyFill="1" applyBorder="1" applyAlignment="1" applyProtection="1">
      <alignment horizontal="center"/>
      <protection/>
    </xf>
    <xf numFmtId="0" fontId="71" fillId="37" borderId="35" xfId="0" applyFont="1" applyFill="1" applyBorder="1" applyAlignment="1" applyProtection="1">
      <alignment horizontal="center"/>
      <protection/>
    </xf>
    <xf numFmtId="44" fontId="71" fillId="0" borderId="9" xfId="46" applyFont="1" applyFill="1" applyBorder="1" applyAlignment="1" applyProtection="1">
      <alignment vertical="center"/>
      <protection/>
    </xf>
    <xf numFmtId="44" fontId="71" fillId="0" borderId="29"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71" fillId="34" borderId="25" xfId="0" applyFont="1" applyFill="1" applyBorder="1" applyAlignment="1" applyProtection="1">
      <alignment vertical="center"/>
      <protection/>
    </xf>
    <xf numFmtId="43" fontId="71" fillId="0" borderId="9" xfId="42" applyFont="1" applyBorder="1" applyAlignment="1" applyProtection="1">
      <alignment vertical="center"/>
      <protection/>
    </xf>
    <xf numFmtId="43" fontId="71" fillId="0" borderId="29" xfId="42" applyFont="1" applyBorder="1" applyAlignment="1" applyProtection="1">
      <alignment vertical="center"/>
      <protection/>
    </xf>
    <xf numFmtId="44" fontId="71" fillId="0" borderId="34" xfId="46" applyFont="1" applyBorder="1" applyAlignment="1" applyProtection="1">
      <alignment vertical="center"/>
      <protection/>
    </xf>
    <xf numFmtId="43" fontId="74" fillId="32" borderId="19" xfId="46" applyNumberFormat="1" applyFont="1" applyFill="1" applyBorder="1" applyAlignment="1" applyProtection="1">
      <alignment vertical="center"/>
      <protection locked="0"/>
    </xf>
    <xf numFmtId="44" fontId="73" fillId="0" borderId="36" xfId="46" applyFont="1" applyBorder="1" applyAlignment="1" applyProtection="1">
      <alignment vertical="center"/>
      <protection/>
    </xf>
    <xf numFmtId="0" fontId="73" fillId="0" borderId="36" xfId="0" applyFont="1" applyBorder="1" applyAlignment="1" applyProtection="1">
      <alignment horizontal="center"/>
      <protection/>
    </xf>
    <xf numFmtId="0" fontId="73" fillId="0" borderId="33" xfId="0" applyFont="1" applyBorder="1" applyAlignment="1" applyProtection="1">
      <alignment horizontal="center"/>
      <protection/>
    </xf>
    <xf numFmtId="0" fontId="73" fillId="0" borderId="14" xfId="0" applyFont="1" applyBorder="1" applyAlignment="1" applyProtection="1">
      <alignment horizontal="center" vertical="center"/>
      <protection/>
    </xf>
    <xf numFmtId="0" fontId="71" fillId="0" borderId="9" xfId="0" applyFont="1" applyFill="1" applyBorder="1" applyAlignment="1" applyProtection="1">
      <alignment vertical="center"/>
      <protection/>
    </xf>
    <xf numFmtId="0" fontId="0" fillId="0" borderId="0" xfId="0" applyFill="1" applyAlignment="1">
      <alignment/>
    </xf>
    <xf numFmtId="0" fontId="66" fillId="0" borderId="37" xfId="0" applyFont="1" applyFill="1" applyBorder="1" applyAlignment="1">
      <alignment horizontal="center" vertical="center" wrapText="1"/>
    </xf>
    <xf numFmtId="0" fontId="73" fillId="0" borderId="14" xfId="0" applyFont="1" applyBorder="1" applyAlignment="1" applyProtection="1">
      <alignment horizontal="center" vertical="center"/>
      <protection/>
    </xf>
    <xf numFmtId="0" fontId="71" fillId="33" borderId="35" xfId="0" applyFont="1" applyFill="1" applyBorder="1" applyAlignment="1" applyProtection="1">
      <alignment/>
      <protection/>
    </xf>
    <xf numFmtId="49" fontId="74" fillId="32" borderId="38" xfId="0" applyNumberFormat="1" applyFont="1" applyFill="1" applyBorder="1" applyAlignment="1" applyProtection="1">
      <alignment vertical="center"/>
      <protection locked="0"/>
    </xf>
    <xf numFmtId="0" fontId="73" fillId="0" borderId="12" xfId="0" applyFont="1" applyBorder="1" applyAlignment="1" applyProtection="1">
      <alignment horizontal="center" vertical="center" wrapText="1"/>
      <protection/>
    </xf>
    <xf numFmtId="0" fontId="73" fillId="0" borderId="13" xfId="0" applyFont="1" applyBorder="1" applyAlignment="1" applyProtection="1">
      <alignment horizontal="center" vertical="center" wrapText="1"/>
      <protection/>
    </xf>
    <xf numFmtId="3" fontId="71" fillId="0" borderId="27" xfId="0" applyNumberFormat="1" applyFont="1" applyBorder="1" applyAlignment="1" applyProtection="1">
      <alignment vertical="center"/>
      <protection/>
    </xf>
    <xf numFmtId="173" fontId="71" fillId="0" borderId="28" xfId="0" applyNumberFormat="1" applyFont="1" applyBorder="1" applyAlignment="1" applyProtection="1">
      <alignment vertical="center"/>
      <protection/>
    </xf>
    <xf numFmtId="173" fontId="71" fillId="0" borderId="39" xfId="0" applyNumberFormat="1" applyFont="1" applyBorder="1" applyAlignment="1" applyProtection="1">
      <alignment vertical="center"/>
      <protection/>
    </xf>
    <xf numFmtId="3" fontId="73" fillId="0" borderId="40" xfId="0" applyNumberFormat="1" applyFont="1" applyBorder="1" applyAlignment="1" applyProtection="1">
      <alignment vertical="center"/>
      <protection/>
    </xf>
    <xf numFmtId="173" fontId="73" fillId="0" borderId="41" xfId="0" applyNumberFormat="1" applyFont="1" applyBorder="1" applyAlignment="1" applyProtection="1">
      <alignment vertical="center"/>
      <protection/>
    </xf>
    <xf numFmtId="44" fontId="71" fillId="0" borderId="41" xfId="46" applyFont="1" applyBorder="1" applyAlignment="1" applyProtection="1">
      <alignment vertical="center"/>
      <protection/>
    </xf>
    <xf numFmtId="44" fontId="73" fillId="0" borderId="41" xfId="0" applyNumberFormat="1" applyFont="1" applyBorder="1" applyAlignment="1" applyProtection="1">
      <alignment vertical="center"/>
      <protection/>
    </xf>
    <xf numFmtId="3" fontId="71" fillId="0" borderId="42" xfId="0" applyNumberFormat="1" applyFont="1" applyBorder="1" applyAlignment="1" applyProtection="1">
      <alignment vertical="center"/>
      <protection/>
    </xf>
    <xf numFmtId="0" fontId="71" fillId="37" borderId="40" xfId="0" applyFont="1" applyFill="1" applyBorder="1" applyAlignment="1" applyProtection="1">
      <alignment vertical="center" wrapText="1"/>
      <protection/>
    </xf>
    <xf numFmtId="0" fontId="73" fillId="37" borderId="43" xfId="0" applyFont="1" applyFill="1" applyBorder="1" applyAlignment="1" applyProtection="1">
      <alignment vertical="center" wrapText="1"/>
      <protection/>
    </xf>
    <xf numFmtId="44" fontId="71" fillId="0" borderId="44" xfId="46" applyFont="1" applyFill="1" applyBorder="1" applyAlignment="1" applyProtection="1">
      <alignment vertical="center"/>
      <protection/>
    </xf>
    <xf numFmtId="0" fontId="0" fillId="0" borderId="0" xfId="0" applyAlignment="1" applyProtection="1">
      <alignment/>
      <protection/>
    </xf>
    <xf numFmtId="41" fontId="71" fillId="35" borderId="9" xfId="46" applyNumberFormat="1" applyFont="1" applyFill="1" applyBorder="1" applyAlignment="1" applyProtection="1">
      <alignment vertical="center"/>
      <protection/>
    </xf>
    <xf numFmtId="41" fontId="71" fillId="35" borderId="29" xfId="46" applyNumberFormat="1" applyFont="1" applyFill="1" applyBorder="1" applyAlignment="1" applyProtection="1">
      <alignment vertical="center"/>
      <protection/>
    </xf>
    <xf numFmtId="44" fontId="71" fillId="35" borderId="45" xfId="46" applyFont="1" applyFill="1" applyBorder="1" applyAlignment="1" applyProtection="1">
      <alignment vertical="center"/>
      <protection/>
    </xf>
    <xf numFmtId="44" fontId="71" fillId="35" borderId="46" xfId="46" applyFont="1" applyFill="1" applyBorder="1" applyAlignment="1" applyProtection="1">
      <alignment vertical="center"/>
      <protection/>
    </xf>
    <xf numFmtId="0" fontId="73" fillId="0" borderId="47"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71" fillId="0" borderId="0" xfId="0" applyFont="1" applyAlignment="1" applyProtection="1">
      <alignment horizontal="center"/>
      <protection/>
    </xf>
    <xf numFmtId="0" fontId="5" fillId="33" borderId="35" xfId="0" applyFont="1" applyFill="1" applyBorder="1" applyAlignment="1" applyProtection="1">
      <alignment horizontal="center"/>
      <protection/>
    </xf>
    <xf numFmtId="0" fontId="5" fillId="34" borderId="35"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71" fillId="0" borderId="46" xfId="0" applyFont="1" applyBorder="1" applyAlignment="1" applyProtection="1">
      <alignment horizontal="center" vertical="center"/>
      <protection/>
    </xf>
    <xf numFmtId="0" fontId="71" fillId="0" borderId="48" xfId="0" applyFont="1" applyBorder="1" applyAlignment="1" applyProtection="1">
      <alignment horizontal="center" vertical="center"/>
      <protection/>
    </xf>
    <xf numFmtId="44" fontId="73" fillId="0" borderId="49" xfId="46" applyFont="1" applyFill="1" applyBorder="1" applyAlignment="1" applyProtection="1">
      <alignment vertical="center"/>
      <protection/>
    </xf>
    <xf numFmtId="0" fontId="71" fillId="37" borderId="35" xfId="0" applyFont="1" applyFill="1" applyBorder="1" applyAlignment="1" applyProtection="1">
      <alignment horizontal="center" vertical="center"/>
      <protection/>
    </xf>
    <xf numFmtId="0" fontId="73" fillId="37" borderId="35"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3" fillId="0" borderId="36" xfId="0" applyFont="1" applyBorder="1" applyAlignment="1" applyProtection="1">
      <alignment horizontal="center"/>
      <protection/>
    </xf>
    <xf numFmtId="0" fontId="73" fillId="0" borderId="33" xfId="0" applyFont="1" applyBorder="1" applyAlignment="1" applyProtection="1">
      <alignment horizontal="center"/>
      <protection/>
    </xf>
    <xf numFmtId="0" fontId="73" fillId="0" borderId="36" xfId="0" applyFont="1" applyBorder="1" applyAlignment="1" applyProtection="1">
      <alignment horizontal="center"/>
      <protection/>
    </xf>
    <xf numFmtId="0" fontId="73" fillId="0" borderId="20" xfId="0" applyFont="1" applyFill="1" applyBorder="1" applyAlignment="1" applyProtection="1">
      <alignment vertical="center" wrapText="1"/>
      <protection/>
    </xf>
    <xf numFmtId="0" fontId="73" fillId="0" borderId="20" xfId="0" applyFont="1" applyFill="1" applyBorder="1" applyAlignment="1" applyProtection="1">
      <alignment vertical="center"/>
      <protection/>
    </xf>
    <xf numFmtId="166" fontId="73" fillId="0" borderId="0" xfId="0" applyNumberFormat="1" applyFont="1" applyAlignment="1" applyProtection="1">
      <alignment vertical="center"/>
      <protection/>
    </xf>
    <xf numFmtId="0" fontId="0" fillId="0" borderId="37" xfId="0" applyBorder="1" applyAlignment="1">
      <alignment/>
    </xf>
    <xf numFmtId="0" fontId="73" fillId="0" borderId="14" xfId="0" applyFont="1" applyBorder="1" applyAlignment="1" applyProtection="1">
      <alignment horizontal="center" vertical="center"/>
      <protection/>
    </xf>
    <xf numFmtId="0" fontId="66" fillId="0" borderId="50" xfId="0" applyFont="1" applyFill="1" applyBorder="1" applyAlignment="1">
      <alignment horizontal="center" vertical="center" wrapText="1"/>
    </xf>
    <xf numFmtId="44" fontId="73" fillId="0" borderId="48" xfId="46" applyFont="1" applyFill="1" applyBorder="1" applyAlignment="1" applyProtection="1">
      <alignment vertical="center"/>
      <protection/>
    </xf>
    <xf numFmtId="0" fontId="73" fillId="0" borderId="36" xfId="0" applyFont="1" applyFill="1" applyBorder="1" applyAlignment="1" applyProtection="1">
      <alignment horizontal="center"/>
      <protection/>
    </xf>
    <xf numFmtId="43" fontId="74" fillId="32" borderId="9" xfId="46" applyNumberFormat="1" applyFont="1" applyFill="1" applyBorder="1" applyAlignment="1" applyProtection="1">
      <alignment vertical="center"/>
      <protection locked="0"/>
    </xf>
    <xf numFmtId="0" fontId="73" fillId="0" borderId="51" xfId="0" applyFont="1" applyFill="1" applyBorder="1" applyAlignment="1" applyProtection="1">
      <alignment horizontal="center"/>
      <protection/>
    </xf>
    <xf numFmtId="44" fontId="74" fillId="34" borderId="51" xfId="46" applyNumberFormat="1" applyFont="1" applyFill="1" applyBorder="1" applyAlignment="1" applyProtection="1">
      <alignment vertical="center"/>
      <protection/>
    </xf>
    <xf numFmtId="0" fontId="73" fillId="34" borderId="33" xfId="0" applyFont="1" applyFill="1" applyBorder="1" applyAlignment="1" applyProtection="1">
      <alignment horizontal="center" vertical="center"/>
      <protection/>
    </xf>
    <xf numFmtId="0" fontId="71"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4" fillId="32" borderId="16" xfId="0" applyFont="1" applyFill="1" applyBorder="1" applyAlignment="1" applyProtection="1">
      <alignment horizontal="center" vertical="center" wrapText="1"/>
      <protection locked="0"/>
    </xf>
    <xf numFmtId="0" fontId="71" fillId="0" borderId="0" xfId="0" applyFont="1" applyBorder="1" applyAlignment="1" applyProtection="1">
      <alignment horizontal="center" vertical="center" wrapText="1"/>
      <protection/>
    </xf>
    <xf numFmtId="0" fontId="66" fillId="0" borderId="52" xfId="0" applyFont="1" applyBorder="1" applyAlignment="1">
      <alignment horizontal="center" vertical="center" wrapText="1"/>
    </xf>
    <xf numFmtId="0" fontId="66" fillId="0" borderId="53" xfId="0" applyFont="1" applyFill="1" applyBorder="1" applyAlignment="1">
      <alignment/>
    </xf>
    <xf numFmtId="0" fontId="66" fillId="39" borderId="0" xfId="0" applyFont="1" applyFill="1" applyAlignment="1">
      <alignment/>
    </xf>
    <xf numFmtId="0" fontId="0" fillId="39" borderId="0" xfId="0" applyFill="1" applyAlignment="1">
      <alignment/>
    </xf>
    <xf numFmtId="0" fontId="66" fillId="40" borderId="0" xfId="0" applyFont="1" applyFill="1" applyAlignment="1">
      <alignment/>
    </xf>
    <xf numFmtId="0" fontId="0" fillId="40" borderId="0" xfId="0" applyFill="1" applyAlignment="1">
      <alignment/>
    </xf>
    <xf numFmtId="0" fontId="66" fillId="17" borderId="0" xfId="0" applyFont="1" applyFill="1" applyAlignment="1">
      <alignment/>
    </xf>
    <xf numFmtId="0" fontId="0" fillId="17" borderId="0" xfId="0" applyFill="1" applyAlignment="1">
      <alignment/>
    </xf>
    <xf numFmtId="0" fontId="66" fillId="41" borderId="0" xfId="0" applyFont="1" applyFill="1" applyAlignment="1">
      <alignment/>
    </xf>
    <xf numFmtId="0" fontId="66" fillId="0" borderId="52" xfId="0" applyFont="1" applyBorder="1" applyAlignment="1" quotePrefix="1">
      <alignment horizontal="center" vertical="center" wrapText="1"/>
    </xf>
    <xf numFmtId="44" fontId="66" fillId="0" borderId="53" xfId="46" applyFont="1" applyFill="1" applyBorder="1" applyAlignment="1">
      <alignment/>
    </xf>
    <xf numFmtId="0" fontId="71" fillId="37" borderId="27" xfId="0" applyFont="1" applyFill="1" applyBorder="1" applyAlignment="1" applyProtection="1">
      <alignment vertical="center" wrapText="1"/>
      <protection/>
    </xf>
    <xf numFmtId="0" fontId="71" fillId="37" borderId="42" xfId="0" applyFont="1" applyFill="1" applyBorder="1" applyAlignment="1" applyProtection="1">
      <alignment vertical="center" wrapText="1"/>
      <protection/>
    </xf>
    <xf numFmtId="0" fontId="71" fillId="0" borderId="54"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66" fillId="0" borderId="37" xfId="0" applyFont="1" applyBorder="1" applyAlignment="1">
      <alignment horizontal="center" vertical="center" wrapText="1"/>
    </xf>
    <xf numFmtId="0" fontId="66" fillId="0" borderId="0" xfId="0" applyFont="1" applyFill="1" applyAlignment="1">
      <alignment horizontal="center" wrapText="1"/>
    </xf>
    <xf numFmtId="44" fontId="0" fillId="0" borderId="0" xfId="46" applyFont="1" applyFill="1" applyAlignment="1">
      <alignment/>
    </xf>
    <xf numFmtId="0" fontId="73" fillId="0" borderId="55" xfId="0" applyFont="1" applyBorder="1" applyAlignment="1" applyProtection="1">
      <alignment horizontal="center" wrapText="1"/>
      <protection/>
    </xf>
    <xf numFmtId="0" fontId="73" fillId="0" borderId="11" xfId="0" applyFont="1" applyBorder="1" applyAlignment="1" applyProtection="1">
      <alignment horizontal="center" wrapText="1"/>
      <protection/>
    </xf>
    <xf numFmtId="0" fontId="73" fillId="0" borderId="56" xfId="0" applyFont="1" applyBorder="1" applyAlignment="1" applyProtection="1">
      <alignment horizontal="left" textRotation="90" wrapText="1"/>
      <protection/>
    </xf>
    <xf numFmtId="0" fontId="73" fillId="0" borderId="56" xfId="0" applyFont="1" applyFill="1" applyBorder="1" applyAlignment="1" applyProtection="1">
      <alignment horizontal="center" wrapText="1"/>
      <protection/>
    </xf>
    <xf numFmtId="0" fontId="73" fillId="0" borderId="0" xfId="0" applyFont="1" applyAlignment="1" applyProtection="1">
      <alignment horizontal="center" wrapText="1"/>
      <protection/>
    </xf>
    <xf numFmtId="0" fontId="70" fillId="0" borderId="0" xfId="0" applyFont="1" applyAlignment="1" applyProtection="1">
      <alignment horizontal="center" vertical="center"/>
      <protection/>
    </xf>
    <xf numFmtId="0" fontId="0" fillId="0" borderId="0" xfId="0" applyAlignment="1">
      <alignment horizontal="left"/>
    </xf>
    <xf numFmtId="0" fontId="71" fillId="0" borderId="0" xfId="0" applyFont="1" applyAlignment="1" applyProtection="1">
      <alignment vertical="center" wrapText="1"/>
      <protection/>
    </xf>
    <xf numFmtId="0" fontId="66" fillId="0" borderId="0" xfId="0" applyFont="1" applyAlignment="1">
      <alignment wrapText="1"/>
    </xf>
    <xf numFmtId="3" fontId="74" fillId="32" borderId="19" xfId="0" applyNumberFormat="1" applyFont="1" applyFill="1" applyBorder="1" applyAlignment="1" applyProtection="1">
      <alignment horizontal="center" vertical="center"/>
      <protection locked="0"/>
    </xf>
    <xf numFmtId="3" fontId="74" fillId="32" borderId="9" xfId="0" applyNumberFormat="1" applyFont="1" applyFill="1" applyBorder="1" applyAlignment="1" applyProtection="1">
      <alignment horizontal="center" vertical="center"/>
      <protection locked="0"/>
    </xf>
    <xf numFmtId="44" fontId="71" fillId="0" borderId="28" xfId="46" applyNumberFormat="1" applyFont="1" applyBorder="1" applyAlignment="1" applyProtection="1">
      <alignment vertical="center"/>
      <protection/>
    </xf>
    <xf numFmtId="0" fontId="73" fillId="37" borderId="12" xfId="0" applyFont="1" applyFill="1" applyBorder="1" applyAlignment="1" applyProtection="1">
      <alignment horizontal="center" vertical="center" wrapText="1"/>
      <protection/>
    </xf>
    <xf numFmtId="3" fontId="71" fillId="37" borderId="27" xfId="0" applyNumberFormat="1" applyFont="1" applyFill="1" applyBorder="1" applyAlignment="1" applyProtection="1">
      <alignment vertical="center"/>
      <protection/>
    </xf>
    <xf numFmtId="44" fontId="73" fillId="0" borderId="49" xfId="0" applyNumberFormat="1" applyFont="1" applyBorder="1" applyAlignment="1" applyProtection="1">
      <alignment vertical="center"/>
      <protection/>
    </xf>
    <xf numFmtId="44" fontId="71" fillId="0" borderId="0" xfId="0" applyNumberFormat="1" applyFont="1" applyAlignment="1" applyProtection="1">
      <alignment/>
      <protection/>
    </xf>
    <xf numFmtId="0" fontId="71" fillId="0" borderId="19" xfId="0" applyFont="1" applyBorder="1" applyAlignment="1" applyProtection="1">
      <alignment vertical="center"/>
      <protection/>
    </xf>
    <xf numFmtId="0" fontId="71" fillId="0" borderId="57" xfId="0" applyFont="1" applyBorder="1" applyAlignment="1" applyProtection="1">
      <alignment vertical="center"/>
      <protection/>
    </xf>
    <xf numFmtId="43" fontId="71" fillId="0" borderId="38" xfId="0" applyNumberFormat="1" applyFont="1" applyBorder="1" applyAlignment="1" applyProtection="1">
      <alignment vertical="center"/>
      <protection/>
    </xf>
    <xf numFmtId="43" fontId="71" fillId="0" borderId="9" xfId="0" applyNumberFormat="1" applyFont="1" applyBorder="1" applyAlignment="1" applyProtection="1">
      <alignment vertical="center"/>
      <protection/>
    </xf>
    <xf numFmtId="0" fontId="66" fillId="0" borderId="0" xfId="0" applyFont="1" applyFill="1" applyAlignment="1">
      <alignment/>
    </xf>
    <xf numFmtId="0" fontId="71" fillId="0" borderId="0" xfId="0" applyFont="1" applyAlignment="1" applyProtection="1">
      <alignment horizontal="center" vertical="center"/>
      <protection/>
    </xf>
    <xf numFmtId="0" fontId="71" fillId="0" borderId="19" xfId="0" applyFont="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73" fillId="0" borderId="9" xfId="0" applyFont="1" applyBorder="1" applyAlignment="1" applyProtection="1">
      <alignment horizontal="center" vertical="center" wrapText="1"/>
      <protection/>
    </xf>
    <xf numFmtId="0" fontId="71" fillId="0" borderId="19" xfId="0" applyFont="1" applyBorder="1" applyAlignment="1" applyProtection="1">
      <alignment/>
      <protection/>
    </xf>
    <xf numFmtId="0" fontId="71" fillId="0" borderId="19" xfId="0" applyFont="1" applyBorder="1" applyAlignment="1" applyProtection="1">
      <alignment horizontal="center"/>
      <protection/>
    </xf>
    <xf numFmtId="0" fontId="71" fillId="0" borderId="31" xfId="0" applyFont="1" applyBorder="1" applyAlignment="1" applyProtection="1">
      <alignment/>
      <protection/>
    </xf>
    <xf numFmtId="0" fontId="71" fillId="0" borderId="17" xfId="0" applyFont="1" applyBorder="1" applyAlignment="1" applyProtection="1">
      <alignment/>
      <protection/>
    </xf>
    <xf numFmtId="0" fontId="71" fillId="0" borderId="36" xfId="0" applyFont="1" applyBorder="1" applyAlignment="1" applyProtection="1">
      <alignment/>
      <protection/>
    </xf>
    <xf numFmtId="0" fontId="71" fillId="0" borderId="33" xfId="0" applyFont="1" applyBorder="1" applyAlignment="1" applyProtection="1">
      <alignment/>
      <protection/>
    </xf>
    <xf numFmtId="0" fontId="73" fillId="0" borderId="26" xfId="0" applyFont="1" applyBorder="1" applyAlignment="1" applyProtection="1">
      <alignment horizontal="center" vertical="center"/>
      <protection/>
    </xf>
    <xf numFmtId="0" fontId="73" fillId="0" borderId="11" xfId="0" applyFont="1" applyBorder="1" applyAlignment="1" applyProtection="1">
      <alignment horizontal="center" vertical="center"/>
      <protection/>
    </xf>
    <xf numFmtId="0" fontId="73" fillId="0" borderId="36" xfId="0" applyFont="1" applyBorder="1" applyAlignment="1" applyProtection="1">
      <alignment horizontal="center" vertical="center"/>
      <protection/>
    </xf>
    <xf numFmtId="0" fontId="71" fillId="0" borderId="9" xfId="0" applyFont="1" applyBorder="1" applyAlignment="1" applyProtection="1">
      <alignment horizontal="center"/>
      <protection/>
    </xf>
    <xf numFmtId="0" fontId="71" fillId="0" borderId="53" xfId="0" applyFont="1" applyBorder="1" applyAlignment="1" applyProtection="1">
      <alignment horizontal="center" vertical="center"/>
      <protection/>
    </xf>
    <xf numFmtId="0" fontId="0" fillId="0" borderId="37" xfId="0" applyBorder="1" applyAlignment="1">
      <alignment wrapText="1"/>
    </xf>
    <xf numFmtId="41" fontId="66" fillId="0" borderId="53" xfId="0" applyNumberFormat="1" applyFont="1" applyFill="1" applyBorder="1" applyAlignment="1">
      <alignment/>
    </xf>
    <xf numFmtId="0" fontId="66" fillId="0" borderId="58" xfId="0" applyFont="1" applyFill="1" applyBorder="1" applyAlignment="1">
      <alignment horizontal="center" vertical="center" wrapText="1"/>
    </xf>
    <xf numFmtId="44" fontId="0" fillId="0" borderId="0" xfId="46" applyFont="1" applyFill="1" applyAlignment="1">
      <alignment/>
    </xf>
    <xf numFmtId="44" fontId="0" fillId="0" borderId="0" xfId="0" applyNumberFormat="1" applyFill="1" applyAlignment="1">
      <alignment/>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73" fillId="0" borderId="36" xfId="0" applyFont="1" applyBorder="1" applyAlignment="1" applyProtection="1">
      <alignment horizontal="center" wrapText="1"/>
      <protection/>
    </xf>
    <xf numFmtId="0" fontId="73" fillId="0" borderId="33" xfId="0" applyFont="1" applyBorder="1" applyAlignment="1" applyProtection="1">
      <alignment horizontal="center" wrapText="1"/>
      <protection/>
    </xf>
    <xf numFmtId="0" fontId="71" fillId="0" borderId="9" xfId="0" applyFont="1" applyBorder="1" applyAlignment="1" applyProtection="1">
      <alignment vertical="center" wrapText="1"/>
      <protection/>
    </xf>
    <xf numFmtId="0" fontId="71" fillId="0" borderId="16" xfId="0" applyFont="1" applyBorder="1" applyAlignment="1" applyProtection="1">
      <alignment vertical="center" wrapText="1"/>
      <protection/>
    </xf>
    <xf numFmtId="0" fontId="71" fillId="0" borderId="9" xfId="0" applyFont="1" applyBorder="1" applyAlignment="1" applyProtection="1">
      <alignment vertical="center"/>
      <protection/>
    </xf>
    <xf numFmtId="0" fontId="71" fillId="0" borderId="16" xfId="0" applyFont="1" applyBorder="1" applyAlignment="1" applyProtection="1">
      <alignment vertical="center"/>
      <protection/>
    </xf>
    <xf numFmtId="0" fontId="71" fillId="0" borderId="29" xfId="0" applyFont="1" applyBorder="1" applyAlignment="1" applyProtection="1">
      <alignment vertical="center"/>
      <protection/>
    </xf>
    <xf numFmtId="0" fontId="71" fillId="0" borderId="21" xfId="0" applyFont="1" applyBorder="1" applyAlignment="1" applyProtection="1">
      <alignment vertical="center"/>
      <protection/>
    </xf>
    <xf numFmtId="0" fontId="73" fillId="0" borderId="48" xfId="0" applyFont="1" applyFill="1" applyBorder="1" applyAlignment="1" applyProtection="1">
      <alignment horizontal="left" vertical="center"/>
      <protection/>
    </xf>
    <xf numFmtId="0" fontId="73" fillId="0" borderId="11" xfId="0" applyFont="1" applyFill="1" applyBorder="1" applyAlignment="1" applyProtection="1">
      <alignment horizontal="center" wrapText="1"/>
      <protection/>
    </xf>
    <xf numFmtId="0" fontId="73" fillId="0" borderId="36" xfId="0" applyFont="1" applyFill="1" applyBorder="1" applyAlignment="1" applyProtection="1">
      <alignment horizontal="center" wrapText="1"/>
      <protection/>
    </xf>
    <xf numFmtId="0" fontId="9" fillId="32" borderId="59" xfId="0" applyFont="1" applyFill="1" applyBorder="1" applyAlignment="1" applyProtection="1">
      <alignment horizontal="center" vertical="center"/>
      <protection locked="0"/>
    </xf>
    <xf numFmtId="0" fontId="73" fillId="0" borderId="35" xfId="0" applyFont="1" applyBorder="1" applyAlignment="1" applyProtection="1">
      <alignment horizontal="center" vertical="center"/>
      <protection/>
    </xf>
    <xf numFmtId="0" fontId="73" fillId="0" borderId="36" xfId="0" applyFont="1" applyBorder="1" applyAlignment="1" applyProtection="1">
      <alignment horizontal="center" vertical="center" wrapText="1"/>
      <protection/>
    </xf>
    <xf numFmtId="0" fontId="73" fillId="0" borderId="23" xfId="0" applyFont="1" applyBorder="1" applyAlignment="1" applyProtection="1">
      <alignment vertical="center"/>
      <protection/>
    </xf>
    <xf numFmtId="0" fontId="73" fillId="0" borderId="0" xfId="0" applyFont="1" applyFill="1" applyBorder="1" applyAlignment="1" applyProtection="1">
      <alignment horizontal="center"/>
      <protection/>
    </xf>
    <xf numFmtId="0" fontId="73" fillId="0" borderId="60" xfId="0" applyFont="1" applyFill="1" applyBorder="1" applyAlignment="1" applyProtection="1">
      <alignment horizontal="center" vertical="center"/>
      <protection/>
    </xf>
    <xf numFmtId="0" fontId="73" fillId="0" borderId="49" xfId="0" applyFont="1" applyFill="1" applyBorder="1" applyAlignment="1" applyProtection="1">
      <alignment horizontal="center" vertical="center"/>
      <protection/>
    </xf>
    <xf numFmtId="0" fontId="71" fillId="0" borderId="61" xfId="0" applyFont="1" applyBorder="1" applyAlignment="1" applyProtection="1">
      <alignment/>
      <protection/>
    </xf>
    <xf numFmtId="0" fontId="73" fillId="0" borderId="33" xfId="0" applyFont="1" applyBorder="1" applyAlignment="1" applyProtection="1">
      <alignment/>
      <protection/>
    </xf>
    <xf numFmtId="0" fontId="73" fillId="0" borderId="16" xfId="0" applyFont="1" applyBorder="1" applyAlignment="1" applyProtection="1">
      <alignment/>
      <protection/>
    </xf>
    <xf numFmtId="0" fontId="71" fillId="0" borderId="48" xfId="0" applyFont="1" applyBorder="1" applyAlignment="1" applyProtection="1">
      <alignment vertical="center"/>
      <protection/>
    </xf>
    <xf numFmtId="0" fontId="73" fillId="0" borderId="18" xfId="0" applyFont="1" applyFill="1" applyBorder="1" applyAlignment="1" applyProtection="1">
      <alignment horizontal="center" vertical="center"/>
      <protection/>
    </xf>
    <xf numFmtId="0" fontId="73" fillId="0" borderId="62" xfId="0" applyFont="1" applyBorder="1" applyAlignment="1" applyProtection="1">
      <alignment/>
      <protection/>
    </xf>
    <xf numFmtId="0" fontId="5" fillId="0" borderId="18" xfId="0" applyFont="1" applyFill="1" applyBorder="1" applyAlignment="1" applyProtection="1">
      <alignment horizontal="right" vertical="center"/>
      <protection/>
    </xf>
    <xf numFmtId="0" fontId="71" fillId="42" borderId="15" xfId="0" applyFont="1" applyFill="1" applyBorder="1" applyAlignment="1" applyProtection="1">
      <alignment/>
      <protection/>
    </xf>
    <xf numFmtId="0" fontId="71" fillId="42" borderId="0" xfId="0" applyFont="1" applyFill="1" applyBorder="1" applyAlignment="1" applyProtection="1">
      <alignment/>
      <protection/>
    </xf>
    <xf numFmtId="0" fontId="71" fillId="0" borderId="15" xfId="0" applyFont="1" applyBorder="1" applyAlignment="1" applyProtection="1">
      <alignment/>
      <protection/>
    </xf>
    <xf numFmtId="0" fontId="76" fillId="0" borderId="31" xfId="0" applyFont="1" applyBorder="1" applyAlignment="1" applyProtection="1">
      <alignment/>
      <protection/>
    </xf>
    <xf numFmtId="0" fontId="71" fillId="0" borderId="63" xfId="0" applyFont="1" applyBorder="1" applyAlignment="1" applyProtection="1">
      <alignment/>
      <protection/>
    </xf>
    <xf numFmtId="0" fontId="76" fillId="0" borderId="63" xfId="0" applyFont="1" applyBorder="1" applyAlignment="1" applyProtection="1">
      <alignment/>
      <protection/>
    </xf>
    <xf numFmtId="0" fontId="76" fillId="0" borderId="63" xfId="0" applyFont="1" applyBorder="1" applyAlignment="1" applyProtection="1">
      <alignment horizontal="center"/>
      <protection/>
    </xf>
    <xf numFmtId="0" fontId="76" fillId="0" borderId="17" xfId="0" applyFont="1" applyBorder="1" applyAlignment="1" applyProtection="1">
      <alignment horizontal="center"/>
      <protection/>
    </xf>
    <xf numFmtId="0" fontId="71" fillId="0" borderId="55" xfId="0" applyFont="1" applyBorder="1" applyAlignment="1" applyProtection="1">
      <alignment/>
      <protection/>
    </xf>
    <xf numFmtId="175" fontId="6" fillId="0" borderId="19" xfId="68" applyNumberFormat="1" applyFont="1" applyFill="1" applyBorder="1" applyAlignment="1" applyProtection="1">
      <alignment horizontal="center" vertical="center"/>
      <protection/>
    </xf>
    <xf numFmtId="175" fontId="6" fillId="0" borderId="57" xfId="68"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0" fontId="6" fillId="2" borderId="36"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71" fillId="2" borderId="64"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1" fillId="0" borderId="0" xfId="0" applyFont="1" applyBorder="1" applyAlignment="1">
      <alignment/>
    </xf>
    <xf numFmtId="0" fontId="77" fillId="36" borderId="64" xfId="61" applyFont="1" applyFill="1" applyBorder="1" applyAlignment="1" applyProtection="1">
      <alignment horizontal="center" vertical="center"/>
      <protection/>
    </xf>
    <xf numFmtId="0" fontId="77" fillId="0" borderId="0"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77" fillId="34" borderId="0" xfId="61" applyFont="1" applyFill="1" applyBorder="1" applyAlignment="1" applyProtection="1">
      <alignment horizontal="center" vertical="center"/>
      <protection/>
    </xf>
    <xf numFmtId="0" fontId="71" fillId="0" borderId="0" xfId="0" applyFont="1" applyAlignment="1" applyProtection="1">
      <alignment/>
      <protection/>
    </xf>
    <xf numFmtId="3" fontId="71" fillId="34" borderId="19" xfId="0" applyNumberFormat="1" applyFont="1" applyFill="1" applyBorder="1" applyAlignment="1" applyProtection="1">
      <alignment vertical="center"/>
      <protection/>
    </xf>
    <xf numFmtId="3" fontId="71" fillId="34" borderId="9" xfId="0" applyNumberFormat="1" applyFont="1" applyFill="1" applyBorder="1" applyAlignment="1" applyProtection="1">
      <alignment vertical="center"/>
      <protection/>
    </xf>
    <xf numFmtId="3" fontId="71" fillId="34" borderId="31" xfId="0" applyNumberFormat="1" applyFont="1" applyFill="1" applyBorder="1" applyAlignment="1" applyProtection="1">
      <alignment vertical="center"/>
      <protection/>
    </xf>
    <xf numFmtId="3" fontId="71" fillId="0" borderId="60" xfId="0" applyNumberFormat="1" applyFont="1" applyFill="1" applyBorder="1" applyAlignment="1" applyProtection="1">
      <alignment vertical="center"/>
      <protection/>
    </xf>
    <xf numFmtId="3" fontId="71" fillId="0" borderId="60" xfId="0" applyNumberFormat="1" applyFont="1" applyBorder="1" applyAlignment="1" applyProtection="1">
      <alignment horizontal="right" vertical="center"/>
      <protection/>
    </xf>
    <xf numFmtId="3" fontId="71" fillId="0" borderId="49" xfId="0" applyNumberFormat="1" applyFont="1" applyFill="1" applyBorder="1" applyAlignment="1" applyProtection="1">
      <alignment vertical="center"/>
      <protection/>
    </xf>
    <xf numFmtId="3" fontId="71" fillId="34" borderId="19" xfId="0" applyNumberFormat="1" applyFont="1" applyFill="1" applyBorder="1" applyAlignment="1" applyProtection="1">
      <alignment horizontal="right" vertical="center"/>
      <protection/>
    </xf>
    <xf numFmtId="3" fontId="71" fillId="0" borderId="19" xfId="0" applyNumberFormat="1" applyFont="1" applyFill="1" applyBorder="1" applyAlignment="1" applyProtection="1">
      <alignment horizontal="right" vertical="center"/>
      <protection/>
    </xf>
    <xf numFmtId="3" fontId="71" fillId="0" borderId="19" xfId="0" applyNumberFormat="1" applyFont="1" applyFill="1" applyBorder="1" applyAlignment="1" applyProtection="1">
      <alignment vertical="center"/>
      <protection/>
    </xf>
    <xf numFmtId="3" fontId="71" fillId="0" borderId="9" xfId="0" applyNumberFormat="1" applyFont="1" applyFill="1" applyBorder="1" applyAlignment="1" applyProtection="1">
      <alignment vertical="center"/>
      <protection/>
    </xf>
    <xf numFmtId="3" fontId="71" fillId="38" borderId="26" xfId="0" applyNumberFormat="1" applyFont="1" applyFill="1" applyBorder="1" applyAlignment="1" applyProtection="1">
      <alignment vertical="center"/>
      <protection/>
    </xf>
    <xf numFmtId="3" fontId="71" fillId="38" borderId="56" xfId="0" applyNumberFormat="1" applyFont="1" applyFill="1" applyBorder="1" applyAlignment="1" applyProtection="1">
      <alignment vertical="center"/>
      <protection/>
    </xf>
    <xf numFmtId="3" fontId="71" fillId="38" borderId="65" xfId="0" applyNumberFormat="1" applyFont="1" applyFill="1" applyBorder="1" applyAlignment="1" applyProtection="1">
      <alignment vertical="center"/>
      <protection/>
    </xf>
    <xf numFmtId="3" fontId="71" fillId="0" borderId="60" xfId="0" applyNumberFormat="1" applyFont="1" applyFill="1" applyBorder="1" applyAlignment="1" applyProtection="1">
      <alignment horizontal="right" vertical="center"/>
      <protection/>
    </xf>
    <xf numFmtId="3" fontId="71" fillId="38" borderId="66" xfId="0" applyNumberFormat="1" applyFont="1" applyFill="1" applyBorder="1" applyAlignment="1" applyProtection="1">
      <alignment vertical="center"/>
      <protection/>
    </xf>
    <xf numFmtId="3" fontId="71" fillId="34" borderId="19" xfId="0" applyNumberFormat="1" applyFont="1" applyFill="1" applyBorder="1" applyAlignment="1" applyProtection="1">
      <alignment horizontal="center" vertical="center"/>
      <protection/>
    </xf>
    <xf numFmtId="3" fontId="71" fillId="0" borderId="19" xfId="0" applyNumberFormat="1" applyFont="1" applyFill="1" applyBorder="1" applyAlignment="1" applyProtection="1">
      <alignment horizontal="center" vertical="center"/>
      <protection/>
    </xf>
    <xf numFmtId="3" fontId="71" fillId="0" borderId="60" xfId="0" applyNumberFormat="1" applyFont="1" applyFill="1" applyBorder="1" applyAlignment="1" applyProtection="1">
      <alignment horizontal="center" vertical="center"/>
      <protection/>
    </xf>
    <xf numFmtId="3" fontId="71" fillId="0" borderId="60"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6" fillId="0" borderId="0" xfId="0" applyFont="1" applyFill="1" applyAlignment="1" applyProtection="1">
      <alignment horizontal="justify" wrapText="1"/>
      <protection/>
    </xf>
    <xf numFmtId="0" fontId="71" fillId="0" borderId="19" xfId="0" applyFont="1" applyFill="1" applyBorder="1" applyAlignment="1" applyProtection="1">
      <alignment horizontal="justify" vertical="top" wrapText="1"/>
      <protection/>
    </xf>
    <xf numFmtId="0" fontId="71" fillId="0" borderId="19" xfId="0" applyNumberFormat="1" applyFont="1" applyFill="1" applyBorder="1" applyAlignment="1" applyProtection="1">
      <alignment horizontal="justify" vertical="top" wrapText="1"/>
      <protection/>
    </xf>
    <xf numFmtId="0" fontId="71" fillId="32" borderId="19" xfId="0" applyFont="1" applyFill="1" applyBorder="1" applyAlignment="1" applyProtection="1">
      <alignment horizontal="justify" vertical="top" wrapText="1"/>
      <protection locked="0"/>
    </xf>
    <xf numFmtId="0" fontId="71" fillId="0" borderId="0" xfId="0" applyFont="1" applyFill="1" applyAlignment="1" applyProtection="1">
      <alignment horizontal="justify" wrapText="1"/>
      <protection/>
    </xf>
    <xf numFmtId="0" fontId="73" fillId="0" borderId="28" xfId="0" applyFont="1" applyFill="1" applyBorder="1" applyAlignment="1" applyProtection="1">
      <alignment horizontal="center"/>
      <protection/>
    </xf>
    <xf numFmtId="0" fontId="73" fillId="0" borderId="27" xfId="0" applyFont="1" applyFill="1" applyBorder="1" applyAlignment="1" applyProtection="1">
      <alignment horizontal="center" wrapText="1"/>
      <protection/>
    </xf>
    <xf numFmtId="43" fontId="74" fillId="32" borderId="28" xfId="46" applyNumberFormat="1" applyFont="1" applyFill="1" applyBorder="1" applyAlignment="1" applyProtection="1">
      <alignment vertical="center"/>
      <protection locked="0"/>
    </xf>
    <xf numFmtId="0" fontId="74" fillId="32" borderId="27" xfId="0" applyFont="1" applyFill="1" applyBorder="1" applyAlignment="1" applyProtection="1">
      <alignment horizontal="center" vertical="center" wrapText="1"/>
      <protection locked="0"/>
    </xf>
    <xf numFmtId="0" fontId="73" fillId="0" borderId="67" xfId="0" applyFont="1" applyFill="1" applyBorder="1" applyAlignment="1" applyProtection="1">
      <alignment horizontal="center" vertical="center"/>
      <protection/>
    </xf>
    <xf numFmtId="0" fontId="73" fillId="0" borderId="68" xfId="0" applyFont="1" applyFill="1" applyBorder="1" applyAlignment="1" applyProtection="1">
      <alignment horizontal="left" vertical="center"/>
      <protection/>
    </xf>
    <xf numFmtId="0" fontId="73" fillId="0" borderId="13" xfId="0" applyFont="1" applyFill="1" applyBorder="1" applyAlignment="1" applyProtection="1">
      <alignment horizontal="center" wrapText="1"/>
      <protection/>
    </xf>
    <xf numFmtId="0" fontId="74" fillId="32" borderId="28" xfId="0" applyFont="1" applyFill="1" applyBorder="1" applyAlignment="1" applyProtection="1">
      <alignment vertical="center" wrapText="1"/>
      <protection locked="0"/>
    </xf>
    <xf numFmtId="0" fontId="6" fillId="32" borderId="69" xfId="0" applyFont="1" applyFill="1" applyBorder="1" applyAlignment="1" applyProtection="1">
      <alignment horizontal="center" vertical="center"/>
      <protection locked="0"/>
    </xf>
    <xf numFmtId="37" fontId="73" fillId="0" borderId="48" xfId="46" applyNumberFormat="1" applyFont="1" applyFill="1" applyBorder="1" applyAlignment="1" applyProtection="1">
      <alignment vertical="center"/>
      <protection/>
    </xf>
    <xf numFmtId="0" fontId="73" fillId="0" borderId="0" xfId="0" applyFont="1" applyAlignment="1">
      <alignment wrapText="1"/>
    </xf>
    <xf numFmtId="0" fontId="71" fillId="0" borderId="0" xfId="0" applyFont="1" applyAlignment="1">
      <alignment horizontal="left"/>
    </xf>
    <xf numFmtId="0" fontId="71" fillId="0" borderId="0" xfId="0" applyFont="1" applyAlignment="1">
      <alignment/>
    </xf>
    <xf numFmtId="0" fontId="71" fillId="0" borderId="11" xfId="0" applyFont="1" applyBorder="1" applyAlignment="1" applyProtection="1">
      <alignment vertical="center" wrapText="1"/>
      <protection/>
    </xf>
    <xf numFmtId="0" fontId="71" fillId="0" borderId="26" xfId="0" applyFont="1" applyBorder="1" applyAlignment="1" applyProtection="1">
      <alignment/>
      <protection/>
    </xf>
    <xf numFmtId="0" fontId="71" fillId="0" borderId="26" xfId="0" applyFont="1" applyBorder="1" applyAlignment="1" applyProtection="1">
      <alignment horizontal="center"/>
      <protection/>
    </xf>
    <xf numFmtId="0" fontId="71" fillId="0" borderId="31" xfId="0" applyFont="1" applyBorder="1" applyAlignment="1" applyProtection="1">
      <alignment horizontal="center"/>
      <protection/>
    </xf>
    <xf numFmtId="0" fontId="73" fillId="0" borderId="48" xfId="0" applyFont="1" applyBorder="1" applyAlignment="1" applyProtection="1">
      <alignment horizontal="center" vertical="center"/>
      <protection/>
    </xf>
    <xf numFmtId="0" fontId="73" fillId="0" borderId="48" xfId="0" applyFont="1" applyBorder="1" applyAlignment="1" applyProtection="1">
      <alignment/>
      <protection/>
    </xf>
    <xf numFmtId="0" fontId="73" fillId="0" borderId="60" xfId="0" applyFont="1" applyBorder="1" applyAlignment="1" applyProtection="1">
      <alignment horizontal="center"/>
      <protection/>
    </xf>
    <xf numFmtId="0" fontId="78" fillId="0" borderId="54" xfId="0" applyFont="1" applyFill="1" applyBorder="1" applyAlignment="1" applyProtection="1">
      <alignment horizontal="center" vertical="center"/>
      <protection/>
    </xf>
    <xf numFmtId="0" fontId="78" fillId="0" borderId="38" xfId="0" applyFont="1" applyFill="1" applyBorder="1" applyAlignment="1" applyProtection="1">
      <alignment horizontal="center" vertical="center"/>
      <protection/>
    </xf>
    <xf numFmtId="41" fontId="73" fillId="0" borderId="57" xfId="0" applyNumberFormat="1" applyFont="1" applyFill="1" applyBorder="1" applyAlignment="1" applyProtection="1">
      <alignment vertical="center"/>
      <protection/>
    </xf>
    <xf numFmtId="41" fontId="73" fillId="0" borderId="38" xfId="0" applyNumberFormat="1" applyFont="1" applyFill="1" applyBorder="1" applyAlignment="1" applyProtection="1">
      <alignment vertical="center"/>
      <protection/>
    </xf>
    <xf numFmtId="0" fontId="71" fillId="0" borderId="0" xfId="0" applyFont="1" applyAlignment="1">
      <alignment wrapText="1"/>
    </xf>
    <xf numFmtId="0" fontId="71" fillId="0" borderId="0" xfId="0" applyFont="1" applyBorder="1" applyAlignment="1">
      <alignment/>
    </xf>
    <xf numFmtId="0" fontId="74" fillId="32" borderId="69" xfId="0" applyFont="1" applyFill="1" applyBorder="1" applyAlignment="1" applyProtection="1">
      <alignment horizontal="center" vertical="center"/>
      <protection locked="0"/>
    </xf>
    <xf numFmtId="0" fontId="74" fillId="32" borderId="38" xfId="0" applyFont="1" applyFill="1" applyBorder="1" applyAlignment="1" applyProtection="1">
      <alignment horizontal="center" vertical="center"/>
      <protection locked="0"/>
    </xf>
    <xf numFmtId="0" fontId="73" fillId="0" borderId="26" xfId="0" applyFont="1" applyBorder="1" applyAlignment="1" applyProtection="1">
      <alignment horizontal="center" vertical="center" wrapText="1"/>
      <protection/>
    </xf>
    <xf numFmtId="0" fontId="73" fillId="0" borderId="11" xfId="0" applyFont="1" applyBorder="1" applyAlignment="1" applyProtection="1">
      <alignment horizontal="center" vertical="center" wrapText="1"/>
      <protection/>
    </xf>
    <xf numFmtId="0" fontId="73" fillId="0" borderId="0" xfId="0" applyFont="1" applyBorder="1" applyAlignment="1" applyProtection="1">
      <alignment horizontal="left" vertical="center" wrapText="1"/>
      <protection/>
    </xf>
    <xf numFmtId="44" fontId="74" fillId="34" borderId="0" xfId="46" applyFont="1" applyFill="1" applyBorder="1" applyAlignment="1" applyProtection="1">
      <alignment vertical="center"/>
      <protection/>
    </xf>
    <xf numFmtId="0" fontId="79"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4" fillId="32" borderId="16" xfId="0" applyFont="1" applyFill="1" applyBorder="1" applyAlignment="1" applyProtection="1">
      <alignment horizontal="center" vertical="center" wrapText="1"/>
      <protection locked="0"/>
    </xf>
    <xf numFmtId="0" fontId="73" fillId="0" borderId="31" xfId="0" applyFont="1" applyBorder="1" applyAlignment="1" applyProtection="1">
      <alignment horizontal="center" vertical="center"/>
      <protection/>
    </xf>
    <xf numFmtId="0" fontId="71" fillId="0" borderId="11" xfId="0" applyFont="1" applyBorder="1" applyAlignment="1" applyProtection="1">
      <alignment horizontal="center" vertical="center"/>
      <protection/>
    </xf>
    <xf numFmtId="0" fontId="71" fillId="0" borderId="11" xfId="0" applyFont="1" applyBorder="1" applyAlignment="1" applyProtection="1">
      <alignment vertical="center"/>
      <protection/>
    </xf>
    <xf numFmtId="43" fontId="71" fillId="0" borderId="36" xfId="0" applyNumberFormat="1" applyFont="1" applyBorder="1" applyAlignment="1" applyProtection="1">
      <alignment vertical="center"/>
      <protection/>
    </xf>
    <xf numFmtId="37" fontId="71" fillId="0" borderId="0" xfId="0" applyNumberFormat="1" applyFont="1" applyBorder="1" applyAlignment="1">
      <alignment horizontal="center"/>
    </xf>
    <xf numFmtId="37" fontId="71" fillId="0" borderId="55" xfId="0" applyNumberFormat="1" applyFont="1" applyBorder="1" applyAlignment="1">
      <alignment horizontal="center"/>
    </xf>
    <xf numFmtId="37" fontId="71" fillId="42" borderId="0" xfId="0" applyNumberFormat="1" applyFont="1" applyFill="1" applyBorder="1" applyAlignment="1">
      <alignment horizontal="center"/>
    </xf>
    <xf numFmtId="37" fontId="71" fillId="42" borderId="55" xfId="0" applyNumberFormat="1" applyFont="1" applyFill="1" applyBorder="1" applyAlignment="1">
      <alignment horizontal="center"/>
    </xf>
    <xf numFmtId="9" fontId="71" fillId="0" borderId="0" xfId="66" applyFont="1" applyAlignment="1" applyProtection="1">
      <alignment/>
      <protection/>
    </xf>
    <xf numFmtId="40" fontId="71" fillId="0" borderId="0" xfId="46" applyNumberFormat="1" applyFont="1" applyAlignment="1" applyProtection="1">
      <alignment/>
      <protection/>
    </xf>
    <xf numFmtId="44" fontId="71" fillId="0" borderId="0" xfId="0" applyNumberFormat="1" applyFont="1" applyAlignment="1" applyProtection="1">
      <alignment vertical="center"/>
      <protection/>
    </xf>
    <xf numFmtId="44" fontId="71" fillId="0" borderId="11" xfId="0" applyNumberFormat="1" applyFont="1" applyBorder="1" applyAlignment="1" applyProtection="1">
      <alignment vertical="center" wrapText="1"/>
      <protection/>
    </xf>
    <xf numFmtId="44" fontId="71" fillId="0" borderId="57" xfId="0" applyNumberFormat="1" applyFont="1" applyBorder="1" applyAlignment="1" applyProtection="1">
      <alignment vertical="center"/>
      <protection/>
    </xf>
    <xf numFmtId="0" fontId="71" fillId="0" borderId="9" xfId="0" applyFont="1" applyBorder="1" applyAlignment="1" applyProtection="1">
      <alignment horizontal="center" vertical="center"/>
      <protection/>
    </xf>
    <xf numFmtId="44" fontId="71" fillId="0" borderId="36" xfId="46" applyFont="1" applyBorder="1" applyAlignment="1" applyProtection="1">
      <alignment vertical="center"/>
      <protection/>
    </xf>
    <xf numFmtId="44" fontId="71" fillId="0" borderId="38" xfId="46" applyFont="1" applyBorder="1" applyAlignment="1" applyProtection="1">
      <alignment vertical="center"/>
      <protection/>
    </xf>
    <xf numFmtId="0" fontId="73" fillId="0" borderId="11" xfId="0" applyFont="1" applyFill="1" applyBorder="1" applyAlignment="1" applyProtection="1">
      <alignment horizontal="center" wrapText="1"/>
      <protection/>
    </xf>
    <xf numFmtId="0" fontId="5" fillId="0" borderId="6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37" fontId="19" fillId="0" borderId="49" xfId="46" applyNumberFormat="1" applyFont="1" applyFill="1" applyBorder="1" applyAlignment="1" applyProtection="1">
      <alignment vertical="center"/>
      <protection/>
    </xf>
    <xf numFmtId="37" fontId="19" fillId="0" borderId="48"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71" fillId="0" borderId="70" xfId="0" applyNumberFormat="1" applyFont="1" applyBorder="1" applyAlignment="1" applyProtection="1">
      <alignment vertical="center"/>
      <protection/>
    </xf>
    <xf numFmtId="173" fontId="71" fillId="0" borderId="42" xfId="0" applyNumberFormat="1" applyFont="1" applyBorder="1" applyAlignment="1" applyProtection="1">
      <alignment vertical="center"/>
      <protection/>
    </xf>
    <xf numFmtId="0" fontId="6" fillId="32" borderId="38" xfId="0" applyFont="1" applyFill="1" applyBorder="1" applyAlignment="1" applyProtection="1">
      <alignment horizontal="center" vertical="center"/>
      <protection locked="0"/>
    </xf>
    <xf numFmtId="0" fontId="73" fillId="0" borderId="36" xfId="0" applyFont="1" applyFill="1" applyBorder="1" applyAlignment="1" applyProtection="1">
      <alignment horizontal="center" wrapText="1"/>
      <protection/>
    </xf>
    <xf numFmtId="0" fontId="73" fillId="0" borderId="11" xfId="0" applyFont="1" applyFill="1" applyBorder="1" applyAlignment="1" applyProtection="1">
      <alignment horizontal="center"/>
      <protection/>
    </xf>
    <xf numFmtId="0" fontId="73" fillId="0" borderId="19" xfId="0" applyFont="1" applyFill="1" applyBorder="1" applyAlignment="1" applyProtection="1">
      <alignment horizontal="justify" wrapText="1"/>
      <protection/>
    </xf>
    <xf numFmtId="0" fontId="73" fillId="0" borderId="19" xfId="0" applyFont="1" applyFill="1" applyBorder="1" applyAlignment="1" applyProtection="1">
      <alignment horizontal="left" wrapText="1"/>
      <protection/>
    </xf>
    <xf numFmtId="0" fontId="73" fillId="0" borderId="9" xfId="0" applyFont="1" applyFill="1" applyBorder="1" applyAlignment="1" applyProtection="1">
      <alignment horizontal="center"/>
      <protection/>
    </xf>
    <xf numFmtId="0" fontId="73" fillId="0" borderId="36" xfId="0" applyFont="1" applyBorder="1" applyAlignment="1" applyProtection="1">
      <alignment horizontal="center" vertical="center" wrapText="1"/>
      <protection/>
    </xf>
    <xf numFmtId="0" fontId="73" fillId="0" borderId="19" xfId="0" applyFont="1" applyFill="1" applyBorder="1" applyAlignment="1" applyProtection="1">
      <alignment horizontal="center"/>
      <protection/>
    </xf>
    <xf numFmtId="37" fontId="71" fillId="0" borderId="0" xfId="0" applyNumberFormat="1" applyFont="1" applyBorder="1" applyAlignment="1">
      <alignment horizontal="left"/>
    </xf>
    <xf numFmtId="0" fontId="73" fillId="0" borderId="9" xfId="0" applyFont="1" applyFill="1" applyBorder="1" applyAlignment="1" applyProtection="1">
      <alignment horizontal="center"/>
      <protection/>
    </xf>
    <xf numFmtId="0" fontId="73" fillId="0" borderId="19" xfId="0" applyFont="1" applyFill="1" applyBorder="1" applyAlignment="1" applyProtection="1">
      <alignment horizontal="center"/>
      <protection/>
    </xf>
    <xf numFmtId="0" fontId="73" fillId="0" borderId="36" xfId="0" applyFont="1" applyBorder="1" applyAlignment="1" applyProtection="1">
      <alignment horizontal="center" vertical="center" wrapText="1"/>
      <protection/>
    </xf>
    <xf numFmtId="44" fontId="0" fillId="0" borderId="0" xfId="46" applyFont="1" applyAlignment="1">
      <alignment/>
    </xf>
    <xf numFmtId="3" fontId="71" fillId="37" borderId="12" xfId="0" applyNumberFormat="1" applyFont="1" applyFill="1" applyBorder="1" applyAlignment="1" applyProtection="1">
      <alignment vertical="center"/>
      <protection/>
    </xf>
    <xf numFmtId="44" fontId="71" fillId="0" borderId="36" xfId="46" applyFont="1" applyFill="1" applyBorder="1" applyAlignment="1" applyProtection="1">
      <alignment vertical="center"/>
      <protection/>
    </xf>
    <xf numFmtId="0" fontId="71" fillId="0" borderId="71" xfId="0" applyFont="1" applyBorder="1" applyAlignment="1" applyProtection="1">
      <alignment horizontal="center" vertical="center"/>
      <protection/>
    </xf>
    <xf numFmtId="0" fontId="73" fillId="37" borderId="40" xfId="0" applyFont="1" applyFill="1" applyBorder="1" applyAlignment="1" applyProtection="1">
      <alignment vertical="center" wrapText="1"/>
      <protection/>
    </xf>
    <xf numFmtId="44" fontId="73" fillId="0" borderId="34" xfId="46" applyFont="1" applyFill="1" applyBorder="1" applyAlignment="1" applyProtection="1">
      <alignment vertical="center"/>
      <protection/>
    </xf>
    <xf numFmtId="0" fontId="71" fillId="0" borderId="20" xfId="0" applyFont="1" applyBorder="1" applyAlignment="1" applyProtection="1">
      <alignment horizontal="center" vertical="center"/>
      <protection/>
    </xf>
    <xf numFmtId="0" fontId="73" fillId="37" borderId="72" xfId="0" applyFont="1" applyFill="1" applyBorder="1" applyAlignment="1" applyProtection="1">
      <alignment vertical="center" wrapText="1"/>
      <protection/>
    </xf>
    <xf numFmtId="44" fontId="73" fillId="0" borderId="24" xfId="46" applyFont="1" applyFill="1" applyBorder="1" applyAlignment="1" applyProtection="1">
      <alignment vertical="center"/>
      <protection/>
    </xf>
    <xf numFmtId="0" fontId="66" fillId="0" borderId="0" xfId="0" applyFont="1" applyAlignment="1">
      <alignment horizontal="center" wrapText="1"/>
    </xf>
    <xf numFmtId="37" fontId="71" fillId="42" borderId="0" xfId="0" applyNumberFormat="1" applyFont="1" applyFill="1" applyBorder="1" applyAlignment="1">
      <alignment horizontal="left"/>
    </xf>
    <xf numFmtId="0" fontId="0" fillId="39" borderId="37" xfId="0" applyFill="1" applyBorder="1" applyAlignment="1">
      <alignment/>
    </xf>
    <xf numFmtId="0" fontId="80" fillId="0" borderId="0" xfId="0" applyFont="1" applyFill="1" applyAlignment="1">
      <alignment/>
    </xf>
    <xf numFmtId="41" fontId="0" fillId="0" borderId="0" xfId="0" applyNumberFormat="1" applyFill="1" applyAlignment="1">
      <alignment/>
    </xf>
    <xf numFmtId="44" fontId="0" fillId="0" borderId="0" xfId="46" applyFont="1" applyFill="1" applyAlignment="1">
      <alignment/>
    </xf>
    <xf numFmtId="41" fontId="0" fillId="0" borderId="53" xfId="0" applyNumberFormat="1" applyFill="1" applyBorder="1" applyAlignment="1">
      <alignment/>
    </xf>
    <xf numFmtId="44" fontId="0" fillId="0" borderId="53" xfId="46" applyFont="1" applyFill="1" applyBorder="1" applyAlignment="1">
      <alignment/>
    </xf>
    <xf numFmtId="44" fontId="0" fillId="0" borderId="0" xfId="46" applyFont="1" applyFill="1" applyAlignment="1">
      <alignment/>
    </xf>
    <xf numFmtId="0" fontId="0" fillId="0" borderId="37" xfId="0" applyFill="1" applyBorder="1" applyAlignment="1">
      <alignment/>
    </xf>
    <xf numFmtId="0" fontId="6" fillId="0" borderId="63" xfId="0" applyFont="1" applyFill="1" applyBorder="1" applyAlignment="1" applyProtection="1">
      <alignment vertical="center" wrapText="1"/>
      <protection/>
    </xf>
    <xf numFmtId="0" fontId="9" fillId="32" borderId="35" xfId="0" applyFont="1" applyFill="1" applyBorder="1" applyAlignment="1" applyProtection="1">
      <alignment horizontal="left" vertical="center"/>
      <protection locked="0"/>
    </xf>
    <xf numFmtId="0" fontId="6" fillId="0" borderId="63" xfId="0" applyFont="1" applyFill="1" applyBorder="1" applyAlignment="1" applyProtection="1">
      <alignment vertical="center"/>
      <protection/>
    </xf>
    <xf numFmtId="0" fontId="71" fillId="0" borderId="0" xfId="0" applyFont="1" applyBorder="1" applyAlignment="1" applyProtection="1">
      <alignment vertical="top" wrapText="1"/>
      <protection/>
    </xf>
    <xf numFmtId="0" fontId="71"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71" fillId="0" borderId="20" xfId="0" applyFont="1" applyBorder="1" applyAlignment="1" applyProtection="1">
      <alignment horizontal="justify" vertical="top"/>
      <protection/>
    </xf>
    <xf numFmtId="0" fontId="71" fillId="0" borderId="36" xfId="0" applyFont="1" applyBorder="1" applyAlignment="1" applyProtection="1">
      <alignment horizontal="center" wrapText="1"/>
      <protection/>
    </xf>
    <xf numFmtId="0" fontId="71" fillId="0" borderId="35" xfId="0" applyFont="1" applyBorder="1" applyAlignment="1" applyProtection="1">
      <alignment horizontal="center" wrapText="1"/>
      <protection/>
    </xf>
    <xf numFmtId="0" fontId="71" fillId="0" borderId="33" xfId="0" applyFont="1" applyBorder="1" applyAlignment="1" applyProtection="1">
      <alignment horizontal="center" wrapText="1"/>
      <protection/>
    </xf>
    <xf numFmtId="0" fontId="71" fillId="34" borderId="0" xfId="0" applyFont="1" applyFill="1" applyBorder="1" applyAlignment="1" applyProtection="1">
      <alignment horizontal="right" vertical="center" wrapText="1"/>
      <protection/>
    </xf>
    <xf numFmtId="0" fontId="71" fillId="34" borderId="51" xfId="0" applyFont="1" applyFill="1" applyBorder="1" applyAlignment="1" applyProtection="1">
      <alignment horizontal="right" vertical="center" wrapText="1"/>
      <protection/>
    </xf>
    <xf numFmtId="49" fontId="6" fillId="2" borderId="35" xfId="0" applyNumberFormat="1" applyFont="1" applyFill="1" applyBorder="1" applyAlignment="1" applyProtection="1">
      <alignment horizontal="left" vertical="center"/>
      <protection/>
    </xf>
    <xf numFmtId="49" fontId="6" fillId="2" borderId="33" xfId="0" applyNumberFormat="1" applyFont="1" applyFill="1" applyBorder="1" applyAlignment="1" applyProtection="1">
      <alignment horizontal="left" vertical="center"/>
      <protection/>
    </xf>
    <xf numFmtId="0" fontId="6" fillId="0" borderId="45" xfId="0" applyFont="1" applyFill="1" applyBorder="1" applyAlignment="1" applyProtection="1">
      <alignment horizontal="justify" vertical="center" wrapText="1"/>
      <protection/>
    </xf>
    <xf numFmtId="0" fontId="8" fillId="0" borderId="63" xfId="0" applyFont="1" applyBorder="1" applyAlignment="1" applyProtection="1">
      <alignment vertical="center"/>
      <protection/>
    </xf>
    <xf numFmtId="0" fontId="8" fillId="0" borderId="17" xfId="0" applyFont="1" applyBorder="1" applyAlignment="1" applyProtection="1">
      <alignment vertical="center"/>
      <protection/>
    </xf>
    <xf numFmtId="0" fontId="6" fillId="0" borderId="17" xfId="59" applyFont="1" applyFill="1" applyBorder="1" applyAlignment="1" applyProtection="1">
      <alignment horizontal="left" vertical="center"/>
      <protection/>
    </xf>
    <xf numFmtId="0" fontId="6" fillId="0" borderId="26" xfId="59" applyFont="1" applyFill="1" applyBorder="1" applyAlignment="1" applyProtection="1">
      <alignment horizontal="left" vertical="center"/>
      <protection/>
    </xf>
    <xf numFmtId="0" fontId="9" fillId="32" borderId="20" xfId="68" applyNumberFormat="1" applyFont="1" applyBorder="1" applyAlignment="1">
      <alignment horizontal="left" vertical="center"/>
      <protection locked="0"/>
    </xf>
    <xf numFmtId="0" fontId="9" fillId="32" borderId="23" xfId="68" applyNumberFormat="1" applyFont="1" applyBorder="1" applyAlignment="1">
      <alignment horizontal="left" vertical="center"/>
      <protection locked="0"/>
    </xf>
    <xf numFmtId="0" fontId="6" fillId="0" borderId="26" xfId="59" applyFont="1" applyFill="1" applyBorder="1" applyAlignment="1" applyProtection="1">
      <alignment horizontal="center" vertical="center"/>
      <protection/>
    </xf>
    <xf numFmtId="0" fontId="6" fillId="0" borderId="31" xfId="59" applyFont="1" applyFill="1" applyBorder="1" applyAlignment="1" applyProtection="1">
      <alignment horizontal="center" vertical="center"/>
      <protection/>
    </xf>
    <xf numFmtId="0" fontId="81" fillId="32" borderId="24" xfId="55" applyNumberFormat="1" applyFont="1" applyFill="1" applyBorder="1" applyAlignment="1">
      <alignment horizontal="center" vertical="center"/>
    </xf>
    <xf numFmtId="0" fontId="9" fillId="32" borderId="20" xfId="68" applyNumberFormat="1" applyFont="1" applyBorder="1" applyAlignment="1">
      <alignment horizontal="center" vertical="center"/>
      <protection locked="0"/>
    </xf>
    <xf numFmtId="0" fontId="6" fillId="34" borderId="0" xfId="61" applyFont="1" applyFill="1" applyAlignment="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pplyProtection="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73" fillId="0" borderId="16" xfId="0" applyFont="1" applyBorder="1" applyAlignment="1" applyProtection="1">
      <alignment horizontal="center" wrapText="1"/>
      <protection/>
    </xf>
    <xf numFmtId="0" fontId="73" fillId="0" borderId="16" xfId="0" applyFont="1" applyBorder="1" applyAlignment="1" applyProtection="1">
      <alignment horizontal="center"/>
      <protection/>
    </xf>
    <xf numFmtId="0" fontId="71" fillId="0" borderId="9" xfId="0" applyFont="1" applyFill="1" applyBorder="1" applyAlignment="1" applyProtection="1">
      <alignment horizontal="center"/>
      <protection/>
    </xf>
    <xf numFmtId="0" fontId="71" fillId="0" borderId="45" xfId="0" applyFont="1" applyFill="1" applyBorder="1" applyAlignment="1" applyProtection="1">
      <alignment horizontal="center"/>
      <protection/>
    </xf>
    <xf numFmtId="0" fontId="73" fillId="0" borderId="9" xfId="0" applyFont="1" applyBorder="1" applyAlignment="1" applyProtection="1">
      <alignment horizontal="center" vertical="center"/>
      <protection/>
    </xf>
    <xf numFmtId="0" fontId="73" fillId="0" borderId="45" xfId="0" applyFont="1" applyBorder="1" applyAlignment="1" applyProtection="1">
      <alignment horizontal="center" vertical="center"/>
      <protection/>
    </xf>
    <xf numFmtId="0" fontId="71" fillId="0" borderId="9" xfId="0" applyFont="1" applyBorder="1" applyAlignment="1" applyProtection="1">
      <alignment vertical="center"/>
      <protection/>
    </xf>
    <xf numFmtId="0" fontId="71" fillId="0" borderId="16" xfId="0" applyFont="1" applyBorder="1" applyAlignment="1" applyProtection="1">
      <alignment vertical="center"/>
      <protection/>
    </xf>
    <xf numFmtId="0" fontId="71" fillId="0" borderId="45" xfId="0" applyFont="1" applyBorder="1" applyAlignment="1" applyProtection="1">
      <alignment horizontal="justify" wrapText="1"/>
      <protection/>
    </xf>
    <xf numFmtId="0" fontId="73" fillId="0" borderId="31" xfId="0" applyFont="1" applyBorder="1" applyAlignment="1" applyProtection="1">
      <alignment horizontal="center" wrapText="1"/>
      <protection/>
    </xf>
    <xf numFmtId="0" fontId="73" fillId="0" borderId="17" xfId="0" applyFont="1" applyBorder="1" applyAlignment="1" applyProtection="1">
      <alignment horizontal="center"/>
      <protection/>
    </xf>
    <xf numFmtId="0" fontId="73" fillId="0" borderId="36" xfId="0" applyFont="1" applyBorder="1" applyAlignment="1" applyProtection="1">
      <alignment horizontal="center"/>
      <protection/>
    </xf>
    <xf numFmtId="0" fontId="73" fillId="0" borderId="33" xfId="0" applyFont="1" applyBorder="1" applyAlignment="1" applyProtection="1">
      <alignment horizontal="center"/>
      <protection/>
    </xf>
    <xf numFmtId="0" fontId="71" fillId="0" borderId="29" xfId="0" applyFont="1" applyFill="1" applyBorder="1" applyAlignment="1" applyProtection="1">
      <alignment horizontal="center"/>
      <protection/>
    </xf>
    <xf numFmtId="0" fontId="71" fillId="0" borderId="46" xfId="0" applyFont="1" applyFill="1" applyBorder="1" applyAlignment="1" applyProtection="1">
      <alignment horizontal="center"/>
      <protection/>
    </xf>
    <xf numFmtId="0" fontId="71" fillId="0" borderId="9" xfId="0" applyFont="1" applyBorder="1" applyAlignment="1" applyProtection="1">
      <alignment vertical="center" wrapText="1"/>
      <protection/>
    </xf>
    <xf numFmtId="0" fontId="71" fillId="0" borderId="16" xfId="0" applyFont="1" applyBorder="1" applyAlignment="1" applyProtection="1">
      <alignment vertical="center" wrapText="1"/>
      <protection/>
    </xf>
    <xf numFmtId="0" fontId="73" fillId="0" borderId="36" xfId="0" applyFont="1" applyBorder="1" applyAlignment="1" applyProtection="1">
      <alignment horizontal="center" wrapText="1"/>
      <protection/>
    </xf>
    <xf numFmtId="0" fontId="73" fillId="0" borderId="33" xfId="0" applyFont="1" applyBorder="1" applyAlignment="1" applyProtection="1">
      <alignment horizontal="center" wrapText="1"/>
      <protection/>
    </xf>
    <xf numFmtId="0" fontId="3" fillId="0" borderId="19" xfId="0" applyFont="1" applyFill="1" applyBorder="1" applyAlignment="1" applyProtection="1">
      <alignment horizontal="center" wrapText="1"/>
      <protection/>
    </xf>
    <xf numFmtId="0" fontId="73" fillId="0" borderId="19" xfId="0" applyFont="1" applyFill="1" applyBorder="1" applyAlignment="1" applyProtection="1">
      <alignment horizontal="center" wrapText="1"/>
      <protection/>
    </xf>
    <xf numFmtId="0" fontId="73" fillId="0" borderId="0" xfId="0" applyFont="1" applyAlignment="1" applyProtection="1" quotePrefix="1">
      <alignment horizontal="center" vertical="center"/>
      <protection/>
    </xf>
    <xf numFmtId="166" fontId="73" fillId="0" borderId="0" xfId="0" applyNumberFormat="1" applyFont="1" applyAlignment="1" applyProtection="1">
      <alignment horizontal="center" vertical="center"/>
      <protection/>
    </xf>
    <xf numFmtId="0" fontId="73" fillId="0" borderId="0" xfId="0" applyFont="1" applyBorder="1" applyAlignment="1" applyProtection="1">
      <alignment horizontal="center" vertical="center"/>
      <protection/>
    </xf>
    <xf numFmtId="0" fontId="73" fillId="0" borderId="9" xfId="0" applyFont="1" applyFill="1" applyBorder="1" applyAlignment="1" applyProtection="1">
      <alignment horizontal="center" wrapText="1"/>
      <protection/>
    </xf>
    <xf numFmtId="0" fontId="73" fillId="0" borderId="45" xfId="0" applyFont="1" applyFill="1" applyBorder="1" applyAlignment="1" applyProtection="1">
      <alignment horizontal="center" wrapText="1"/>
      <protection/>
    </xf>
    <xf numFmtId="0" fontId="73" fillId="0" borderId="49" xfId="0" applyFont="1" applyBorder="1" applyAlignment="1" applyProtection="1">
      <alignment vertical="center"/>
      <protection/>
    </xf>
    <xf numFmtId="0" fontId="73" fillId="0" borderId="18" xfId="0" applyFont="1" applyBorder="1" applyAlignment="1" applyProtection="1">
      <alignment vertical="center"/>
      <protection/>
    </xf>
    <xf numFmtId="0" fontId="73" fillId="0" borderId="14" xfId="0" applyFont="1" applyBorder="1" applyAlignment="1" applyProtection="1">
      <alignment horizontal="center" vertical="center"/>
      <protection/>
    </xf>
    <xf numFmtId="0" fontId="71" fillId="0" borderId="29" xfId="0" applyFont="1" applyBorder="1" applyAlignment="1" applyProtection="1">
      <alignment vertical="center"/>
      <protection/>
    </xf>
    <xf numFmtId="0" fontId="71" fillId="0" borderId="21" xfId="0" applyFont="1" applyBorder="1" applyAlignment="1" applyProtection="1">
      <alignment vertical="center"/>
      <protection/>
    </xf>
    <xf numFmtId="0" fontId="3" fillId="0" borderId="19" xfId="0" applyFont="1" applyBorder="1" applyAlignment="1" applyProtection="1">
      <alignment horizontal="center" wrapText="1"/>
      <protection/>
    </xf>
    <xf numFmtId="0" fontId="73" fillId="0" borderId="19" xfId="0" applyFont="1" applyBorder="1" applyAlignment="1" applyProtection="1">
      <alignment horizontal="center" wrapText="1"/>
      <protection/>
    </xf>
    <xf numFmtId="0" fontId="71" fillId="0" borderId="24" xfId="0" applyFont="1" applyFill="1" applyBorder="1" applyAlignment="1" applyProtection="1">
      <alignment horizontal="center"/>
      <protection/>
    </xf>
    <xf numFmtId="0" fontId="71" fillId="0" borderId="20" xfId="0" applyFont="1" applyFill="1" applyBorder="1" applyAlignment="1" applyProtection="1">
      <alignment horizontal="center"/>
      <protection/>
    </xf>
    <xf numFmtId="0" fontId="71" fillId="0" borderId="38" xfId="0" applyFont="1" applyBorder="1" applyAlignment="1" applyProtection="1">
      <alignment horizontal="justify" vertical="center" wrapText="1"/>
      <protection/>
    </xf>
    <xf numFmtId="0" fontId="71" fillId="0" borderId="53" xfId="0" applyFont="1" applyBorder="1" applyAlignment="1" applyProtection="1">
      <alignment horizontal="justify" vertical="center" wrapText="1"/>
      <protection/>
    </xf>
    <xf numFmtId="0" fontId="71" fillId="0" borderId="54" xfId="0" applyFont="1" applyBorder="1" applyAlignment="1" applyProtection="1">
      <alignment horizontal="justify" vertical="center" wrapText="1"/>
      <protection/>
    </xf>
    <xf numFmtId="0" fontId="71" fillId="0" borderId="20" xfId="0" applyFont="1" applyBorder="1" applyAlignment="1" applyProtection="1">
      <alignment horizontal="justify" vertical="center" wrapText="1"/>
      <protection/>
    </xf>
    <xf numFmtId="0" fontId="73" fillId="36" borderId="20" xfId="0" applyFont="1" applyFill="1" applyBorder="1" applyAlignment="1" applyProtection="1">
      <alignment vertical="center" wrapText="1"/>
      <protection/>
    </xf>
    <xf numFmtId="0" fontId="73" fillId="36" borderId="23" xfId="0" applyFont="1" applyFill="1" applyBorder="1" applyAlignment="1" applyProtection="1">
      <alignment vertical="center" wrapText="1"/>
      <protection/>
    </xf>
    <xf numFmtId="0" fontId="73" fillId="0" borderId="0" xfId="0" applyFont="1" applyBorder="1" applyAlignment="1" applyProtection="1">
      <alignment horizontal="center"/>
      <protection/>
    </xf>
    <xf numFmtId="0" fontId="71" fillId="0" borderId="45" xfId="0" applyFont="1" applyBorder="1" applyAlignment="1" applyProtection="1">
      <alignment vertical="center" wrapText="1"/>
      <protection/>
    </xf>
    <xf numFmtId="0" fontId="71" fillId="0" borderId="46" xfId="0" applyFont="1" applyBorder="1" applyAlignment="1" applyProtection="1">
      <alignment horizontal="left" vertical="center" wrapText="1"/>
      <protection/>
    </xf>
    <xf numFmtId="0" fontId="71" fillId="0" borderId="21" xfId="0" applyFont="1" applyBorder="1" applyAlignment="1" applyProtection="1">
      <alignment horizontal="left" vertical="center" wrapText="1"/>
      <protection/>
    </xf>
    <xf numFmtId="0" fontId="73" fillId="0" borderId="0" xfId="0" applyFont="1" applyBorder="1" applyAlignment="1" applyProtection="1" quotePrefix="1">
      <alignment horizontal="center"/>
      <protection/>
    </xf>
    <xf numFmtId="0" fontId="6" fillId="0" borderId="45"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71" fillId="0" borderId="46" xfId="0" applyFont="1" applyBorder="1" applyAlignment="1" applyProtection="1">
      <alignment vertical="center" wrapText="1"/>
      <protection/>
    </xf>
    <xf numFmtId="0" fontId="71" fillId="0" borderId="21" xfId="0" applyFont="1" applyBorder="1" applyAlignment="1" applyProtection="1">
      <alignment vertical="center" wrapText="1"/>
      <protection/>
    </xf>
    <xf numFmtId="0" fontId="73" fillId="0" borderId="73" xfId="0" applyFont="1" applyBorder="1" applyAlignment="1" applyProtection="1">
      <alignment horizontal="center"/>
      <protection/>
    </xf>
    <xf numFmtId="0" fontId="73" fillId="0" borderId="74" xfId="0" applyFont="1" applyBorder="1" applyAlignment="1" applyProtection="1">
      <alignment horizontal="center"/>
      <protection/>
    </xf>
    <xf numFmtId="0" fontId="73" fillId="0" borderId="30" xfId="0" applyFont="1" applyBorder="1" applyAlignment="1" applyProtection="1">
      <alignment horizontal="center"/>
      <protection/>
    </xf>
    <xf numFmtId="0" fontId="73" fillId="0" borderId="75" xfId="0" applyFont="1" applyBorder="1" applyAlignment="1" applyProtection="1">
      <alignment horizontal="center"/>
      <protection/>
    </xf>
    <xf numFmtId="0" fontId="82" fillId="0" borderId="0" xfId="0" applyFont="1" applyAlignment="1" applyProtection="1">
      <alignment horizontal="center" wrapText="1"/>
      <protection/>
    </xf>
    <xf numFmtId="0" fontId="82" fillId="0" borderId="0" xfId="0" applyFont="1" applyAlignment="1" applyProtection="1">
      <alignment horizontal="center"/>
      <protection/>
    </xf>
    <xf numFmtId="0" fontId="73" fillId="0" borderId="76" xfId="0" applyFont="1" applyFill="1" applyBorder="1" applyAlignment="1" applyProtection="1">
      <alignment horizontal="center" wrapText="1"/>
      <protection/>
    </xf>
    <xf numFmtId="0" fontId="71" fillId="0" borderId="0" xfId="0" applyFont="1" applyBorder="1" applyAlignment="1" applyProtection="1">
      <alignment horizontal="left" vertical="center" wrapText="1"/>
      <protection/>
    </xf>
    <xf numFmtId="0" fontId="70" fillId="0" borderId="0" xfId="0" applyFont="1" applyAlignment="1" applyProtection="1">
      <alignment horizontal="center" wrapText="1"/>
      <protection/>
    </xf>
    <xf numFmtId="0" fontId="73" fillId="0" borderId="47" xfId="0" applyFont="1" applyBorder="1" applyAlignment="1" applyProtection="1">
      <alignment horizontal="center" wrapText="1"/>
      <protection/>
    </xf>
    <xf numFmtId="0" fontId="73" fillId="0" borderId="30" xfId="0" applyFont="1" applyBorder="1" applyAlignment="1" applyProtection="1">
      <alignment horizontal="center" wrapText="1"/>
      <protection/>
    </xf>
    <xf numFmtId="0" fontId="73" fillId="0" borderId="61" xfId="0" applyFont="1" applyBorder="1" applyAlignment="1" applyProtection="1">
      <alignment horizontal="center" wrapText="1"/>
      <protection/>
    </xf>
    <xf numFmtId="0" fontId="73"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73" fillId="0" borderId="77" xfId="0" applyFont="1" applyBorder="1" applyAlignment="1" applyProtection="1">
      <alignment horizontal="center" wrapText="1"/>
      <protection/>
    </xf>
    <xf numFmtId="0" fontId="73" fillId="0" borderId="78" xfId="0" applyFont="1" applyBorder="1" applyAlignment="1" applyProtection="1">
      <alignment horizontal="center" wrapText="1"/>
      <protection/>
    </xf>
    <xf numFmtId="0" fontId="73" fillId="0" borderId="30" xfId="0" applyFont="1" applyFill="1" applyBorder="1" applyAlignment="1" applyProtection="1">
      <alignment horizontal="justify" wrapText="1"/>
      <protection/>
    </xf>
    <xf numFmtId="0" fontId="73" fillId="0" borderId="35" xfId="0" applyFont="1" applyFill="1" applyBorder="1" applyAlignment="1" applyProtection="1">
      <alignment horizontal="justify" wrapText="1"/>
      <protection/>
    </xf>
    <xf numFmtId="0" fontId="73" fillId="0" borderId="78" xfId="0" applyFont="1" applyFill="1" applyBorder="1" applyAlignment="1" applyProtection="1">
      <alignment horizontal="center" wrapText="1"/>
      <protection/>
    </xf>
    <xf numFmtId="49" fontId="74" fillId="32" borderId="45" xfId="46" applyNumberFormat="1" applyFont="1" applyFill="1" applyBorder="1" applyAlignment="1" applyProtection="1">
      <alignment vertical="center" wrapText="1"/>
      <protection locked="0"/>
    </xf>
    <xf numFmtId="49" fontId="74" fillId="32" borderId="45" xfId="46" applyNumberFormat="1"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xf>
    <xf numFmtId="0" fontId="73"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71" fillId="0" borderId="0" xfId="0" applyFont="1" applyAlignment="1" applyProtection="1">
      <alignment horizontal="left" vertical="center" wrapText="1"/>
      <protection/>
    </xf>
    <xf numFmtId="0" fontId="73" fillId="0" borderId="0" xfId="0" applyFont="1" applyAlignment="1" applyProtection="1" quotePrefix="1">
      <alignment horizontal="center"/>
      <protection/>
    </xf>
    <xf numFmtId="0" fontId="73"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71" fillId="0" borderId="14" xfId="0" applyFont="1" applyBorder="1" applyAlignment="1" applyProtection="1">
      <alignment horizontal="left" vertical="top" wrapText="1"/>
      <protection/>
    </xf>
    <xf numFmtId="0" fontId="71" fillId="0" borderId="62" xfId="0" applyFont="1" applyBorder="1" applyAlignment="1" applyProtection="1">
      <alignment horizontal="left" vertical="top" wrapText="1"/>
      <protection/>
    </xf>
    <xf numFmtId="0" fontId="6" fillId="0" borderId="53" xfId="0" applyFont="1" applyFill="1" applyBorder="1" applyAlignment="1" applyProtection="1">
      <alignment horizontal="left" vertical="center" wrapText="1"/>
      <protection/>
    </xf>
    <xf numFmtId="0" fontId="7" fillId="0" borderId="0" xfId="0" applyFont="1" applyAlignment="1" applyProtection="1">
      <alignment horizontal="center" vertical="center" wrapText="1"/>
      <protection/>
    </xf>
    <xf numFmtId="0" fontId="70" fillId="0" borderId="0" xfId="0" applyFont="1" applyAlignment="1" applyProtection="1">
      <alignment horizontal="center" vertical="center" wrapText="1"/>
      <protection/>
    </xf>
    <xf numFmtId="0" fontId="16" fillId="0" borderId="0" xfId="0" applyFont="1" applyAlignment="1" applyProtection="1">
      <alignment horizontal="center" vertical="center" wrapText="1"/>
      <protection/>
    </xf>
    <xf numFmtId="0" fontId="83" fillId="0" borderId="0" xfId="0" applyFont="1" applyAlignment="1" applyProtection="1">
      <alignment horizontal="center" vertical="center" wrapText="1"/>
      <protection/>
    </xf>
    <xf numFmtId="49" fontId="74" fillId="32" borderId="9" xfId="46" applyNumberFormat="1" applyFont="1" applyFill="1" applyBorder="1" applyAlignment="1" applyProtection="1">
      <alignment horizontal="left" vertical="center" wrapText="1"/>
      <protection locked="0"/>
    </xf>
    <xf numFmtId="49" fontId="74" fillId="32" borderId="9" xfId="46" applyNumberFormat="1" applyFont="1" applyFill="1" applyBorder="1" applyAlignment="1" applyProtection="1">
      <alignment vertical="center" wrapText="1"/>
      <protection locked="0"/>
    </xf>
    <xf numFmtId="0" fontId="73" fillId="0" borderId="36" xfId="0" applyFont="1" applyFill="1" applyBorder="1" applyAlignment="1" applyProtection="1">
      <alignment horizontal="justify" wrapText="1"/>
      <protection/>
    </xf>
    <xf numFmtId="0" fontId="6" fillId="0" borderId="59" xfId="0" applyFont="1" applyFill="1" applyBorder="1" applyAlignment="1" applyProtection="1">
      <alignment horizontal="justify" vertical="center" wrapText="1"/>
      <protection/>
    </xf>
    <xf numFmtId="0" fontId="73" fillId="0" borderId="20" xfId="0" applyFont="1" applyBorder="1" applyAlignment="1" applyProtection="1">
      <alignment horizontal="center"/>
      <protection/>
    </xf>
    <xf numFmtId="0" fontId="71" fillId="0" borderId="29" xfId="0" applyFont="1" applyBorder="1" applyAlignment="1" applyProtection="1">
      <alignment vertical="center" wrapText="1"/>
      <protection/>
    </xf>
    <xf numFmtId="0" fontId="71" fillId="0" borderId="34" xfId="0" applyFont="1" applyBorder="1" applyAlignment="1" applyProtection="1">
      <alignment vertical="center" wrapText="1"/>
      <protection/>
    </xf>
    <xf numFmtId="0" fontId="71" fillId="0" borderId="71" xfId="0" applyFont="1" applyBorder="1" applyAlignment="1" applyProtection="1">
      <alignment vertical="center" wrapText="1"/>
      <protection/>
    </xf>
    <xf numFmtId="0" fontId="71" fillId="0" borderId="22" xfId="0" applyFont="1" applyBorder="1" applyAlignment="1" applyProtection="1">
      <alignment vertical="center" wrapText="1"/>
      <protection/>
    </xf>
    <xf numFmtId="0" fontId="73" fillId="0" borderId="24" xfId="0" applyFont="1" applyBorder="1" applyAlignment="1" applyProtection="1">
      <alignment vertical="center" wrapText="1"/>
      <protection/>
    </xf>
    <xf numFmtId="0" fontId="73" fillId="0" borderId="20" xfId="0" applyFont="1" applyBorder="1" applyAlignment="1" applyProtection="1">
      <alignment vertical="center" wrapText="1"/>
      <protection/>
    </xf>
    <xf numFmtId="0" fontId="73" fillId="0" borderId="23" xfId="0" applyFont="1" applyBorder="1" applyAlignment="1" applyProtection="1">
      <alignment vertical="center" wrapText="1"/>
      <protection/>
    </xf>
    <xf numFmtId="0" fontId="73" fillId="0" borderId="9" xfId="0" applyFont="1" applyFill="1" applyBorder="1" applyAlignment="1" applyProtection="1">
      <alignment horizontal="center"/>
      <protection/>
    </xf>
    <xf numFmtId="0" fontId="73" fillId="0" borderId="16" xfId="0" applyFont="1" applyFill="1" applyBorder="1" applyAlignment="1" applyProtection="1">
      <alignment horizontal="center"/>
      <protection/>
    </xf>
    <xf numFmtId="0" fontId="73" fillId="0" borderId="48" xfId="0" applyFont="1" applyBorder="1" applyAlignment="1" applyProtection="1">
      <alignment vertical="center"/>
      <protection/>
    </xf>
    <xf numFmtId="0" fontId="73" fillId="0" borderId="34" xfId="0" applyFont="1" applyBorder="1" applyAlignment="1" applyProtection="1">
      <alignment vertical="center" wrapText="1"/>
      <protection/>
    </xf>
    <xf numFmtId="0" fontId="73" fillId="0" borderId="71" xfId="0" applyFont="1" applyBorder="1" applyAlignment="1" applyProtection="1">
      <alignment vertical="center" wrapText="1"/>
      <protection/>
    </xf>
    <xf numFmtId="0" fontId="71" fillId="0" borderId="36" xfId="0" applyFont="1" applyBorder="1" applyAlignment="1" applyProtection="1">
      <alignment vertical="center"/>
      <protection/>
    </xf>
    <xf numFmtId="0" fontId="71" fillId="0" borderId="35" xfId="0" applyFont="1" applyBorder="1" applyAlignment="1" applyProtection="1">
      <alignment vertical="center"/>
      <protection/>
    </xf>
    <xf numFmtId="0" fontId="71" fillId="0" borderId="45" xfId="0" applyFont="1" applyBorder="1" applyAlignment="1" applyProtection="1">
      <alignment vertical="center"/>
      <protection/>
    </xf>
    <xf numFmtId="0" fontId="73" fillId="0" borderId="34" xfId="0" applyFont="1" applyFill="1" applyBorder="1" applyAlignment="1" applyProtection="1">
      <alignment vertical="center" wrapText="1"/>
      <protection/>
    </xf>
    <xf numFmtId="0" fontId="73" fillId="0" borderId="71" xfId="0" applyFont="1" applyFill="1" applyBorder="1" applyAlignment="1" applyProtection="1">
      <alignment vertical="center" wrapText="1"/>
      <protection/>
    </xf>
    <xf numFmtId="0" fontId="71" fillId="0" borderId="34" xfId="0" applyFont="1" applyFill="1" applyBorder="1" applyAlignment="1" applyProtection="1">
      <alignment vertical="center" wrapText="1"/>
      <protection/>
    </xf>
    <xf numFmtId="0" fontId="71" fillId="0" borderId="71" xfId="0" applyFont="1" applyFill="1" applyBorder="1" applyAlignment="1" applyProtection="1">
      <alignment vertical="center" wrapText="1"/>
      <protection/>
    </xf>
    <xf numFmtId="0" fontId="73" fillId="0" borderId="49" xfId="0" applyFont="1" applyFill="1" applyBorder="1" applyAlignment="1" applyProtection="1">
      <alignment vertical="center" wrapText="1"/>
      <protection/>
    </xf>
    <xf numFmtId="0" fontId="73" fillId="0" borderId="48" xfId="0" applyFont="1" applyFill="1" applyBorder="1" applyAlignment="1" applyProtection="1">
      <alignment vertical="center" wrapText="1"/>
      <protection/>
    </xf>
    <xf numFmtId="0" fontId="71" fillId="0" borderId="46" xfId="0" applyFont="1" applyBorder="1" applyAlignment="1" applyProtection="1">
      <alignment vertical="center"/>
      <protection/>
    </xf>
    <xf numFmtId="0" fontId="73" fillId="0" borderId="79" xfId="0" applyFont="1" applyBorder="1" applyAlignment="1" applyProtection="1">
      <alignment horizontal="center" vertical="center"/>
      <protection/>
    </xf>
    <xf numFmtId="0" fontId="73" fillId="34" borderId="80" xfId="0" applyFont="1" applyFill="1" applyBorder="1" applyAlignment="1" applyProtection="1">
      <alignment horizontal="center" vertical="center"/>
      <protection/>
    </xf>
    <xf numFmtId="0" fontId="73" fillId="34" borderId="81" xfId="0" applyFont="1" applyFill="1" applyBorder="1" applyAlignment="1" applyProtection="1">
      <alignment horizontal="center" vertical="center"/>
      <protection/>
    </xf>
    <xf numFmtId="0" fontId="73" fillId="34" borderId="82" xfId="0" applyFont="1" applyFill="1" applyBorder="1" applyAlignment="1" applyProtection="1">
      <alignment horizontal="center" vertical="center"/>
      <protection/>
    </xf>
    <xf numFmtId="0" fontId="71" fillId="0" borderId="20" xfId="0" applyFont="1" applyFill="1" applyBorder="1" applyAlignment="1" applyProtection="1">
      <alignment horizontal="justify" vertical="center" wrapText="1"/>
      <protection/>
    </xf>
    <xf numFmtId="0" fontId="74" fillId="32" borderId="9" xfId="0" applyFont="1" applyFill="1" applyBorder="1" applyAlignment="1" applyProtection="1">
      <alignment horizontal="center" vertical="center" wrapText="1"/>
      <protection locked="0"/>
    </xf>
    <xf numFmtId="0" fontId="74" fillId="32" borderId="16" xfId="0" applyFont="1" applyFill="1" applyBorder="1" applyAlignment="1" applyProtection="1">
      <alignment horizontal="center" vertical="center" wrapText="1"/>
      <protection locked="0"/>
    </xf>
    <xf numFmtId="0" fontId="73" fillId="0" borderId="31" xfId="0" applyFont="1" applyBorder="1" applyAlignment="1" applyProtection="1">
      <alignment horizontal="center" vertical="center" wrapText="1"/>
      <protection/>
    </xf>
    <xf numFmtId="0" fontId="73" fillId="0" borderId="36"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3" fillId="0" borderId="35" xfId="0" applyFont="1" applyBorder="1" applyAlignment="1" applyProtection="1">
      <alignment horizontal="center" vertical="center"/>
      <protection/>
    </xf>
    <xf numFmtId="0" fontId="73" fillId="0" borderId="26" xfId="0" applyFont="1" applyBorder="1" applyAlignment="1" applyProtection="1">
      <alignment horizontal="center" vertical="center" wrapText="1"/>
      <protection/>
    </xf>
    <xf numFmtId="0" fontId="73" fillId="0" borderId="11" xfId="0" applyFont="1" applyBorder="1" applyAlignment="1" applyProtection="1">
      <alignment horizontal="center" vertical="center" wrapText="1"/>
      <protection/>
    </xf>
    <xf numFmtId="44" fontId="73" fillId="0" borderId="26" xfId="0" applyNumberFormat="1" applyFont="1" applyBorder="1" applyAlignment="1" applyProtection="1">
      <alignment horizontal="center" vertical="center" wrapText="1"/>
      <protection/>
    </xf>
    <xf numFmtId="44" fontId="73" fillId="0" borderId="11" xfId="0" applyNumberFormat="1" applyFont="1" applyBorder="1" applyAlignment="1" applyProtection="1">
      <alignment horizontal="center" vertical="center" wrapText="1"/>
      <protection/>
    </xf>
    <xf numFmtId="0" fontId="73" fillId="0" borderId="31" xfId="0" applyFont="1" applyFill="1" applyBorder="1" applyAlignment="1" applyProtection="1">
      <alignment horizontal="center" wrapText="1"/>
      <protection/>
    </xf>
    <xf numFmtId="0" fontId="73" fillId="0" borderId="17" xfId="0" applyFont="1" applyFill="1" applyBorder="1" applyAlignment="1" applyProtection="1">
      <alignment horizontal="center" wrapText="1"/>
      <protection/>
    </xf>
    <xf numFmtId="0" fontId="73" fillId="0" borderId="36" xfId="0" applyFont="1" applyFill="1" applyBorder="1" applyAlignment="1" applyProtection="1">
      <alignment horizontal="center" wrapText="1"/>
      <protection/>
    </xf>
    <xf numFmtId="0" fontId="73" fillId="0" borderId="33" xfId="0" applyFont="1" applyFill="1" applyBorder="1" applyAlignment="1" applyProtection="1">
      <alignment horizontal="center" wrapText="1"/>
      <protection/>
    </xf>
    <xf numFmtId="0" fontId="71" fillId="0" borderId="14" xfId="0" applyFont="1" applyBorder="1" applyAlignment="1" applyProtection="1">
      <alignment horizontal="left" vertical="center" wrapText="1"/>
      <protection/>
    </xf>
    <xf numFmtId="0" fontId="71" fillId="0" borderId="62" xfId="0" applyFont="1" applyBorder="1" applyAlignment="1" applyProtection="1">
      <alignment horizontal="left" vertical="center" wrapText="1"/>
      <protection/>
    </xf>
    <xf numFmtId="0" fontId="71" fillId="0" borderId="53" xfId="0" applyFont="1" applyBorder="1" applyAlignment="1" applyProtection="1">
      <alignment horizontal="left" vertical="center" wrapText="1"/>
      <protection/>
    </xf>
    <xf numFmtId="0" fontId="71" fillId="0" borderId="54" xfId="0" applyFont="1" applyBorder="1" applyAlignment="1" applyProtection="1">
      <alignment horizontal="left" vertical="center" wrapText="1"/>
      <protection/>
    </xf>
    <xf numFmtId="0" fontId="73" fillId="0" borderId="19" xfId="0" applyFont="1" applyFill="1" applyBorder="1" applyAlignment="1" applyProtection="1">
      <alignment horizontal="center"/>
      <protection/>
    </xf>
    <xf numFmtId="0" fontId="66" fillId="0" borderId="25" xfId="0" applyFont="1" applyBorder="1" applyAlignment="1">
      <alignment horizontal="center"/>
    </xf>
    <xf numFmtId="0" fontId="66" fillId="0" borderId="44" xfId="0" applyFont="1" applyBorder="1" applyAlignment="1">
      <alignment horizontal="center"/>
    </xf>
    <xf numFmtId="0" fontId="66" fillId="0" borderId="32" xfId="0" applyFont="1" applyBorder="1" applyAlignment="1">
      <alignment horizontal="center"/>
    </xf>
    <xf numFmtId="0" fontId="73" fillId="0" borderId="49" xfId="0" applyFont="1" applyBorder="1" applyAlignment="1" applyProtection="1">
      <alignment vertical="center" wrapText="1"/>
      <protection/>
    </xf>
    <xf numFmtId="0" fontId="73" fillId="0" borderId="48" xfId="0" applyFont="1" applyBorder="1" applyAlignment="1" applyProtection="1">
      <alignment vertical="center" wrapText="1"/>
      <protection/>
    </xf>
    <xf numFmtId="0" fontId="71" fillId="0" borderId="83" xfId="0" applyFont="1" applyBorder="1" applyAlignment="1" applyProtection="1">
      <alignment vertical="center" wrapText="1"/>
      <protection/>
    </xf>
    <xf numFmtId="0" fontId="71" fillId="0" borderId="29" xfId="0" applyFont="1" applyFill="1" applyBorder="1" applyAlignment="1" applyProtection="1">
      <alignment vertical="center" wrapText="1"/>
      <protection/>
    </xf>
    <xf numFmtId="0" fontId="71" fillId="0" borderId="46" xfId="0" applyFont="1" applyFill="1" applyBorder="1" applyAlignment="1" applyProtection="1">
      <alignment vertical="center" wrapText="1"/>
      <protection/>
    </xf>
    <xf numFmtId="0" fontId="71" fillId="0" borderId="84" xfId="0" applyFont="1" applyFill="1" applyBorder="1" applyAlignment="1" applyProtection="1">
      <alignmen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9</xdr:col>
      <xdr:colOff>590550</xdr:colOff>
      <xdr:row>50</xdr:row>
      <xdr:rowOff>171450</xdr:rowOff>
    </xdr:to>
    <xdr:sp>
      <xdr:nvSpPr>
        <xdr:cNvPr id="1" name="TextBox 2"/>
        <xdr:cNvSpPr txBox="1">
          <a:spLocks noChangeArrowheads="1"/>
        </xdr:cNvSpPr>
      </xdr:nvSpPr>
      <xdr:spPr>
        <a:xfrm>
          <a:off x="19050" y="9525"/>
          <a:ext cx="6057900" cy="9686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a:t>
          </a:r>
          <a:r>
            <a:rPr lang="en-US" cap="none" sz="1000" b="1" i="0" u="none" baseline="0">
              <a:solidFill>
                <a:srgbClr val="000000"/>
              </a:solidFill>
              <a:latin typeface="Arial"/>
              <a:ea typeface="Arial"/>
              <a:cs typeface="Arial"/>
            </a:rPr>
            <a:t>ENROLLMENT REPORT FOR SEPTEMBER AND</a:t>
          </a:r>
          <a:r>
            <a:rPr lang="en-US" cap="none" sz="1000" b="1" i="0" u="none" baseline="0">
              <a:solidFill>
                <a:srgbClr val="000000"/>
              </a:solidFill>
              <a:latin typeface="Arial"/>
              <a:ea typeface="Arial"/>
              <a:cs typeface="Arial"/>
            </a:rPr>
            <a:t> NOVEMBER </a:t>
          </a:r>
          <a:r>
            <a:rPr lang="en-US" cap="none" sz="1000" b="1" i="0" u="none" baseline="0">
              <a:solidFill>
                <a:srgbClr val="000000"/>
              </a:solidFill>
              <a:latin typeface="Arial"/>
              <a:ea typeface="Arial"/>
              <a:cs typeface="Arial"/>
            </a:rPr>
            <a:t>2019 PAYMENT ELIGIBILITY </a:t>
          </a:r>
          <a:r>
            <a:rPr lang="en-US" cap="none" sz="1000" b="1" i="0" u="none" baseline="0">
              <a:solidFill>
                <a:srgbClr val="000000"/>
              </a:solidFill>
              <a:latin typeface="Arial"/>
              <a:ea typeface="Arial"/>
              <a:cs typeface="Arial"/>
            </a:rPr>
            <a:t>
[PI-PCP-103 (35-25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three different versions of this Excel document: 1) a document for schools with 15 or less ineligible pupils, 15 or less pupil application corrections and 5 or less pupil additions, 2) a document for schools that have up to 35 ineligible pupils, up to 35 p</a:t>
          </a:r>
          <a:r>
            <a:rPr lang="en-US" cap="none" sz="1000" b="0" i="0" u="none" baseline="0">
              <a:solidFill>
                <a:srgbClr val="000000"/>
              </a:solidFill>
              <a:latin typeface="Arial"/>
              <a:ea typeface="Arial"/>
              <a:cs typeface="Arial"/>
            </a:rPr>
            <a:t>upil application corrections </a:t>
          </a:r>
          <a:r>
            <a:rPr lang="en-US" cap="none" sz="1000" b="0" i="0" u="none" baseline="0">
              <a:solidFill>
                <a:srgbClr val="000000"/>
              </a:solidFill>
              <a:latin typeface="Arial"/>
              <a:ea typeface="Arial"/>
              <a:cs typeface="Arial"/>
            </a:rPr>
            <a:t>and up to 25 </a:t>
          </a:r>
          <a:r>
            <a:rPr lang="en-US" cap="none" sz="1000" b="0" i="0" u="none" baseline="0">
              <a:solidFill>
                <a:srgbClr val="000000"/>
              </a:solidFill>
              <a:latin typeface="Arial"/>
              <a:ea typeface="Arial"/>
              <a:cs typeface="Arial"/>
            </a:rPr>
            <a:t>pupil additions</a:t>
          </a:r>
          <a:r>
            <a:rPr lang="en-US" cap="none" sz="1000" b="0" i="0" u="none" baseline="0">
              <a:solidFill>
                <a:srgbClr val="000000"/>
              </a:solidFill>
              <a:latin typeface="Arial"/>
              <a:ea typeface="Arial"/>
              <a:cs typeface="Arial"/>
            </a:rPr>
            <a:t>, and 3) a document that allows for up to 70 ineligible pupils, up to 70 </a:t>
          </a:r>
          <a:r>
            <a:rPr lang="en-US" cap="none" sz="1000" b="0" i="0" u="none" baseline="0">
              <a:solidFill>
                <a:srgbClr val="000000"/>
              </a:solidFill>
              <a:latin typeface="Arial"/>
              <a:ea typeface="Arial"/>
              <a:cs typeface="Arial"/>
            </a:rPr>
            <a:t>pupil application corrections </a:t>
          </a:r>
          <a:r>
            <a:rPr lang="en-US" cap="none" sz="1000" b="0" i="0" u="none" baseline="0">
              <a:solidFill>
                <a:srgbClr val="000000"/>
              </a:solidFill>
              <a:latin typeface="Arial"/>
              <a:ea typeface="Arial"/>
              <a:cs typeface="Arial"/>
            </a:rPr>
            <a:t>and up to 70 pupil additions. Contact the Department </a:t>
          </a:r>
          <a:r>
            <a:rPr lang="en-US" cap="none" sz="1000" b="0" i="0" u="none" baseline="0">
              <a:solidFill>
                <a:srgbClr val="000000"/>
              </a:solidFill>
              <a:latin typeface="Arial"/>
              <a:ea typeface="Arial"/>
              <a:cs typeface="Arial"/>
            </a:rPr>
            <a:t>if you need additional lines for student application</a:t>
          </a:r>
          <a:r>
            <a:rPr lang="en-US" cap="none" sz="1000" b="0" i="0" u="none" baseline="0">
              <a:solidFill>
                <a:srgbClr val="000000"/>
              </a:solidFill>
              <a:latin typeface="Arial"/>
              <a:ea typeface="Arial"/>
              <a:cs typeface="Arial"/>
            </a:rPr>
            <a:t> information o</a:t>
          </a:r>
          <a:r>
            <a:rPr lang="en-US" cap="none" sz="1000" b="0" i="0" u="none" baseline="0">
              <a:solidFill>
                <a:srgbClr val="000000"/>
              </a:solidFill>
              <a:latin typeface="Arial"/>
              <a:ea typeface="Arial"/>
              <a:cs typeface="Arial"/>
            </a:rPr>
            <a:t>n Schedules 2, 3, </a:t>
          </a:r>
          <a:r>
            <a:rPr lang="en-US" cap="none" sz="1000" b="0" i="0" u="none" baseline="0">
              <a:solidFill>
                <a:srgbClr val="000000"/>
              </a:solidFill>
              <a:latin typeface="Arial"/>
              <a:ea typeface="Arial"/>
              <a:cs typeface="Arial"/>
            </a:rPr>
            <a:t>and/or 4</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September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Then send the complete report to the Department of Public Instruction. The</a:t>
          </a:r>
          <a:r>
            <a:rPr lang="en-US" cap="none" sz="1000" b="0" i="0" u="none" baseline="0">
              <a:solidFill>
                <a:srgbClr val="000000"/>
              </a:solidFill>
              <a:latin typeface="Arial"/>
              <a:ea typeface="Arial"/>
              <a:cs typeface="Arial"/>
            </a:rPr>
            <a:t> report is due by: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December 15, 2019</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100" b="1" i="0" u="none" baseline="0">
              <a:solidFill>
                <a:srgbClr val="000000"/>
              </a:solidFill>
              <a:latin typeface="Calibri"/>
              <a:ea typeface="Calibri"/>
              <a:cs typeface="Calibri"/>
            </a:rPr>
            <a:t>Independent Accountant’s Report on Applying Agreed-Upon Procedures, S</a:t>
          </a:r>
          <a:r>
            <a:rPr lang="en-US" cap="none" sz="1000" b="1" i="0" u="none" baseline="0">
              <a:solidFill>
                <a:srgbClr val="000000"/>
              </a:solidFill>
              <a:latin typeface="Arial"/>
              <a:ea typeface="Arial"/>
              <a:cs typeface="Arial"/>
            </a:rPr>
            <a:t>chedule 1-1, Schedule 1-2, Income and Residency Documentation</a:t>
          </a:r>
          <a:r>
            <a:rPr lang="en-US" cap="none" sz="1000" b="1" i="0" u="none" baseline="0">
              <a:solidFill>
                <a:srgbClr val="000000"/>
              </a:solidFill>
              <a:latin typeface="Arial"/>
              <a:ea typeface="Arial"/>
              <a:cs typeface="Arial"/>
            </a:rPr>
            <a:t> Sample Information</a:t>
          </a:r>
          <a:r>
            <a:rPr lang="en-US" cap="none" sz="1000" b="1" i="0" u="none" baseline="0">
              <a:solidFill>
                <a:srgbClr val="000000"/>
              </a:solidFill>
              <a:latin typeface="Arial"/>
              <a:ea typeface="Arial"/>
              <a:cs typeface="Arial"/>
            </a:rPr>
            <a:t>, Schedules 2 through 7</a:t>
          </a:r>
          <a:r>
            <a:rPr lang="en-US" cap="none" sz="1000" b="1" i="0" u="none" baseline="0">
              <a:solidFill>
                <a:srgbClr val="000000"/>
              </a:solidFill>
              <a:latin typeface="Arial"/>
              <a:ea typeface="Arial"/>
              <a:cs typeface="Arial"/>
            </a:rPr>
            <a:t> and any other supporting documentation as required per the September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a:t>
          </a:r>
          <a:r>
            <a:rPr lang="en-US" cap="none" sz="1000" b="0" i="0" u="none" baseline="0">
              <a:solidFill>
                <a:srgbClr val="000000"/>
              </a:solidFill>
              <a:latin typeface="Arial"/>
              <a:ea typeface="Arial"/>
              <a:cs typeface="Arial"/>
            </a:rPr>
            <a:t> report</a:t>
          </a:r>
          <a:r>
            <a:rPr lang="en-US" cap="none" sz="1000" b="0" i="0" u="none" baseline="0">
              <a:solidFill>
                <a:srgbClr val="000000"/>
              </a:solidFill>
              <a:latin typeface="Arial"/>
              <a:ea typeface="Arial"/>
              <a:cs typeface="Arial"/>
            </a:rPr>
            <a:t> may 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scanned and emailed </a:t>
          </a:r>
          <a:r>
            <a:rPr lang="en-US" cap="none" sz="1000" b="0" i="0" u="none" baseline="0">
              <a:solidFill>
                <a:srgbClr val="000000"/>
              </a:solidFill>
              <a:latin typeface="Arial"/>
              <a:ea typeface="Arial"/>
              <a:cs typeface="Arial"/>
            </a:rPr>
            <a:t>to dpichoiceauditreports@dpi.wi.gov. Note the individual email size limit for this mailbox is 15 mb. Reports should not be sent to individual team members or have individual team members cc'd on reports emailed to dpichoiceauditreports@dpi.wi.gov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one of the following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delivered: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125 South Webster Street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THE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695325</xdr:colOff>
      <xdr:row>0</xdr:row>
      <xdr:rowOff>714375</xdr:rowOff>
    </xdr:to>
    <xdr:pic>
      <xdr:nvPicPr>
        <xdr:cNvPr id="1" name="Picture 1" descr="logo_forms.tif"/>
        <xdr:cNvPicPr preferRelativeResize="1">
          <a:picLocks noChangeAspect="1"/>
        </xdr:cNvPicPr>
      </xdr:nvPicPr>
      <xdr:blipFill>
        <a:blip r:embed="rId1"/>
        <a:stretch>
          <a:fillRect/>
        </a:stretch>
      </xdr:blipFill>
      <xdr:spPr>
        <a:xfrm>
          <a:off x="9525" y="95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tabSelected="1" workbookViewId="0" topLeftCell="A1">
      <selection activeCell="O14" sqref="O14"/>
    </sheetView>
  </sheetViews>
  <sheetFormatPr defaultColWidth="9.140625" defaultRowHeight="15"/>
  <cols>
    <col min="10" max="10" width="11.2812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98"/>
      <c r="L11" s="98"/>
      <c r="M11" s="98"/>
      <c r="N11" s="98"/>
      <c r="O11" s="98"/>
      <c r="P11" s="98"/>
      <c r="Q11" s="98"/>
      <c r="R11" s="98"/>
      <c r="S11" s="98"/>
      <c r="T11" s="98"/>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98"/>
      <c r="L20" s="98"/>
      <c r="M20" s="98"/>
      <c r="N20" s="98"/>
      <c r="O20" s="98"/>
      <c r="P20" s="98"/>
      <c r="Q20" s="98"/>
      <c r="R20" s="98"/>
      <c r="S20" s="98"/>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98"/>
      <c r="L27" s="98"/>
      <c r="M27" s="98"/>
      <c r="N27" s="98"/>
      <c r="O27" s="98"/>
      <c r="P27" s="98"/>
      <c r="Q27" s="98"/>
      <c r="R27" s="98"/>
      <c r="S27" s="98"/>
    </row>
    <row r="28" spans="1:19" ht="15">
      <c r="A28" s="15"/>
      <c r="B28" s="15"/>
      <c r="C28" s="15"/>
      <c r="D28" s="15"/>
      <c r="E28" s="15"/>
      <c r="F28" s="15"/>
      <c r="G28" s="15"/>
      <c r="H28" s="15"/>
      <c r="I28" s="15"/>
      <c r="J28" s="15"/>
      <c r="K28" s="195"/>
      <c r="L28" s="195"/>
      <c r="M28" s="195"/>
      <c r="N28" s="195"/>
      <c r="O28" s="195"/>
      <c r="P28" s="195"/>
      <c r="Q28" s="195"/>
      <c r="R28" s="195"/>
      <c r="S28" s="98"/>
    </row>
    <row r="29" spans="1:19" ht="15">
      <c r="A29" s="15"/>
      <c r="B29" s="15"/>
      <c r="C29" s="15"/>
      <c r="D29" s="15"/>
      <c r="E29" s="15"/>
      <c r="F29" s="15"/>
      <c r="G29" s="15"/>
      <c r="H29" s="15"/>
      <c r="I29" s="15"/>
      <c r="J29" s="15"/>
      <c r="K29" s="98"/>
      <c r="L29" s="98"/>
      <c r="M29" s="98"/>
      <c r="N29" s="98"/>
      <c r="O29" s="98"/>
      <c r="P29" s="98"/>
      <c r="Q29" s="98"/>
      <c r="R29" s="98"/>
      <c r="S29" s="98"/>
    </row>
    <row r="30" spans="1:19" ht="15">
      <c r="A30" s="15"/>
      <c r="B30" s="15"/>
      <c r="C30" s="15"/>
      <c r="D30" s="15"/>
      <c r="E30" s="15"/>
      <c r="F30" s="15"/>
      <c r="G30" s="15"/>
      <c r="H30" s="15"/>
      <c r="I30" s="15"/>
      <c r="J30" s="15"/>
      <c r="K30" s="98"/>
      <c r="L30" s="98"/>
      <c r="M30" s="98"/>
      <c r="N30" s="98"/>
      <c r="O30" s="98"/>
      <c r="P30" s="98"/>
      <c r="Q30" s="98"/>
      <c r="R30" s="98"/>
      <c r="S30" s="98"/>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4.25">
      <c r="A52" s="15"/>
      <c r="B52" s="15"/>
      <c r="C52" s="15"/>
      <c r="D52" s="15"/>
      <c r="E52" s="15"/>
      <c r="F52" s="15"/>
      <c r="G52" s="15"/>
      <c r="H52" s="15"/>
      <c r="I52" s="15"/>
      <c r="J52" s="15"/>
    </row>
    <row r="53" spans="1:10" ht="14.25">
      <c r="A53" s="15"/>
      <c r="B53" s="15"/>
      <c r="C53" s="15"/>
      <c r="D53" s="15"/>
      <c r="E53" s="15"/>
      <c r="F53" s="15"/>
      <c r="G53" s="15"/>
      <c r="H53" s="15"/>
      <c r="I53" s="15"/>
      <c r="J53" s="15"/>
    </row>
    <row r="80" ht="14.25">
      <c r="A80" s="171"/>
    </row>
  </sheetData>
  <sheetProtection password="F443" sheet="1" objects="1"/>
  <printOptions horizontalCentered="1"/>
  <pageMargins left="0.5" right="0.5" top="0.4" bottom="0.32" header="0.3" footer="0.3"/>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53"/>
  <sheetViews>
    <sheetView showGridLines="0" workbookViewId="0" topLeftCell="A1">
      <pane xSplit="1" ySplit="6" topLeftCell="B7" activePane="bottomRight" state="frozen"/>
      <selection pane="topLeft" activeCell="J4" sqref="J4"/>
      <selection pane="topRight" activeCell="J4" sqref="J4"/>
      <selection pane="bottomLeft" activeCell="J4" sqref="J4"/>
      <selection pane="bottomRight" activeCell="A1" sqref="A1:J1"/>
    </sheetView>
  </sheetViews>
  <sheetFormatPr defaultColWidth="9.140625" defaultRowHeight="15"/>
  <cols>
    <col min="1" max="1" width="5.140625" style="9" customWidth="1"/>
    <col min="2" max="2" width="8.140625" style="9" customWidth="1"/>
    <col min="3" max="3" width="9.421875" style="9" customWidth="1"/>
    <col min="4" max="4" width="17.7109375" style="9" customWidth="1"/>
    <col min="5" max="5" width="19.7109375" style="9" customWidth="1"/>
    <col min="6" max="6" width="7.8515625" style="9" bestFit="1" customWidth="1"/>
    <col min="7" max="8" width="10.00390625" style="9" customWidth="1"/>
    <col min="9" max="9" width="15.140625" style="9" customWidth="1"/>
    <col min="10" max="10" width="31.28125" style="9" customWidth="1"/>
    <col min="11" max="11" width="0.71875" style="42" customWidth="1"/>
    <col min="12" max="12" width="9.140625" style="9" hidden="1" customWidth="1"/>
    <col min="13" max="16384" width="9.140625" style="9" customWidth="1"/>
  </cols>
  <sheetData>
    <row r="1" spans="1:10" ht="15" customHeight="1">
      <c r="A1" s="490" t="str">
        <f>IF(ISBLANK('Cover Page'!A4),"School Name",'Cover Page'!A4)</f>
        <v>School Name</v>
      </c>
      <c r="B1" s="490"/>
      <c r="C1" s="490"/>
      <c r="D1" s="490"/>
      <c r="E1" s="490"/>
      <c r="F1" s="490"/>
      <c r="G1" s="490"/>
      <c r="H1" s="490"/>
      <c r="I1" s="490"/>
      <c r="J1" s="490"/>
    </row>
    <row r="2" spans="1:10" ht="9.75">
      <c r="A2" s="435" t="str">
        <f>'Error Report'!A3</f>
        <v>September 20, 2019 Choice Enrollment Audit</v>
      </c>
      <c r="B2" s="435"/>
      <c r="C2" s="435"/>
      <c r="D2" s="435"/>
      <c r="E2" s="435"/>
      <c r="F2" s="435"/>
      <c r="G2" s="435"/>
      <c r="H2" s="435"/>
      <c r="I2" s="435"/>
      <c r="J2" s="435"/>
    </row>
    <row r="3" spans="1:10" ht="9.75">
      <c r="A3" s="491" t="s">
        <v>388</v>
      </c>
      <c r="B3" s="491"/>
      <c r="C3" s="491"/>
      <c r="D3" s="491"/>
      <c r="E3" s="491"/>
      <c r="F3" s="491"/>
      <c r="G3" s="491"/>
      <c r="H3" s="491"/>
      <c r="I3" s="491"/>
      <c r="J3" s="491"/>
    </row>
    <row r="4" spans="1:11" ht="97.5" customHeight="1" thickBot="1">
      <c r="A4" s="476" t="s">
        <v>532</v>
      </c>
      <c r="B4" s="476"/>
      <c r="C4" s="476"/>
      <c r="D4" s="476"/>
      <c r="E4" s="476"/>
      <c r="F4" s="476"/>
      <c r="G4" s="476"/>
      <c r="H4" s="476"/>
      <c r="I4" s="476"/>
      <c r="J4" s="476"/>
      <c r="K4" s="321"/>
    </row>
    <row r="5" spans="1:11" s="42" customFormat="1" ht="26.25" customHeight="1" thickBot="1" thickTop="1">
      <c r="A5" s="503" t="s">
        <v>389</v>
      </c>
      <c r="B5" s="503"/>
      <c r="C5" s="503"/>
      <c r="D5" s="503"/>
      <c r="E5" s="503"/>
      <c r="F5" s="503"/>
      <c r="G5" s="503"/>
      <c r="H5" s="503"/>
      <c r="I5" s="503"/>
      <c r="J5" s="229"/>
      <c r="K5" s="324"/>
    </row>
    <row r="6" spans="1:12" ht="58.5" customHeight="1" thickTop="1">
      <c r="A6" s="241" t="s">
        <v>61</v>
      </c>
      <c r="B6" s="175" t="s">
        <v>431</v>
      </c>
      <c r="C6" s="176" t="s">
        <v>60</v>
      </c>
      <c r="D6" s="178" t="s">
        <v>432</v>
      </c>
      <c r="E6" s="178" t="s">
        <v>433</v>
      </c>
      <c r="F6" s="353" t="s">
        <v>204</v>
      </c>
      <c r="G6" s="352" t="s">
        <v>400</v>
      </c>
      <c r="H6" s="352" t="s">
        <v>401</v>
      </c>
      <c r="I6" s="502" t="s">
        <v>526</v>
      </c>
      <c r="J6" s="482"/>
      <c r="K6" s="233"/>
      <c r="L6" s="39" t="s">
        <v>367</v>
      </c>
    </row>
    <row r="7" spans="1:12" s="36" customFormat="1" ht="30" customHeight="1">
      <c r="A7" s="24">
        <v>1</v>
      </c>
      <c r="B7" s="151"/>
      <c r="C7" s="29"/>
      <c r="D7" s="29"/>
      <c r="E7" s="29"/>
      <c r="F7" s="92"/>
      <c r="G7" s="52"/>
      <c r="H7" s="52"/>
      <c r="I7" s="500"/>
      <c r="J7" s="485"/>
      <c r="K7" s="322"/>
      <c r="L7" s="31">
        <f aca="true" t="shared" si="0" ref="L7:L31">IF($B7="","",VLOOKUP($B7,$D$37:$E$53,2,0))</f>
      </c>
    </row>
    <row r="8" spans="1:12" s="36" customFormat="1" ht="30" customHeight="1">
      <c r="A8" s="24">
        <v>2</v>
      </c>
      <c r="B8" s="151"/>
      <c r="C8" s="29"/>
      <c r="D8" s="29"/>
      <c r="E8" s="29"/>
      <c r="F8" s="92"/>
      <c r="G8" s="52"/>
      <c r="H8" s="52"/>
      <c r="I8" s="500"/>
      <c r="J8" s="485"/>
      <c r="K8" s="322"/>
      <c r="L8" s="31">
        <f t="shared" si="0"/>
      </c>
    </row>
    <row r="9" spans="1:12" s="36" customFormat="1" ht="30" customHeight="1">
      <c r="A9" s="24">
        <v>3</v>
      </c>
      <c r="B9" s="151"/>
      <c r="C9" s="29"/>
      <c r="D9" s="29"/>
      <c r="E9" s="29"/>
      <c r="F9" s="92"/>
      <c r="G9" s="52"/>
      <c r="H9" s="52"/>
      <c r="I9" s="500"/>
      <c r="J9" s="485"/>
      <c r="K9" s="322"/>
      <c r="L9" s="31">
        <f t="shared" si="0"/>
      </c>
    </row>
    <row r="10" spans="1:12" s="36" customFormat="1" ht="30" customHeight="1">
      <c r="A10" s="24">
        <v>4</v>
      </c>
      <c r="B10" s="151"/>
      <c r="C10" s="29"/>
      <c r="D10" s="29"/>
      <c r="E10" s="29"/>
      <c r="F10" s="92"/>
      <c r="G10" s="52"/>
      <c r="H10" s="52"/>
      <c r="I10" s="501"/>
      <c r="J10" s="484"/>
      <c r="K10" s="322"/>
      <c r="L10" s="31">
        <f t="shared" si="0"/>
      </c>
    </row>
    <row r="11" spans="1:12" s="36" customFormat="1" ht="30" customHeight="1">
      <c r="A11" s="24">
        <v>5</v>
      </c>
      <c r="B11" s="151"/>
      <c r="C11" s="29"/>
      <c r="D11" s="29"/>
      <c r="E11" s="29"/>
      <c r="F11" s="92"/>
      <c r="G11" s="52"/>
      <c r="H11" s="52"/>
      <c r="I11" s="500"/>
      <c r="J11" s="485"/>
      <c r="K11" s="322"/>
      <c r="L11" s="31">
        <f t="shared" si="0"/>
      </c>
    </row>
    <row r="12" spans="1:12" s="36" customFormat="1" ht="30" customHeight="1">
      <c r="A12" s="24">
        <v>6</v>
      </c>
      <c r="B12" s="151"/>
      <c r="C12" s="29"/>
      <c r="D12" s="29"/>
      <c r="E12" s="29"/>
      <c r="F12" s="92"/>
      <c r="G12" s="52"/>
      <c r="H12" s="52"/>
      <c r="I12" s="500"/>
      <c r="J12" s="485"/>
      <c r="K12" s="322"/>
      <c r="L12" s="31">
        <f t="shared" si="0"/>
      </c>
    </row>
    <row r="13" spans="1:12" s="36" customFormat="1" ht="30" customHeight="1">
      <c r="A13" s="24">
        <v>7</v>
      </c>
      <c r="B13" s="151"/>
      <c r="C13" s="29"/>
      <c r="D13" s="29"/>
      <c r="E13" s="29"/>
      <c r="F13" s="92"/>
      <c r="G13" s="52"/>
      <c r="H13" s="52"/>
      <c r="I13" s="501"/>
      <c r="J13" s="484"/>
      <c r="K13" s="322"/>
      <c r="L13" s="31">
        <f t="shared" si="0"/>
      </c>
    </row>
    <row r="14" spans="1:12" s="36" customFormat="1" ht="30" customHeight="1">
      <c r="A14" s="24">
        <v>8</v>
      </c>
      <c r="B14" s="151"/>
      <c r="C14" s="29"/>
      <c r="D14" s="29"/>
      <c r="E14" s="29"/>
      <c r="F14" s="92"/>
      <c r="G14" s="52"/>
      <c r="H14" s="52"/>
      <c r="I14" s="500"/>
      <c r="J14" s="485"/>
      <c r="K14" s="322"/>
      <c r="L14" s="31">
        <f t="shared" si="0"/>
      </c>
    </row>
    <row r="15" spans="1:12" s="36" customFormat="1" ht="30" customHeight="1">
      <c r="A15" s="24">
        <v>9</v>
      </c>
      <c r="B15" s="151"/>
      <c r="C15" s="29"/>
      <c r="D15" s="29"/>
      <c r="E15" s="29"/>
      <c r="F15" s="92"/>
      <c r="G15" s="52"/>
      <c r="H15" s="52"/>
      <c r="I15" s="500"/>
      <c r="J15" s="485"/>
      <c r="K15" s="322"/>
      <c r="L15" s="31">
        <f t="shared" si="0"/>
      </c>
    </row>
    <row r="16" spans="1:12" s="36" customFormat="1" ht="30" customHeight="1">
      <c r="A16" s="24">
        <v>10</v>
      </c>
      <c r="B16" s="151"/>
      <c r="C16" s="29"/>
      <c r="D16" s="29"/>
      <c r="E16" s="29"/>
      <c r="F16" s="92"/>
      <c r="G16" s="52"/>
      <c r="H16" s="52"/>
      <c r="I16" s="501"/>
      <c r="J16" s="484"/>
      <c r="K16" s="322"/>
      <c r="L16" s="31">
        <f t="shared" si="0"/>
      </c>
    </row>
    <row r="17" spans="1:12" s="36" customFormat="1" ht="30" customHeight="1">
      <c r="A17" s="24">
        <v>11</v>
      </c>
      <c r="B17" s="151"/>
      <c r="C17" s="29"/>
      <c r="D17" s="29"/>
      <c r="E17" s="29"/>
      <c r="F17" s="92"/>
      <c r="G17" s="52"/>
      <c r="H17" s="52"/>
      <c r="I17" s="500"/>
      <c r="J17" s="485"/>
      <c r="K17" s="322"/>
      <c r="L17" s="31">
        <f t="shared" si="0"/>
      </c>
    </row>
    <row r="18" spans="1:12" s="36" customFormat="1" ht="30" customHeight="1">
      <c r="A18" s="24">
        <v>12</v>
      </c>
      <c r="B18" s="151"/>
      <c r="C18" s="29"/>
      <c r="D18" s="29"/>
      <c r="E18" s="29"/>
      <c r="F18" s="92"/>
      <c r="G18" s="52"/>
      <c r="H18" s="52"/>
      <c r="I18" s="500"/>
      <c r="J18" s="485"/>
      <c r="K18" s="322"/>
      <c r="L18" s="31">
        <f t="shared" si="0"/>
      </c>
    </row>
    <row r="19" spans="1:12" s="36" customFormat="1" ht="30" customHeight="1">
      <c r="A19" s="24">
        <v>13</v>
      </c>
      <c r="B19" s="151"/>
      <c r="C19" s="29"/>
      <c r="D19" s="29"/>
      <c r="E19" s="29"/>
      <c r="F19" s="92"/>
      <c r="G19" s="52"/>
      <c r="H19" s="52"/>
      <c r="I19" s="501"/>
      <c r="J19" s="484"/>
      <c r="K19" s="322"/>
      <c r="L19" s="31">
        <f t="shared" si="0"/>
      </c>
    </row>
    <row r="20" spans="1:12" s="36" customFormat="1" ht="30" customHeight="1">
      <c r="A20" s="24">
        <v>14</v>
      </c>
      <c r="B20" s="151"/>
      <c r="C20" s="29"/>
      <c r="D20" s="29"/>
      <c r="E20" s="29"/>
      <c r="F20" s="92"/>
      <c r="G20" s="52"/>
      <c r="H20" s="52"/>
      <c r="I20" s="500"/>
      <c r="J20" s="485"/>
      <c r="K20" s="322"/>
      <c r="L20" s="31">
        <f t="shared" si="0"/>
      </c>
    </row>
    <row r="21" spans="1:12" s="36" customFormat="1" ht="30" customHeight="1">
      <c r="A21" s="24">
        <v>15</v>
      </c>
      <c r="B21" s="151"/>
      <c r="C21" s="29"/>
      <c r="D21" s="29"/>
      <c r="E21" s="29"/>
      <c r="F21" s="92"/>
      <c r="G21" s="52"/>
      <c r="H21" s="52"/>
      <c r="I21" s="500"/>
      <c r="J21" s="485"/>
      <c r="K21" s="322"/>
      <c r="L21" s="31">
        <f t="shared" si="0"/>
      </c>
    </row>
    <row r="22" spans="1:12" s="36" customFormat="1" ht="30" customHeight="1">
      <c r="A22" s="24">
        <v>16</v>
      </c>
      <c r="B22" s="151"/>
      <c r="C22" s="29"/>
      <c r="D22" s="29"/>
      <c r="E22" s="29"/>
      <c r="F22" s="92"/>
      <c r="G22" s="52"/>
      <c r="H22" s="52"/>
      <c r="I22" s="501"/>
      <c r="J22" s="484"/>
      <c r="K22" s="322"/>
      <c r="L22" s="31">
        <f t="shared" si="0"/>
      </c>
    </row>
    <row r="23" spans="1:12" s="36" customFormat="1" ht="30" customHeight="1">
      <c r="A23" s="24">
        <v>17</v>
      </c>
      <c r="B23" s="151"/>
      <c r="C23" s="29"/>
      <c r="D23" s="29"/>
      <c r="E23" s="29"/>
      <c r="F23" s="92"/>
      <c r="G23" s="52"/>
      <c r="H23" s="52"/>
      <c r="I23" s="500"/>
      <c r="J23" s="485"/>
      <c r="K23" s="322"/>
      <c r="L23" s="31">
        <f t="shared" si="0"/>
      </c>
    </row>
    <row r="24" spans="1:12" s="36" customFormat="1" ht="30" customHeight="1">
      <c r="A24" s="24">
        <v>18</v>
      </c>
      <c r="B24" s="151"/>
      <c r="C24" s="29"/>
      <c r="D24" s="29"/>
      <c r="E24" s="29"/>
      <c r="F24" s="92"/>
      <c r="G24" s="52"/>
      <c r="H24" s="52"/>
      <c r="I24" s="500"/>
      <c r="J24" s="485"/>
      <c r="K24" s="322"/>
      <c r="L24" s="31">
        <f t="shared" si="0"/>
      </c>
    </row>
    <row r="25" spans="1:12" s="36" customFormat="1" ht="30" customHeight="1">
      <c r="A25" s="24">
        <v>19</v>
      </c>
      <c r="B25" s="151"/>
      <c r="C25" s="29"/>
      <c r="D25" s="29"/>
      <c r="E25" s="29"/>
      <c r="F25" s="92"/>
      <c r="G25" s="52"/>
      <c r="H25" s="52"/>
      <c r="I25" s="501"/>
      <c r="J25" s="484"/>
      <c r="K25" s="322"/>
      <c r="L25" s="31">
        <f t="shared" si="0"/>
      </c>
    </row>
    <row r="26" spans="1:12" s="36" customFormat="1" ht="30" customHeight="1">
      <c r="A26" s="24">
        <v>20</v>
      </c>
      <c r="B26" s="151"/>
      <c r="C26" s="29"/>
      <c r="D26" s="29"/>
      <c r="E26" s="29"/>
      <c r="F26" s="92"/>
      <c r="G26" s="52"/>
      <c r="H26" s="52"/>
      <c r="I26" s="500"/>
      <c r="J26" s="485"/>
      <c r="K26" s="322"/>
      <c r="L26" s="31">
        <f t="shared" si="0"/>
      </c>
    </row>
    <row r="27" spans="1:12" s="36" customFormat="1" ht="30" customHeight="1">
      <c r="A27" s="24">
        <v>21</v>
      </c>
      <c r="B27" s="151"/>
      <c r="C27" s="29"/>
      <c r="D27" s="29"/>
      <c r="E27" s="29"/>
      <c r="F27" s="92"/>
      <c r="G27" s="52"/>
      <c r="H27" s="52"/>
      <c r="I27" s="500"/>
      <c r="J27" s="485"/>
      <c r="K27" s="322"/>
      <c r="L27" s="31">
        <f t="shared" si="0"/>
      </c>
    </row>
    <row r="28" spans="1:12" s="36" customFormat="1" ht="30" customHeight="1">
      <c r="A28" s="24">
        <v>22</v>
      </c>
      <c r="B28" s="151"/>
      <c r="C28" s="29"/>
      <c r="D28" s="29"/>
      <c r="E28" s="29"/>
      <c r="F28" s="92"/>
      <c r="G28" s="52"/>
      <c r="H28" s="52"/>
      <c r="I28" s="501"/>
      <c r="J28" s="484"/>
      <c r="K28" s="322"/>
      <c r="L28" s="31">
        <f t="shared" si="0"/>
      </c>
    </row>
    <row r="29" spans="1:12" s="36" customFormat="1" ht="30" customHeight="1">
      <c r="A29" s="24">
        <v>23</v>
      </c>
      <c r="B29" s="151"/>
      <c r="C29" s="29"/>
      <c r="D29" s="29"/>
      <c r="E29" s="29"/>
      <c r="F29" s="92"/>
      <c r="G29" s="52"/>
      <c r="H29" s="52"/>
      <c r="I29" s="500"/>
      <c r="J29" s="485"/>
      <c r="K29" s="322"/>
      <c r="L29" s="31">
        <f t="shared" si="0"/>
      </c>
    </row>
    <row r="30" spans="1:12" s="36" customFormat="1" ht="30" customHeight="1">
      <c r="A30" s="24">
        <v>24</v>
      </c>
      <c r="B30" s="151"/>
      <c r="C30" s="29"/>
      <c r="D30" s="29"/>
      <c r="E30" s="29"/>
      <c r="F30" s="92"/>
      <c r="G30" s="52"/>
      <c r="H30" s="52"/>
      <c r="I30" s="500"/>
      <c r="J30" s="485"/>
      <c r="K30" s="322"/>
      <c r="L30" s="31">
        <f t="shared" si="0"/>
      </c>
    </row>
    <row r="31" spans="1:12" s="36" customFormat="1" ht="30" customHeight="1" thickBot="1">
      <c r="A31" s="24">
        <v>25</v>
      </c>
      <c r="B31" s="151"/>
      <c r="C31" s="29"/>
      <c r="D31" s="29"/>
      <c r="E31" s="29"/>
      <c r="F31" s="92"/>
      <c r="G31" s="52"/>
      <c r="H31" s="52"/>
      <c r="I31" s="501"/>
      <c r="J31" s="484"/>
      <c r="K31" s="322"/>
      <c r="L31" s="31">
        <f t="shared" si="0"/>
      </c>
    </row>
    <row r="32" spans="1:11" s="348" customFormat="1" ht="22.5" customHeight="1" thickBot="1">
      <c r="A32" s="242" t="s">
        <v>491</v>
      </c>
      <c r="B32" s="343">
        <f>IF(ISBLANK('Cover Page'!$A$4),"",COUNTA(B7:B31))</f>
      </c>
      <c r="C32" s="343">
        <f>IF(ISBLANK('Cover Page'!$A$4),"",COUNTA(C7:C31))</f>
      </c>
      <c r="D32" s="343">
        <f>IF(ISBLANK('Cover Page'!$A$4),"",COUNTA(D7:D31))</f>
      </c>
      <c r="E32" s="343">
        <f>IF(ISBLANK('Cover Page'!$A$4),"",COUNTA(E7:E31))</f>
      </c>
      <c r="F32" s="343">
        <f>IF(ISBLANK('Cover Page'!$A$4),"",COUNTA(F7:F31))</f>
      </c>
      <c r="G32" s="343">
        <f>IF(ISBLANK('Cover Page'!$A$4),"",COUNTA(G7:G31))</f>
      </c>
      <c r="H32" s="344">
        <f>IF(ISBLANK('Cover Page'!$A$4),"",COUNTA(H7:H31))</f>
      </c>
      <c r="I32" s="345"/>
      <c r="J32" s="346"/>
      <c r="K32" s="347"/>
    </row>
    <row r="33" spans="2:11" ht="30" customHeight="1" thickTop="1">
      <c r="B33" s="496"/>
      <c r="C33" s="497"/>
      <c r="D33" s="497"/>
      <c r="E33" s="497"/>
      <c r="F33" s="497"/>
      <c r="G33" s="497"/>
      <c r="H33" s="497"/>
      <c r="I33" s="497"/>
      <c r="J33" s="497"/>
      <c r="K33" s="323"/>
    </row>
    <row r="34" spans="2:10" ht="54.75" customHeight="1">
      <c r="B34" s="498" t="s">
        <v>495</v>
      </c>
      <c r="C34" s="499"/>
      <c r="D34" s="499"/>
      <c r="E34" s="499"/>
      <c r="F34" s="499"/>
      <c r="G34" s="499"/>
      <c r="H34" s="499"/>
      <c r="I34" s="499"/>
      <c r="J34" s="499"/>
    </row>
    <row r="36" spans="4:5" ht="14.25" hidden="1">
      <c r="D36" s="183" t="s">
        <v>366</v>
      </c>
      <c r="E36" s="183" t="s">
        <v>367</v>
      </c>
    </row>
    <row r="37" spans="4:5" ht="14.25" hidden="1">
      <c r="D37" s="181" t="s">
        <v>8</v>
      </c>
      <c r="E37" t="s">
        <v>8</v>
      </c>
    </row>
    <row r="38" spans="4:5" ht="14.25" hidden="1">
      <c r="D38" s="181" t="s">
        <v>364</v>
      </c>
      <c r="E38" t="s">
        <v>44</v>
      </c>
    </row>
    <row r="39" spans="4:5" ht="14.25" hidden="1">
      <c r="D39" s="181" t="s">
        <v>392</v>
      </c>
      <c r="E39" t="s">
        <v>45</v>
      </c>
    </row>
    <row r="40" spans="4:5" ht="14.25" hidden="1">
      <c r="D40" s="181" t="s">
        <v>395</v>
      </c>
      <c r="E40" t="s">
        <v>1</v>
      </c>
    </row>
    <row r="41" spans="4:5" ht="14.25" hidden="1">
      <c r="D41" s="181" t="s">
        <v>365</v>
      </c>
      <c r="E41" t="s">
        <v>2</v>
      </c>
    </row>
    <row r="42" spans="4:5" ht="14.25" hidden="1">
      <c r="D42" s="181">
        <v>1</v>
      </c>
      <c r="E42" t="s">
        <v>83</v>
      </c>
    </row>
    <row r="43" spans="4:5" ht="14.25" hidden="1">
      <c r="D43" s="181">
        <v>2</v>
      </c>
      <c r="E43" t="s">
        <v>83</v>
      </c>
    </row>
    <row r="44" spans="4:5" ht="14.25" hidden="1">
      <c r="D44" s="181">
        <v>3</v>
      </c>
      <c r="E44" t="s">
        <v>83</v>
      </c>
    </row>
    <row r="45" spans="4:5" ht="14.25" hidden="1">
      <c r="D45" s="181">
        <v>4</v>
      </c>
      <c r="E45" t="s">
        <v>83</v>
      </c>
    </row>
    <row r="46" spans="4:5" ht="14.25" hidden="1">
      <c r="D46" s="181">
        <v>5</v>
      </c>
      <c r="E46" t="s">
        <v>83</v>
      </c>
    </row>
    <row r="47" spans="4:5" ht="14.25" hidden="1">
      <c r="D47" s="181">
        <v>6</v>
      </c>
      <c r="E47" t="s">
        <v>83</v>
      </c>
    </row>
    <row r="48" spans="4:5" ht="14.25" hidden="1">
      <c r="D48" s="181">
        <v>7</v>
      </c>
      <c r="E48" t="s">
        <v>83</v>
      </c>
    </row>
    <row r="49" spans="4:5" ht="14.25" hidden="1">
      <c r="D49" s="181">
        <v>8</v>
      </c>
      <c r="E49" t="s">
        <v>83</v>
      </c>
    </row>
    <row r="50" spans="4:5" ht="14.25" hidden="1">
      <c r="D50" s="181">
        <v>9</v>
      </c>
      <c r="E50" t="s">
        <v>69</v>
      </c>
    </row>
    <row r="51" spans="4:5" ht="14.25" hidden="1">
      <c r="D51" s="181">
        <v>10</v>
      </c>
      <c r="E51" t="s">
        <v>69</v>
      </c>
    </row>
    <row r="52" spans="4:5" ht="14.25" hidden="1">
      <c r="D52" s="181">
        <v>11</v>
      </c>
      <c r="E52" t="s">
        <v>69</v>
      </c>
    </row>
    <row r="53" spans="4:5" ht="14.25" hidden="1">
      <c r="D53" s="181">
        <v>12</v>
      </c>
      <c r="E53" t="s">
        <v>69</v>
      </c>
    </row>
  </sheetData>
  <sheetProtection password="F443" sheet="1" formatRows="0"/>
  <mergeCells count="33">
    <mergeCell ref="I8:J8"/>
    <mergeCell ref="A1:J1"/>
    <mergeCell ref="A2:J2"/>
    <mergeCell ref="A3:J3"/>
    <mergeCell ref="A4:J4"/>
    <mergeCell ref="I6:J6"/>
    <mergeCell ref="I7:J7"/>
    <mergeCell ref="A5:I5"/>
    <mergeCell ref="I9:J9"/>
    <mergeCell ref="I10:J10"/>
    <mergeCell ref="I11:J11"/>
    <mergeCell ref="I12:J12"/>
    <mergeCell ref="I16:J16"/>
    <mergeCell ref="I17:J17"/>
    <mergeCell ref="I13:J13"/>
    <mergeCell ref="I14:J14"/>
    <mergeCell ref="I15:J15"/>
    <mergeCell ref="I18:J18"/>
    <mergeCell ref="I19:J19"/>
    <mergeCell ref="I20:J20"/>
    <mergeCell ref="I21:J21"/>
    <mergeCell ref="I22:J22"/>
    <mergeCell ref="I23:J23"/>
    <mergeCell ref="B33:J33"/>
    <mergeCell ref="B34:J34"/>
    <mergeCell ref="I30:J30"/>
    <mergeCell ref="I31:J31"/>
    <mergeCell ref="I24:J24"/>
    <mergeCell ref="I25:J25"/>
    <mergeCell ref="I26:J26"/>
    <mergeCell ref="I27:J27"/>
    <mergeCell ref="I28:J28"/>
    <mergeCell ref="I29:J29"/>
  </mergeCells>
  <dataValidations count="3">
    <dataValidation type="list" allowBlank="1" showInputMessage="1" showErrorMessage="1" sqref="B7:B3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31">
      <formula1>"X,x"</formula1>
    </dataValidation>
    <dataValidation type="list" allowBlank="1" showInputMessage="1" showErrorMessage="1" sqref="F7:F31">
      <formula1>"MPCP,RPCP,WPCP"</formula1>
    </dataValidation>
  </dataValidations>
  <printOptions horizontalCentered="1"/>
  <pageMargins left="0.5" right="0.5" top="0.5" bottom="0.5" header="0.3" footer="0.3"/>
  <pageSetup fitToHeight="100" fitToWidth="1" horizontalDpi="600" verticalDpi="600" orientation="landscape" scale="94" r:id="rId2"/>
  <headerFooter>
    <oddHeader>&amp;L&amp;"Arial,Regular"&amp;8Page 7&amp;R&amp;"Arial,Regular"&amp;8PI-PCP-103 (35-25 Lines)</oddHeader>
  </headerFooter>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pane xSplit="4" ySplit="5" topLeftCell="E6" activePane="bottomRight" state="frozen"/>
      <selection pane="topLeft" activeCell="J4" sqref="J4"/>
      <selection pane="topRight" activeCell="J4" sqref="J4"/>
      <selection pane="bottomLeft" activeCell="J4" sqref="J4"/>
      <selection pane="bottomRight" activeCell="B19" sqref="B19:D19"/>
    </sheetView>
  </sheetViews>
  <sheetFormatPr defaultColWidth="9.140625" defaultRowHeight="15"/>
  <cols>
    <col min="1" max="1" width="3.140625" style="123" customWidth="1"/>
    <col min="2" max="2" width="21.57421875" style="9" customWidth="1"/>
    <col min="3" max="3" width="9.8515625" style="9" customWidth="1"/>
    <col min="4" max="4" width="25.57421875" style="9" customWidth="1"/>
    <col min="5" max="12" width="11.7109375" style="9" customWidth="1"/>
    <col min="13" max="13" width="9.140625" style="42" customWidth="1"/>
    <col min="14" max="16384" width="9.140625" style="9" customWidth="1"/>
  </cols>
  <sheetData>
    <row r="1" spans="1:12" s="42" customFormat="1" ht="15" customHeight="1">
      <c r="A1" s="458" t="str">
        <f>IF(ISBLANK('Cover Page'!A4),"School Name",'Cover Page'!A4)</f>
        <v>School Name</v>
      </c>
      <c r="B1" s="458"/>
      <c r="C1" s="458"/>
      <c r="D1" s="458"/>
      <c r="E1" s="458"/>
      <c r="F1" s="458"/>
      <c r="G1" s="458"/>
      <c r="H1" s="458"/>
      <c r="I1" s="458"/>
      <c r="J1" s="458"/>
      <c r="K1" s="458"/>
      <c r="L1" s="458"/>
    </row>
    <row r="2" spans="1:12" ht="15" customHeight="1">
      <c r="A2" s="454" t="str">
        <f>'Error Report'!A3</f>
        <v>September 20, 2019 Choice Enrollment Audit</v>
      </c>
      <c r="B2" s="454"/>
      <c r="C2" s="454"/>
      <c r="D2" s="454"/>
      <c r="E2" s="454"/>
      <c r="F2" s="454"/>
      <c r="G2" s="454"/>
      <c r="H2" s="454"/>
      <c r="I2" s="454"/>
      <c r="J2" s="454"/>
      <c r="K2" s="454"/>
      <c r="L2" s="454"/>
    </row>
    <row r="3" spans="1:12" ht="15" customHeight="1" thickBot="1">
      <c r="A3" s="504" t="s">
        <v>390</v>
      </c>
      <c r="B3" s="504"/>
      <c r="C3" s="504"/>
      <c r="D3" s="504"/>
      <c r="E3" s="504"/>
      <c r="F3" s="504"/>
      <c r="G3" s="504"/>
      <c r="H3" s="504"/>
      <c r="I3" s="504"/>
      <c r="J3" s="504"/>
      <c r="K3" s="504"/>
      <c r="L3" s="504"/>
    </row>
    <row r="4" spans="1:12" ht="22.5" customHeight="1" thickBot="1" thickTop="1">
      <c r="A4" s="82"/>
      <c r="B4" s="74"/>
      <c r="C4" s="74"/>
      <c r="D4" s="74"/>
      <c r="E4" s="527" t="s">
        <v>269</v>
      </c>
      <c r="F4" s="527"/>
      <c r="G4" s="527"/>
      <c r="H4" s="527"/>
      <c r="I4" s="527"/>
      <c r="J4" s="74"/>
      <c r="K4" s="74"/>
      <c r="L4" s="74"/>
    </row>
    <row r="5" spans="1:13" s="22" customFormat="1" ht="19.5" customHeight="1">
      <c r="A5" s="131"/>
      <c r="B5" s="132"/>
      <c r="C5" s="132"/>
      <c r="D5" s="132"/>
      <c r="E5" s="528" t="s">
        <v>187</v>
      </c>
      <c r="F5" s="529"/>
      <c r="G5" s="528" t="s">
        <v>188</v>
      </c>
      <c r="H5" s="529"/>
      <c r="I5" s="528" t="s">
        <v>96</v>
      </c>
      <c r="J5" s="530"/>
      <c r="K5" s="528" t="s">
        <v>268</v>
      </c>
      <c r="L5" s="530"/>
      <c r="M5" s="46"/>
    </row>
    <row r="6" spans="1:13" s="78" customFormat="1" ht="19.5" customHeight="1">
      <c r="A6" s="148" t="s">
        <v>287</v>
      </c>
      <c r="B6" s="417" t="s">
        <v>52</v>
      </c>
      <c r="C6" s="418"/>
      <c r="D6" s="418"/>
      <c r="E6" s="103" t="s">
        <v>281</v>
      </c>
      <c r="F6" s="104" t="s">
        <v>282</v>
      </c>
      <c r="G6" s="103" t="s">
        <v>281</v>
      </c>
      <c r="H6" s="104" t="s">
        <v>282</v>
      </c>
      <c r="I6" s="103" t="s">
        <v>281</v>
      </c>
      <c r="J6" s="104" t="s">
        <v>282</v>
      </c>
      <c r="K6" s="103" t="s">
        <v>281</v>
      </c>
      <c r="L6" s="357" t="s">
        <v>282</v>
      </c>
      <c r="M6" s="77"/>
    </row>
    <row r="7" spans="1:13" s="22" customFormat="1" ht="19.5" customHeight="1">
      <c r="A7" s="24">
        <v>1</v>
      </c>
      <c r="B7" s="428" t="s">
        <v>270</v>
      </c>
      <c r="C7" s="455"/>
      <c r="D7" s="455"/>
      <c r="E7" s="105">
        <f>'Schedule 1-2'!E8</f>
        <v>0</v>
      </c>
      <c r="F7" s="106">
        <f>+E7*0.5</f>
        <v>0</v>
      </c>
      <c r="G7" s="105">
        <f>'Schedule 1-2'!E20</f>
        <v>0</v>
      </c>
      <c r="H7" s="106">
        <f>+G7*0.5</f>
        <v>0</v>
      </c>
      <c r="I7" s="105">
        <f>'Schedule 1-2'!E32</f>
        <v>0</v>
      </c>
      <c r="J7" s="49">
        <f>+I7*0.5</f>
        <v>0</v>
      </c>
      <c r="K7" s="105">
        <f>E7+G7+I7</f>
        <v>0</v>
      </c>
      <c r="L7" s="49">
        <f>+K7*0.5</f>
        <v>0</v>
      </c>
      <c r="M7" s="46"/>
    </row>
    <row r="8" spans="1:13" s="22" customFormat="1" ht="19.5" customHeight="1">
      <c r="A8" s="24">
        <v>2</v>
      </c>
      <c r="B8" s="419" t="s">
        <v>271</v>
      </c>
      <c r="C8" s="519"/>
      <c r="D8" s="519"/>
      <c r="E8" s="105">
        <f>'Schedule 1-2'!E9</f>
        <v>0</v>
      </c>
      <c r="F8" s="106">
        <f>+E8*0.6</f>
        <v>0</v>
      </c>
      <c r="G8" s="105">
        <f>'Schedule 1-2'!E21</f>
        <v>0</v>
      </c>
      <c r="H8" s="106">
        <f>+G8*0.6</f>
        <v>0</v>
      </c>
      <c r="I8" s="105">
        <f>'Schedule 1-2'!E33</f>
        <v>0</v>
      </c>
      <c r="J8" s="49">
        <f>+I8*0.6</f>
        <v>0</v>
      </c>
      <c r="K8" s="105">
        <f aca="true" t="shared" si="0" ref="K8:K13">E8+G8+I8</f>
        <v>0</v>
      </c>
      <c r="L8" s="49">
        <f>+K8*0.6</f>
        <v>0</v>
      </c>
      <c r="M8" s="46"/>
    </row>
    <row r="9" spans="1:13" s="22" customFormat="1" ht="19.5" customHeight="1">
      <c r="A9" s="24">
        <v>3</v>
      </c>
      <c r="B9" s="419" t="s">
        <v>272</v>
      </c>
      <c r="C9" s="519"/>
      <c r="D9" s="519"/>
      <c r="E9" s="105">
        <f>'Schedule 1-2'!E10</f>
        <v>0</v>
      </c>
      <c r="F9" s="106">
        <f>+E9*0.5</f>
        <v>0</v>
      </c>
      <c r="G9" s="105">
        <f>'Schedule 1-2'!E22</f>
        <v>0</v>
      </c>
      <c r="H9" s="106">
        <f>+G9*0.5</f>
        <v>0</v>
      </c>
      <c r="I9" s="105">
        <f>'Schedule 1-2'!E34</f>
        <v>0</v>
      </c>
      <c r="J9" s="49">
        <f>+I9*0.5</f>
        <v>0</v>
      </c>
      <c r="K9" s="105">
        <f t="shared" si="0"/>
        <v>0</v>
      </c>
      <c r="L9" s="49">
        <f>+K9*0.5</f>
        <v>0</v>
      </c>
      <c r="M9" s="46"/>
    </row>
    <row r="10" spans="1:13" s="22" customFormat="1" ht="19.5" customHeight="1">
      <c r="A10" s="24">
        <v>4</v>
      </c>
      <c r="B10" s="419" t="s">
        <v>273</v>
      </c>
      <c r="C10" s="519"/>
      <c r="D10" s="519"/>
      <c r="E10" s="105">
        <f>'Schedule 1-2'!E11</f>
        <v>0</v>
      </c>
      <c r="F10" s="106">
        <f>+E10*0.6</f>
        <v>0</v>
      </c>
      <c r="G10" s="105">
        <f>'Schedule 1-2'!E23</f>
        <v>0</v>
      </c>
      <c r="H10" s="106">
        <f>+G10*0.6</f>
        <v>0</v>
      </c>
      <c r="I10" s="105">
        <f>'Schedule 1-2'!E35</f>
        <v>0</v>
      </c>
      <c r="J10" s="49">
        <f>+I10*0.6</f>
        <v>0</v>
      </c>
      <c r="K10" s="105">
        <f t="shared" si="0"/>
        <v>0</v>
      </c>
      <c r="L10" s="49">
        <f>+K10*0.6</f>
        <v>0</v>
      </c>
      <c r="M10" s="46"/>
    </row>
    <row r="11" spans="1:13" s="22" customFormat="1" ht="19.5" customHeight="1">
      <c r="A11" s="24">
        <v>5</v>
      </c>
      <c r="B11" s="419" t="s">
        <v>274</v>
      </c>
      <c r="C11" s="519"/>
      <c r="D11" s="519"/>
      <c r="E11" s="105">
        <f>'Schedule 1-2'!E12</f>
        <v>0</v>
      </c>
      <c r="F11" s="106">
        <f>+E11*0.8</f>
        <v>0</v>
      </c>
      <c r="G11" s="105">
        <f>'Schedule 1-2'!E24</f>
        <v>0</v>
      </c>
      <c r="H11" s="106">
        <f>+G11*0.8</f>
        <v>0</v>
      </c>
      <c r="I11" s="105">
        <f>'Schedule 1-2'!E36</f>
        <v>0</v>
      </c>
      <c r="J11" s="49">
        <f>+I11*0.8</f>
        <v>0</v>
      </c>
      <c r="K11" s="105">
        <f t="shared" si="0"/>
        <v>0</v>
      </c>
      <c r="L11" s="49">
        <f>+K11*0.8</f>
        <v>0</v>
      </c>
      <c r="M11" s="46"/>
    </row>
    <row r="12" spans="1:13" s="22" customFormat="1" ht="19.5" customHeight="1">
      <c r="A12" s="24">
        <v>6</v>
      </c>
      <c r="B12" s="419" t="s">
        <v>275</v>
      </c>
      <c r="C12" s="519"/>
      <c r="D12" s="519"/>
      <c r="E12" s="105">
        <f>'Schedule 1-2'!E13</f>
        <v>0</v>
      </c>
      <c r="F12" s="106">
        <f>+E12*1</f>
        <v>0</v>
      </c>
      <c r="G12" s="105">
        <f>'Schedule 1-2'!E25</f>
        <v>0</v>
      </c>
      <c r="H12" s="106">
        <f>+G12*1</f>
        <v>0</v>
      </c>
      <c r="I12" s="105">
        <f>'Schedule 1-2'!E37</f>
        <v>0</v>
      </c>
      <c r="J12" s="49">
        <f>+I12*1</f>
        <v>0</v>
      </c>
      <c r="K12" s="105">
        <f t="shared" si="0"/>
        <v>0</v>
      </c>
      <c r="L12" s="49">
        <f>+K12*1</f>
        <v>0</v>
      </c>
      <c r="M12" s="46"/>
    </row>
    <row r="13" spans="1:13" s="22" customFormat="1" ht="19.5" customHeight="1" thickBot="1">
      <c r="A13" s="43">
        <v>7</v>
      </c>
      <c r="B13" s="442" t="s">
        <v>276</v>
      </c>
      <c r="C13" s="526"/>
      <c r="D13" s="526"/>
      <c r="E13" s="105">
        <f>'Schedule 1-2'!E14</f>
        <v>0</v>
      </c>
      <c r="F13" s="107">
        <f>+E13*1</f>
        <v>0</v>
      </c>
      <c r="G13" s="105">
        <f>'Schedule 1-2'!E26</f>
        <v>0</v>
      </c>
      <c r="H13" s="107">
        <f>+G13*1</f>
        <v>0</v>
      </c>
      <c r="I13" s="105">
        <f>'Schedule 1-2'!E38</f>
        <v>0</v>
      </c>
      <c r="J13" s="48">
        <f>+I13*1</f>
        <v>0</v>
      </c>
      <c r="K13" s="105">
        <f t="shared" si="0"/>
        <v>0</v>
      </c>
      <c r="L13" s="48">
        <f>+K13*1</f>
        <v>0</v>
      </c>
      <c r="M13" s="46"/>
    </row>
    <row r="14" spans="1:13" s="78" customFormat="1" ht="19.5" customHeight="1" thickBot="1">
      <c r="A14" s="44">
        <v>8</v>
      </c>
      <c r="B14" s="520" t="s">
        <v>510</v>
      </c>
      <c r="C14" s="521"/>
      <c r="D14" s="521"/>
      <c r="E14" s="108">
        <f aca="true" t="shared" si="1" ref="E14:L14">SUM(E7:E13)</f>
        <v>0</v>
      </c>
      <c r="F14" s="109">
        <f t="shared" si="1"/>
        <v>0</v>
      </c>
      <c r="G14" s="108">
        <f t="shared" si="1"/>
        <v>0</v>
      </c>
      <c r="H14" s="109">
        <f t="shared" si="1"/>
        <v>0</v>
      </c>
      <c r="I14" s="108">
        <f t="shared" si="1"/>
        <v>0</v>
      </c>
      <c r="J14" s="81">
        <f t="shared" si="1"/>
        <v>0</v>
      </c>
      <c r="K14" s="108">
        <f t="shared" si="1"/>
        <v>0</v>
      </c>
      <c r="L14" s="81">
        <f t="shared" si="1"/>
        <v>0</v>
      </c>
      <c r="M14" s="77"/>
    </row>
    <row r="15" spans="1:13" s="22" customFormat="1" ht="19.5" customHeight="1" thickBot="1">
      <c r="A15" s="44">
        <v>9</v>
      </c>
      <c r="B15" s="522" t="str">
        <f>"K4-8 Payment Rate (50% of $"&amp;'Payment Amounts'!B2&amp;")"</f>
        <v>K4-8 Payment Rate (50% of $8046)</v>
      </c>
      <c r="C15" s="523"/>
      <c r="D15" s="523"/>
      <c r="E15" s="113"/>
      <c r="F15" s="110">
        <f>'Payment Amounts'!$B$2/2</f>
        <v>4023</v>
      </c>
      <c r="G15" s="113"/>
      <c r="H15" s="110">
        <f>'Payment Amounts'!$B$2/2</f>
        <v>4023</v>
      </c>
      <c r="I15" s="113"/>
      <c r="J15" s="110">
        <f>'Payment Amounts'!$B$2/2</f>
        <v>4023</v>
      </c>
      <c r="K15" s="113"/>
      <c r="L15" s="91">
        <f>'Payment Amounts'!$B$2/2</f>
        <v>4023</v>
      </c>
      <c r="M15" s="46"/>
    </row>
    <row r="16" spans="1:13" s="78" customFormat="1" ht="19.5" customHeight="1" thickBot="1">
      <c r="A16" s="44">
        <v>10</v>
      </c>
      <c r="B16" s="524" t="s">
        <v>284</v>
      </c>
      <c r="C16" s="525"/>
      <c r="D16" s="525"/>
      <c r="E16" s="114"/>
      <c r="F16" s="111">
        <f>F14*F15</f>
        <v>0</v>
      </c>
      <c r="G16" s="114"/>
      <c r="H16" s="111">
        <f>H14*H15</f>
        <v>0</v>
      </c>
      <c r="I16" s="114"/>
      <c r="J16" s="80">
        <f>J14*J15</f>
        <v>0</v>
      </c>
      <c r="K16" s="114"/>
      <c r="L16" s="80">
        <f>L14*L15</f>
        <v>0</v>
      </c>
      <c r="M16" s="77"/>
    </row>
    <row r="17" spans="1:12" ht="19.5" customHeight="1" thickTop="1">
      <c r="A17" s="82"/>
      <c r="B17" s="74"/>
      <c r="C17" s="74"/>
      <c r="D17" s="74"/>
      <c r="E17" s="441" t="s">
        <v>77</v>
      </c>
      <c r="F17" s="441"/>
      <c r="G17" s="441"/>
      <c r="H17" s="441"/>
      <c r="I17" s="441"/>
      <c r="J17" s="74"/>
      <c r="K17" s="74"/>
      <c r="L17" s="74"/>
    </row>
    <row r="18" spans="1:13" s="22" customFormat="1" ht="19.5" customHeight="1" thickBot="1">
      <c r="A18" s="43">
        <v>11</v>
      </c>
      <c r="B18" s="442" t="s">
        <v>277</v>
      </c>
      <c r="C18" s="526"/>
      <c r="D18" s="526"/>
      <c r="E18" s="112">
        <f>'Schedule 1-2'!E15</f>
        <v>0</v>
      </c>
      <c r="F18" s="107">
        <f>+E18*1</f>
        <v>0</v>
      </c>
      <c r="G18" s="112">
        <f>'Schedule 1-2'!E27</f>
        <v>0</v>
      </c>
      <c r="H18" s="107">
        <f>+G18*1</f>
        <v>0</v>
      </c>
      <c r="I18" s="112">
        <f>'Schedule 1-2'!E39</f>
        <v>0</v>
      </c>
      <c r="J18" s="349">
        <f>+I18*1</f>
        <v>0</v>
      </c>
      <c r="K18" s="350">
        <f>SUM(E18,G18,I18)</f>
        <v>0</v>
      </c>
      <c r="L18" s="49">
        <f>SUM(F18,H18,J18)</f>
        <v>0</v>
      </c>
      <c r="M18" s="46"/>
    </row>
    <row r="19" spans="1:13" s="22" customFormat="1" ht="19.5" customHeight="1" thickBot="1">
      <c r="A19" s="44">
        <v>12</v>
      </c>
      <c r="B19" s="522" t="str">
        <f>"9-12 Payment Rate (50% of $"&amp;'Payment Amounts'!B3&amp;")"</f>
        <v>9-12 Payment Rate (50% of $8692)</v>
      </c>
      <c r="C19" s="523"/>
      <c r="D19" s="523"/>
      <c r="E19" s="113"/>
      <c r="F19" s="110">
        <f>'Payment Amounts'!$B$3/2</f>
        <v>4346</v>
      </c>
      <c r="G19" s="113"/>
      <c r="H19" s="110">
        <f>'Payment Amounts'!$B$3/2</f>
        <v>4346</v>
      </c>
      <c r="I19" s="113"/>
      <c r="J19" s="110">
        <f>'Payment Amounts'!$B$3/2</f>
        <v>4346</v>
      </c>
      <c r="K19" s="113"/>
      <c r="L19" s="91">
        <f>'Payment Amounts'!$B$3/2</f>
        <v>4346</v>
      </c>
      <c r="M19" s="46"/>
    </row>
    <row r="20" spans="1:13" s="22" customFormat="1" ht="19.5" customHeight="1" thickBot="1">
      <c r="A20" s="44">
        <v>13</v>
      </c>
      <c r="B20" s="524" t="s">
        <v>285</v>
      </c>
      <c r="C20" s="525"/>
      <c r="D20" s="525"/>
      <c r="E20" s="114"/>
      <c r="F20" s="111">
        <f>F18*F19</f>
        <v>0</v>
      </c>
      <c r="G20" s="114"/>
      <c r="H20" s="111">
        <f>H18*H19</f>
        <v>0</v>
      </c>
      <c r="I20" s="114"/>
      <c r="J20" s="80">
        <f>J18*J19</f>
        <v>0</v>
      </c>
      <c r="K20" s="114"/>
      <c r="L20" s="80">
        <f>L18*L19</f>
        <v>0</v>
      </c>
      <c r="M20" s="46"/>
    </row>
    <row r="21" spans="1:12" ht="22.5" customHeight="1" thickTop="1">
      <c r="A21" s="82"/>
      <c r="B21" s="74"/>
      <c r="C21" s="74"/>
      <c r="D21" s="74"/>
      <c r="E21" s="441" t="s">
        <v>528</v>
      </c>
      <c r="F21" s="441"/>
      <c r="G21" s="441"/>
      <c r="H21" s="441"/>
      <c r="I21" s="441"/>
      <c r="J21" s="74"/>
      <c r="K21" s="74"/>
      <c r="L21" s="74"/>
    </row>
    <row r="22" spans="1:13" s="22" customFormat="1" ht="19.5" customHeight="1" thickBot="1">
      <c r="A22" s="24">
        <v>14</v>
      </c>
      <c r="B22" s="419" t="s">
        <v>505</v>
      </c>
      <c r="C22" s="519"/>
      <c r="D22" s="519"/>
      <c r="E22" s="105">
        <f aca="true" t="shared" si="2" ref="E22:J22">E14+E18</f>
        <v>0</v>
      </c>
      <c r="F22" s="106">
        <f t="shared" si="2"/>
        <v>0</v>
      </c>
      <c r="G22" s="105">
        <f t="shared" si="2"/>
        <v>0</v>
      </c>
      <c r="H22" s="106">
        <f t="shared" si="2"/>
        <v>0</v>
      </c>
      <c r="I22" s="105">
        <f t="shared" si="2"/>
        <v>0</v>
      </c>
      <c r="J22" s="106">
        <f t="shared" si="2"/>
        <v>0</v>
      </c>
      <c r="K22" s="49">
        <f>SUM(E22,G22,I22)</f>
        <v>0</v>
      </c>
      <c r="L22" s="49">
        <f>SUM(F22,H22,J22)</f>
        <v>0</v>
      </c>
      <c r="M22" s="46"/>
    </row>
    <row r="23" spans="1:12" ht="22.5" customHeight="1" thickTop="1">
      <c r="A23" s="82"/>
      <c r="B23" s="74"/>
      <c r="C23" s="74"/>
      <c r="D23" s="74"/>
      <c r="E23" s="441" t="s">
        <v>286</v>
      </c>
      <c r="F23" s="441"/>
      <c r="G23" s="441"/>
      <c r="H23" s="441"/>
      <c r="I23" s="441"/>
      <c r="J23" s="74"/>
      <c r="K23" s="74"/>
      <c r="L23" s="74"/>
    </row>
    <row r="24" spans="1:13" s="22" customFormat="1" ht="19.5" customHeight="1">
      <c r="A24" s="24">
        <v>15</v>
      </c>
      <c r="B24" s="428" t="s">
        <v>628</v>
      </c>
      <c r="C24" s="455"/>
      <c r="D24" s="455"/>
      <c r="E24" s="164"/>
      <c r="F24" s="84">
        <f>SUM(F16,F20)</f>
        <v>0</v>
      </c>
      <c r="G24" s="164"/>
      <c r="H24" s="84">
        <f>SUM(H16,H20)</f>
        <v>0</v>
      </c>
      <c r="I24" s="164"/>
      <c r="J24" s="84">
        <f>SUM(J16,J20)</f>
        <v>0</v>
      </c>
      <c r="K24" s="164"/>
      <c r="L24" s="84">
        <f>SUM(L16,L20)</f>
        <v>0</v>
      </c>
      <c r="M24" s="46"/>
    </row>
    <row r="25" spans="1:13" s="22" customFormat="1" ht="19.5" customHeight="1" thickBot="1">
      <c r="A25" s="128">
        <v>16</v>
      </c>
      <c r="B25" s="505" t="s">
        <v>407</v>
      </c>
      <c r="C25" s="461"/>
      <c r="D25" s="461"/>
      <c r="E25" s="165"/>
      <c r="F25" s="186">
        <f>SUMPRODUCT((Counts!$A$4:$A$414='Cover Page'!$A$4)*(Counts!$B$4:$B$414='Schedule 5'!$E$5)*(Counts!$AN$4:$AN$414))</f>
        <v>0</v>
      </c>
      <c r="G25" s="165"/>
      <c r="H25" s="186">
        <f>SUMPRODUCT((Counts!$A$4:$A$414='Cover Page'!$A$4)*(Counts!$B$4:$B$414='Schedule 5'!$G$5)*(Counts!$AN$4:$AN$414))</f>
        <v>0</v>
      </c>
      <c r="I25" s="165"/>
      <c r="J25" s="186">
        <f>SUMPRODUCT((Counts!$A$4:$A$414='Cover Page'!$A$4)*(Counts!$B$4:$B$414='Schedule 5'!$I$5)*(Counts!$AN$4:$AN$414))</f>
        <v>0</v>
      </c>
      <c r="K25" s="165"/>
      <c r="L25" s="85">
        <f>SUM(F25,H25,J25)</f>
        <v>0</v>
      </c>
      <c r="M25" s="46"/>
    </row>
    <row r="26" spans="1:13" s="22" customFormat="1" ht="19.5" customHeight="1" thickBot="1">
      <c r="A26" s="366">
        <v>17</v>
      </c>
      <c r="B26" s="515" t="s">
        <v>506</v>
      </c>
      <c r="C26" s="516"/>
      <c r="D26" s="516"/>
      <c r="E26" s="367"/>
      <c r="F26" s="368">
        <f>F24-F25</f>
        <v>0</v>
      </c>
      <c r="G26" s="367"/>
      <c r="H26" s="368">
        <f>H24-H25</f>
        <v>0</v>
      </c>
      <c r="I26" s="367"/>
      <c r="J26" s="368">
        <f>J24-J25</f>
        <v>0</v>
      </c>
      <c r="K26" s="367"/>
      <c r="L26" s="368">
        <f>L24-L25</f>
        <v>0</v>
      </c>
      <c r="M26" s="46"/>
    </row>
    <row r="27" spans="1:13" s="22" customFormat="1" ht="19.5" customHeight="1">
      <c r="A27" s="76">
        <v>18</v>
      </c>
      <c r="B27" s="517" t="s">
        <v>73</v>
      </c>
      <c r="C27" s="518"/>
      <c r="D27" s="518"/>
      <c r="E27" s="364"/>
      <c r="F27" s="365">
        <f>F28+F29</f>
        <v>0</v>
      </c>
      <c r="G27" s="364"/>
      <c r="H27" s="365">
        <f>H28+H29</f>
        <v>0</v>
      </c>
      <c r="I27" s="364"/>
      <c r="J27" s="365">
        <f>J28+J29</f>
        <v>0</v>
      </c>
      <c r="K27" s="364"/>
      <c r="L27" s="365">
        <f>SUM(F27,H27,J27)</f>
        <v>0</v>
      </c>
      <c r="M27" s="46"/>
    </row>
    <row r="28" spans="1:13" s="78" customFormat="1" ht="19.5" customHeight="1" thickBot="1">
      <c r="A28" s="73">
        <v>19</v>
      </c>
      <c r="B28" s="419" t="s">
        <v>408</v>
      </c>
      <c r="C28" s="519"/>
      <c r="D28" s="519"/>
      <c r="E28" s="187"/>
      <c r="F28" s="186">
        <f>SUMPRODUCT((Counts!$A$4:$A$414='Cover Page'!$A$4)*(Counts!$B$4:$B$414=$E$5)*(Counts!$AL$4:$AL$414))</f>
        <v>0</v>
      </c>
      <c r="G28" s="187"/>
      <c r="H28" s="186">
        <f>SUMPRODUCT((Counts!$A$4:$A$414='Cover Page'!$A$4)*(Counts!$B$4:$B$414=$G$5)*(Counts!$AL$4:$AL$414))</f>
        <v>0</v>
      </c>
      <c r="I28" s="187"/>
      <c r="J28" s="186">
        <f>SUMPRODUCT((Counts!$A$4:$A$414='Cover Page'!$A$4)*(Counts!$B$4:$B$414=$I$5)*(Counts!$AL$4:$AL$414))</f>
        <v>0</v>
      </c>
      <c r="K28" s="187"/>
      <c r="L28" s="85">
        <f>SUM(F28,H28,J28)</f>
        <v>0</v>
      </c>
      <c r="M28" s="77"/>
    </row>
    <row r="29" spans="1:13" s="22" customFormat="1" ht="19.5" customHeight="1" thickBot="1">
      <c r="A29" s="44">
        <v>20</v>
      </c>
      <c r="B29" s="520" t="s">
        <v>507</v>
      </c>
      <c r="C29" s="521"/>
      <c r="D29" s="521"/>
      <c r="E29" s="367"/>
      <c r="F29" s="111">
        <f>IF('Schedule 7'!$I$5="No",(-1*SUMPRODUCT((Counts!$A$4:$A$414='Cover Page'!$A$4)*(Counts!$B$4:$B$414='Schedule 5'!$E$5)*(Counts!$AL$4:$AL$414))),SUMPRODUCT(('Schedule 7'!$G$10:$G$39='Schedule 5'!$E$5)*('Schedule 7'!$R$10:$R$39)))</f>
        <v>0</v>
      </c>
      <c r="G29" s="367"/>
      <c r="H29" s="111">
        <f>IF('Schedule 7'!$I$5="No",(-1*SUMPRODUCT((Counts!$A$4:$A$414='Cover Page'!$A$4)*(Counts!$B$4:$B$414='Schedule 5'!$G$5)*(Counts!$AL$4:$AL$414))),SUMPRODUCT(('Schedule 7'!$G$10:$G$39='Schedule 5'!$G$5)*('Schedule 7'!$R$10:$R$39)))</f>
        <v>0</v>
      </c>
      <c r="I29" s="367"/>
      <c r="J29" s="111">
        <f>IF('Schedule 7'!$I$5="No",(-1*SUMPRODUCT((Counts!$A$4:$A$414='Cover Page'!$A$4)*(Counts!$B$4:$B$414='Schedule 5'!$I$5)*(Counts!$AL$4:$AL$414))),SUMPRODUCT(('Schedule 7'!$G$10:$G$39='Schedule 5'!$I$5)*('Schedule 7'!$R$10:$R$39)))</f>
        <v>0</v>
      </c>
      <c r="K29" s="367"/>
      <c r="L29" s="80">
        <f>SUM(F29,H29,J29)</f>
        <v>0</v>
      </c>
      <c r="M29" s="46"/>
    </row>
    <row r="30" spans="1:13" s="22" customFormat="1" ht="19.5" customHeight="1" thickBot="1">
      <c r="A30" s="369">
        <v>21</v>
      </c>
      <c r="B30" s="509" t="s">
        <v>555</v>
      </c>
      <c r="C30" s="510"/>
      <c r="D30" s="510"/>
      <c r="E30" s="370"/>
      <c r="F30" s="371">
        <f>F26+F29</f>
        <v>0</v>
      </c>
      <c r="G30" s="370"/>
      <c r="H30" s="371">
        <f>H26+H29</f>
        <v>0</v>
      </c>
      <c r="I30" s="370"/>
      <c r="J30" s="371">
        <f>J26+J29</f>
        <v>0</v>
      </c>
      <c r="K30" s="370"/>
      <c r="L30" s="371">
        <f>L26+L29</f>
        <v>0</v>
      </c>
      <c r="M30" s="46"/>
    </row>
    <row r="31" spans="1:12" ht="19.5" customHeight="1" thickBot="1" thickTop="1">
      <c r="A31" s="504" t="s">
        <v>420</v>
      </c>
      <c r="B31" s="504"/>
      <c r="C31" s="504"/>
      <c r="D31" s="504"/>
      <c r="E31" s="504"/>
      <c r="F31" s="504"/>
      <c r="G31" s="504"/>
      <c r="H31" s="504"/>
      <c r="I31" s="504"/>
      <c r="J31" s="504"/>
      <c r="K31" s="504"/>
      <c r="L31" s="504"/>
    </row>
    <row r="32" spans="1:7" ht="10.5" thickTop="1">
      <c r="A32" s="149"/>
      <c r="B32" s="42"/>
      <c r="C32" s="42"/>
      <c r="D32" s="42"/>
      <c r="E32" s="42"/>
      <c r="F32" s="42"/>
      <c r="G32" s="42"/>
    </row>
    <row r="33" spans="1:7" ht="9.75">
      <c r="A33" s="149"/>
      <c r="B33" s="42"/>
      <c r="C33" s="42"/>
      <c r="D33" s="42"/>
      <c r="E33" s="42"/>
      <c r="F33" s="42"/>
      <c r="G33" s="42"/>
    </row>
    <row r="34" spans="1:6" ht="9.75">
      <c r="A34" s="149"/>
      <c r="B34" s="42"/>
      <c r="C34" s="42"/>
      <c r="D34" s="42"/>
      <c r="E34" s="42"/>
      <c r="F34" s="42"/>
    </row>
    <row r="35" spans="1:6" ht="9.75">
      <c r="A35" s="149"/>
      <c r="B35" s="42"/>
      <c r="C35" s="42"/>
      <c r="D35" s="42"/>
      <c r="E35" s="42"/>
      <c r="F35" s="42"/>
    </row>
    <row r="36" spans="1:6" ht="9.75">
      <c r="A36" s="149"/>
      <c r="B36" s="42"/>
      <c r="C36" s="42"/>
      <c r="D36" s="42"/>
      <c r="E36" s="42"/>
      <c r="F36" s="42"/>
    </row>
    <row r="37" spans="1:6" ht="9.75">
      <c r="A37" s="149"/>
      <c r="B37" s="42"/>
      <c r="C37" s="42"/>
      <c r="D37" s="42"/>
      <c r="E37" s="42"/>
      <c r="F37" s="42"/>
    </row>
    <row r="38" spans="1:6" ht="9.75">
      <c r="A38" s="149"/>
      <c r="B38" s="42"/>
      <c r="C38" s="42"/>
      <c r="D38" s="42"/>
      <c r="E38" s="42"/>
      <c r="F38" s="42"/>
    </row>
    <row r="39" spans="1:6" ht="9.75">
      <c r="A39" s="149"/>
      <c r="B39" s="42"/>
      <c r="C39" s="42"/>
      <c r="D39" s="42"/>
      <c r="E39" s="42"/>
      <c r="F39" s="42"/>
    </row>
    <row r="40" spans="1:6" ht="9.75">
      <c r="A40" s="149"/>
      <c r="B40" s="42"/>
      <c r="C40" s="42"/>
      <c r="D40" s="42"/>
      <c r="E40" s="42"/>
      <c r="F40" s="42"/>
    </row>
    <row r="41" spans="1:6" ht="9.75">
      <c r="A41" s="149"/>
      <c r="B41" s="42"/>
      <c r="C41" s="42"/>
      <c r="D41" s="42"/>
      <c r="E41" s="42"/>
      <c r="F41" s="42"/>
    </row>
    <row r="42" spans="1:6" ht="9.75">
      <c r="A42" s="149"/>
      <c r="B42" s="42"/>
      <c r="C42" s="42"/>
      <c r="D42" s="42"/>
      <c r="E42" s="42"/>
      <c r="F42" s="42"/>
    </row>
    <row r="43" spans="1:6" ht="9.75">
      <c r="A43" s="149"/>
      <c r="B43" s="42"/>
      <c r="C43" s="42"/>
      <c r="D43" s="42"/>
      <c r="E43" s="42"/>
      <c r="F43" s="42"/>
    </row>
    <row r="44" spans="1:6" ht="9.75">
      <c r="A44" s="149"/>
      <c r="B44" s="42"/>
      <c r="C44" s="42"/>
      <c r="D44" s="42"/>
      <c r="E44" s="42"/>
      <c r="F44" s="42"/>
    </row>
    <row r="48" spans="1:7" ht="19.5" customHeight="1" hidden="1" thickTop="1">
      <c r="A48" s="82"/>
      <c r="B48" s="74"/>
      <c r="C48" s="441" t="s">
        <v>78</v>
      </c>
      <c r="D48" s="441"/>
      <c r="E48" s="74"/>
      <c r="F48" s="74"/>
      <c r="G48" s="42"/>
    </row>
    <row r="49" spans="1:13" s="75" customFormat="1" ht="19.5" customHeight="1" hidden="1">
      <c r="A49" s="83"/>
      <c r="B49" s="512" t="s">
        <v>75</v>
      </c>
      <c r="C49" s="513"/>
      <c r="D49" s="358" t="s">
        <v>82</v>
      </c>
      <c r="E49" s="358" t="s">
        <v>70</v>
      </c>
      <c r="F49" s="356" t="s">
        <v>76</v>
      </c>
      <c r="G49" s="7"/>
      <c r="M49" s="7"/>
    </row>
    <row r="50" spans="1:13" s="22" customFormat="1" ht="19.5" customHeight="1" hidden="1">
      <c r="A50" s="24">
        <v>14</v>
      </c>
      <c r="B50" s="419" t="s">
        <v>71</v>
      </c>
      <c r="C50" s="420"/>
      <c r="D50" s="117"/>
      <c r="E50" s="84">
        <f>7210*0.05</f>
        <v>360.5</v>
      </c>
      <c r="F50" s="89">
        <f>D50*E50</f>
        <v>0</v>
      </c>
      <c r="G50" s="46"/>
      <c r="M50" s="46"/>
    </row>
    <row r="51" spans="1:13" s="22" customFormat="1" ht="19.5" customHeight="1" hidden="1" thickBot="1">
      <c r="A51" s="43">
        <v>15</v>
      </c>
      <c r="B51" s="442" t="s">
        <v>72</v>
      </c>
      <c r="C51" s="443"/>
      <c r="D51" s="118"/>
      <c r="E51" s="85">
        <f>7856*0.05</f>
        <v>392.8</v>
      </c>
      <c r="F51" s="90">
        <f>D51*E51</f>
        <v>0</v>
      </c>
      <c r="G51" s="46"/>
      <c r="M51" s="46"/>
    </row>
    <row r="52" spans="1:13" s="78" customFormat="1" ht="19.5" customHeight="1" hidden="1" thickBot="1">
      <c r="A52" s="76">
        <v>16</v>
      </c>
      <c r="B52" s="439" t="s">
        <v>73</v>
      </c>
      <c r="C52" s="514"/>
      <c r="D52" s="514"/>
      <c r="E52" s="440"/>
      <c r="F52" s="93">
        <f>SUM(F50:F51)</f>
        <v>0</v>
      </c>
      <c r="G52" s="77"/>
      <c r="M52" s="77"/>
    </row>
    <row r="53" ht="9.75" hidden="1"/>
    <row r="54" ht="9.75" hidden="1"/>
    <row r="55" spans="1:13" s="22" customFormat="1" ht="19.5" customHeight="1" hidden="1">
      <c r="A55" s="24">
        <v>18</v>
      </c>
      <c r="B55" s="428" t="s">
        <v>5</v>
      </c>
      <c r="C55" s="455"/>
      <c r="D55" s="455"/>
      <c r="E55" s="429"/>
      <c r="F55" s="119"/>
      <c r="G55" s="46"/>
      <c r="M55" s="46"/>
    </row>
    <row r="56" spans="1:13" s="22" customFormat="1" ht="19.5" customHeight="1" hidden="1" thickBot="1">
      <c r="A56" s="43">
        <v>19</v>
      </c>
      <c r="B56" s="505" t="s">
        <v>74</v>
      </c>
      <c r="C56" s="461"/>
      <c r="D56" s="461"/>
      <c r="E56" s="462"/>
      <c r="F56" s="120"/>
      <c r="G56" s="46"/>
      <c r="M56" s="46"/>
    </row>
    <row r="57" spans="1:13" s="22" customFormat="1" ht="19.5" customHeight="1" hidden="1" thickBot="1">
      <c r="A57" s="73">
        <v>20</v>
      </c>
      <c r="B57" s="506" t="s">
        <v>278</v>
      </c>
      <c r="C57" s="507"/>
      <c r="D57" s="507"/>
      <c r="E57" s="508"/>
      <c r="F57" s="115">
        <f>SUM(F55:F56)</f>
        <v>0</v>
      </c>
      <c r="G57" s="46"/>
      <c r="M57" s="46"/>
    </row>
    <row r="58" spans="1:13" s="78" customFormat="1" ht="19.5" customHeight="1" hidden="1" thickBot="1">
      <c r="A58" s="45">
        <v>21</v>
      </c>
      <c r="B58" s="509" t="s">
        <v>79</v>
      </c>
      <c r="C58" s="510"/>
      <c r="D58" s="510"/>
      <c r="E58" s="511"/>
      <c r="F58" s="79" t="e">
        <f>#REF!-F57</f>
        <v>#REF!</v>
      </c>
      <c r="G58" s="77"/>
      <c r="M58" s="77"/>
    </row>
  </sheetData>
  <sheetProtection password="F443" sheet="1"/>
  <mergeCells count="43">
    <mergeCell ref="B6:D6"/>
    <mergeCell ref="A1:L1"/>
    <mergeCell ref="A2:L2"/>
    <mergeCell ref="A3:L3"/>
    <mergeCell ref="E4:I4"/>
    <mergeCell ref="E5:F5"/>
    <mergeCell ref="G5:H5"/>
    <mergeCell ref="I5:J5"/>
    <mergeCell ref="K5:L5"/>
    <mergeCell ref="B7:D7"/>
    <mergeCell ref="B8:D8"/>
    <mergeCell ref="B9:D9"/>
    <mergeCell ref="B10:D10"/>
    <mergeCell ref="B11:D11"/>
    <mergeCell ref="B12:D12"/>
    <mergeCell ref="B13:D13"/>
    <mergeCell ref="B14:D14"/>
    <mergeCell ref="B15:D15"/>
    <mergeCell ref="B16:D16"/>
    <mergeCell ref="E17:I17"/>
    <mergeCell ref="B18:D18"/>
    <mergeCell ref="B19:D19"/>
    <mergeCell ref="B20:D20"/>
    <mergeCell ref="E21:I21"/>
    <mergeCell ref="B22:D22"/>
    <mergeCell ref="B24:D24"/>
    <mergeCell ref="E23:I23"/>
    <mergeCell ref="B25:D25"/>
    <mergeCell ref="B26:D26"/>
    <mergeCell ref="B27:D27"/>
    <mergeCell ref="B28:D28"/>
    <mergeCell ref="B29:D29"/>
    <mergeCell ref="B30:D30"/>
    <mergeCell ref="A31:L31"/>
    <mergeCell ref="B56:E56"/>
    <mergeCell ref="B57:E57"/>
    <mergeCell ref="B58:E58"/>
    <mergeCell ref="C48:D48"/>
    <mergeCell ref="B49:C49"/>
    <mergeCell ref="B50:C50"/>
    <mergeCell ref="B51:C51"/>
    <mergeCell ref="B52:E52"/>
    <mergeCell ref="B55:E5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83" r:id="rId1"/>
  <headerFooter>
    <oddHeader>&amp;L&amp;"Arial,Regular"&amp;8Page 8&amp;RPI-PCP-103 (35-25 Lines)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I69"/>
  <sheetViews>
    <sheetView showGridLines="0" workbookViewId="0" topLeftCell="A1">
      <selection activeCell="A1" sqref="A1:H1"/>
    </sheetView>
  </sheetViews>
  <sheetFormatPr defaultColWidth="9.140625" defaultRowHeight="15"/>
  <cols>
    <col min="1" max="1" width="5.00390625" style="9" customWidth="1"/>
    <col min="2" max="2" width="27.421875" style="9" customWidth="1"/>
    <col min="3" max="3" width="19.140625" style="9" customWidth="1"/>
    <col min="4" max="8" width="10.8515625" style="9" customWidth="1"/>
    <col min="9" max="16384" width="9.140625" style="9" customWidth="1"/>
  </cols>
  <sheetData>
    <row r="1" spans="1:8" s="22" customFormat="1" ht="15" customHeight="1">
      <c r="A1" s="434" t="str">
        <f>IF(ISBLANK('Cover Page'!A4),"School Name",'Cover Page'!A4)</f>
        <v>School Name</v>
      </c>
      <c r="B1" s="475"/>
      <c r="C1" s="475"/>
      <c r="D1" s="475"/>
      <c r="E1" s="475"/>
      <c r="F1" s="475"/>
      <c r="G1" s="475"/>
      <c r="H1" s="475"/>
    </row>
    <row r="2" spans="1:9" s="22" customFormat="1" ht="15" customHeight="1">
      <c r="A2" s="435" t="str">
        <f>'Error Report'!A3</f>
        <v>September 20, 2019 Choice Enrollment Audit</v>
      </c>
      <c r="B2" s="435"/>
      <c r="C2" s="435"/>
      <c r="D2" s="435"/>
      <c r="E2" s="435"/>
      <c r="F2" s="435"/>
      <c r="G2" s="435"/>
      <c r="H2" s="435"/>
      <c r="I2" s="139"/>
    </row>
    <row r="3" spans="1:8" s="22" customFormat="1" ht="15" customHeight="1">
      <c r="A3" s="475" t="s">
        <v>383</v>
      </c>
      <c r="B3" s="475"/>
      <c r="C3" s="475"/>
      <c r="D3" s="475"/>
      <c r="E3" s="475"/>
      <c r="F3" s="475"/>
      <c r="G3" s="475"/>
      <c r="H3" s="475"/>
    </row>
    <row r="4" spans="1:8" s="22" customFormat="1" ht="51.75" customHeight="1" thickBot="1">
      <c r="A4" s="531" t="s">
        <v>522</v>
      </c>
      <c r="B4" s="531"/>
      <c r="C4" s="531"/>
      <c r="D4" s="531"/>
      <c r="E4" s="531"/>
      <c r="F4" s="531"/>
      <c r="G4" s="531"/>
      <c r="H4" s="531"/>
    </row>
    <row r="5" spans="1:8" ht="18.75" customHeight="1" thickTop="1">
      <c r="A5" s="23"/>
      <c r="B5" s="23"/>
      <c r="C5" s="441" t="s">
        <v>266</v>
      </c>
      <c r="D5" s="441"/>
      <c r="E5" s="441"/>
      <c r="F5" s="23"/>
      <c r="G5" s="23"/>
      <c r="H5" s="23"/>
    </row>
    <row r="6" spans="1:8" ht="13.5" customHeight="1">
      <c r="A6" s="413" t="s">
        <v>61</v>
      </c>
      <c r="B6" s="422" t="s">
        <v>63</v>
      </c>
      <c r="C6" s="423"/>
      <c r="D6" s="432" t="s">
        <v>55</v>
      </c>
      <c r="E6" s="444" t="s">
        <v>56</v>
      </c>
      <c r="F6" s="417" t="s">
        <v>7</v>
      </c>
      <c r="G6" s="418"/>
      <c r="H6" s="418"/>
    </row>
    <row r="7" spans="1:8" ht="21.75" customHeight="1">
      <c r="A7" s="414"/>
      <c r="B7" s="424"/>
      <c r="C7" s="425"/>
      <c r="D7" s="433"/>
      <c r="E7" s="445"/>
      <c r="F7" s="227" t="s">
        <v>4</v>
      </c>
      <c r="G7" s="228" t="s">
        <v>402</v>
      </c>
      <c r="H7" s="228" t="s">
        <v>403</v>
      </c>
    </row>
    <row r="8" spans="1:8" ht="19.5" customHeight="1">
      <c r="A8" s="24">
        <v>1</v>
      </c>
      <c r="B8" s="428" t="s">
        <v>0</v>
      </c>
      <c r="C8" s="429"/>
      <c r="D8" s="266">
        <f>IF('Cover Page'!$A$10="",0,VLOOKUP('Cover Page'!$A$4&amp;"-MPCP",Counts!$C$4:$AF$414,Counts!$X$418,FALSE))</f>
        <v>0</v>
      </c>
      <c r="E8" s="274">
        <f>IF('Schedule 1-1'!$I$30="No",D8+F8+G8+H8+D9,0)</f>
        <v>0</v>
      </c>
      <c r="F8" s="274">
        <f>IF('Schedule 1-1'!I30="No",-1*_xlfn.COUNTIFS('Schedule 2'!$H$8:$H$42,"MPCP",'Schedule 2'!$AK$8:$AK$42,"K4",'Schedule 2'!$C$8:$C$42,"W"),0)</f>
        <v>0</v>
      </c>
      <c r="G8" s="275">
        <f>IF('Schedule 1-1'!I30="No",_xlfn.COUNTIFS('Schedule 3'!$N$9:$N$43,1,'Schedule 3'!$P$9:$P$43,"K4",'Schedule 3'!$G$9:$G$43,"MPCP",'Schedule 3'!$C$9:$C$43,"W")+(-1*(_xlfn.COUNTIFS('Schedule 3'!$N$9:$N$43,1,'Schedule 3'!$O$9:$O$43,"K4",'Schedule 3'!$G$9:$G$43,"MPCP",'Schedule 3'!$C$9:$C$43,"W"))),0)</f>
        <v>0</v>
      </c>
      <c r="H8" s="275">
        <f>IF('Schedule 1-1'!I30="No",_xlfn.COUNTIFS('Schedule 4'!$F$7:$F$31,"MPCP",'Schedule 4'!$L$7:$L$31,"K4",'Schedule 4'!$H$7:$H$31,"X"),0)</f>
        <v>0</v>
      </c>
    </row>
    <row r="9" spans="1:8" ht="19.5" customHeight="1">
      <c r="A9" s="24">
        <v>2</v>
      </c>
      <c r="B9" s="419" t="s">
        <v>53</v>
      </c>
      <c r="C9" s="420"/>
      <c r="D9" s="266">
        <f>IF('Cover Page'!$A$10="",0,VLOOKUP('Cover Page'!$A$4&amp;"-MPCP",Counts!$C$4:$AF$414,Counts!$Y$418,FALSE))</f>
        <v>0</v>
      </c>
      <c r="E9" s="274">
        <f>IF('Schedule 1-1'!$I$30="Yes",D9+F9+G9+H9+D8,0)</f>
        <v>0</v>
      </c>
      <c r="F9" s="274">
        <f>IF('Schedule 1-1'!I30="Yes",-1*_xlfn.COUNTIFS('Schedule 2'!$H$8:$H$42,"MPCP",'Schedule 2'!$AK$8:$AK$42,"K4",'Schedule 2'!$C$8:$C$42,"W"),0)</f>
        <v>0</v>
      </c>
      <c r="G9" s="275">
        <f>IF('Schedule 1-1'!I30="Yes",_xlfn.COUNTIFS('Schedule 3'!$N$9:$N$43,1,'Schedule 3'!$P$9:$P$43,"K4",'Schedule 3'!$G$9:$G$43,"MPCP",'Schedule 3'!$C$9:$C$43,"W")+(-1*(_xlfn.COUNTIFS('Schedule 3'!$N$9:$N$43,1,'Schedule 3'!$O$9:$O$43,"K4",'Schedule 3'!$G$9:$G$43,"MPCP",'Schedule 3'!$C$9:$C$43,"W"))),0)</f>
        <v>0</v>
      </c>
      <c r="H9" s="275">
        <f>IF('Schedule 1-1'!I30="Yes",_xlfn.COUNTIFS('Schedule 4'!$F$7:$F$31,"MPCP",'Schedule 4'!$L$7:$L$31,"K4",'Schedule 4'!$H$7:$H$31,"X"),0)</f>
        <v>0</v>
      </c>
    </row>
    <row r="10" spans="1:8" ht="19.5" customHeight="1">
      <c r="A10" s="24">
        <v>3</v>
      </c>
      <c r="B10" s="419" t="s">
        <v>44</v>
      </c>
      <c r="C10" s="420"/>
      <c r="D10" s="266">
        <f>IF('Cover Page'!$A$10="",0,VLOOKUP('Cover Page'!$A$4&amp;"-MPCP",Counts!$C$4:$AF$414,Counts!$Z$418,FALSE))</f>
        <v>0</v>
      </c>
      <c r="E10" s="274">
        <f aca="true" t="shared" si="0" ref="E10:E15">D10+F10+G10+H10</f>
        <v>0</v>
      </c>
      <c r="F10" s="274">
        <f>-1*_xlfn.COUNTIFS('Schedule 2'!$H$8:$H$42,"MPCP",'Schedule 2'!$AK$8:$AK$42,$B10,'Schedule 2'!$C$8:$C$42,"W")</f>
        <v>0</v>
      </c>
      <c r="G10" s="275">
        <f>_xlfn.COUNTIFS('Schedule 3'!$N$9:$N$43,1,'Schedule 3'!$P$9:$P$43,$B10,'Schedule 3'!$G$9:$G$43,"MPCP",'Schedule 3'!$C$9:$C$43,"W")+(-1*(_xlfn.COUNTIFS('Schedule 3'!$N$9:$N$43,1,'Schedule 3'!$O$9:$O$43,'Schedule 1-2'!$B10,'Schedule 3'!$G$9:$G$43,"MPCP",'Schedule 3'!$C$9:$C$43,"W")))</f>
        <v>0</v>
      </c>
      <c r="H10" s="275">
        <f>_xlfn.COUNTIFS('Schedule 4'!$F$7:$F$31,"MPCP",'Schedule 4'!$L$7:$L$31,'Schedule 6'!B10,'Schedule 4'!$H$7:$H$31,"X")</f>
        <v>0</v>
      </c>
    </row>
    <row r="11" spans="1:8" ht="19.5" customHeight="1">
      <c r="A11" s="24">
        <v>4</v>
      </c>
      <c r="B11" s="419" t="s">
        <v>45</v>
      </c>
      <c r="C11" s="420"/>
      <c r="D11" s="266">
        <f>IF('Cover Page'!$A$10="",0,VLOOKUP('Cover Page'!$A$4&amp;"-MPCP",Counts!$C$4:$AF$414,Counts!$AA$418,FALSE))</f>
        <v>0</v>
      </c>
      <c r="E11" s="274">
        <f t="shared" si="0"/>
        <v>0</v>
      </c>
      <c r="F11" s="274">
        <f>-1*_xlfn.COUNTIFS('Schedule 2'!$H$8:$H$42,"MPCP",'Schedule 2'!$AK$8:$AK$42,$B11,'Schedule 2'!$C$8:$C$42,"W")</f>
        <v>0</v>
      </c>
      <c r="G11" s="275">
        <f>_xlfn.COUNTIFS('Schedule 3'!$N$9:$N$43,1,'Schedule 3'!$P$9:$P$43,$B11,'Schedule 3'!$G$9:$G$43,"MPCP",'Schedule 3'!$C$9:$C$43,"W")+(-1*(_xlfn.COUNTIFS('Schedule 3'!$N$9:$N$43,1,'Schedule 3'!$O$9:$O$43,'Schedule 1-2'!$B11,'Schedule 3'!$G$9:$G$43,"MPCP",'Schedule 3'!$C$9:$C$43,"W")))</f>
        <v>0</v>
      </c>
      <c r="H11" s="275">
        <f>_xlfn.COUNTIFS('Schedule 4'!$F$7:$F$31,"MPCP",'Schedule 4'!$L$7:$L$31,'Schedule 6'!B11,'Schedule 4'!$H$7:$H$31,"X")</f>
        <v>0</v>
      </c>
    </row>
    <row r="12" spans="1:8" ht="19.5" customHeight="1">
      <c r="A12" s="24">
        <v>5</v>
      </c>
      <c r="B12" s="419" t="s">
        <v>1</v>
      </c>
      <c r="C12" s="420"/>
      <c r="D12" s="266">
        <f>IF('Cover Page'!$A$10="",0,VLOOKUP('Cover Page'!$A$4&amp;"-MPCP",Counts!$C$4:$AF$414,Counts!$AB$418,FALSE))</f>
        <v>0</v>
      </c>
      <c r="E12" s="274">
        <f t="shared" si="0"/>
        <v>0</v>
      </c>
      <c r="F12" s="274">
        <f>-1*_xlfn.COUNTIFS('Schedule 2'!$H$8:$H$42,"MPCP",'Schedule 2'!$AK$8:$AK$42,$B12,'Schedule 2'!$C$8:$C$42,"W")</f>
        <v>0</v>
      </c>
      <c r="G12" s="275">
        <f>_xlfn.COUNTIFS('Schedule 3'!$N$9:$N$43,1,'Schedule 3'!$P$9:$P$43,$B12,'Schedule 3'!$G$9:$G$43,"MPCP",'Schedule 3'!$C$9:$C$43,"W")+(-1*(_xlfn.COUNTIFS('Schedule 3'!$N$9:$N$43,1,'Schedule 3'!$O$9:$O$43,'Schedule 1-2'!$B12,'Schedule 3'!$G$9:$G$43,"MPCP",'Schedule 3'!$C$9:$C$43,"W")))</f>
        <v>0</v>
      </c>
      <c r="H12" s="275">
        <f>_xlfn.COUNTIFS('Schedule 4'!$F$7:$F$31,"MPCP",'Schedule 4'!$L$7:$L$31,'Schedule 6'!B12,'Schedule 4'!$H$7:$H$31,"X")</f>
        <v>0</v>
      </c>
    </row>
    <row r="13" spans="1:8" ht="19.5" customHeight="1">
      <c r="A13" s="24">
        <v>6</v>
      </c>
      <c r="B13" s="419" t="s">
        <v>2</v>
      </c>
      <c r="C13" s="420"/>
      <c r="D13" s="266">
        <f>IF('Cover Page'!$A$10="",0,VLOOKUP('Cover Page'!$A$4&amp;"-MPCP",Counts!$C$4:$AF$414,Counts!$AC$418,FALSE))</f>
        <v>0</v>
      </c>
      <c r="E13" s="274">
        <f t="shared" si="0"/>
        <v>0</v>
      </c>
      <c r="F13" s="274">
        <f>-1*_xlfn.COUNTIFS('Schedule 2'!$H$8:$H$42,"MPCP",'Schedule 2'!$AK$8:$AK$42,$B13,'Schedule 2'!$C$8:$C$42,"W")</f>
        <v>0</v>
      </c>
      <c r="G13" s="275">
        <f>_xlfn.COUNTIFS('Schedule 3'!$N$9:$N$43,1,'Schedule 3'!$P$9:$P$43,$B13,'Schedule 3'!$G$9:$G$43,"MPCP",'Schedule 3'!$C$9:$C$43,"W")+(-1*(_xlfn.COUNTIFS('Schedule 3'!$N$9:$N$43,1,'Schedule 3'!$O$9:$O$43,'Schedule 1-2'!$B13,'Schedule 3'!$G$9:$G$43,"MPCP",'Schedule 3'!$C$9:$C$43,"W")))</f>
        <v>0</v>
      </c>
      <c r="H13" s="275">
        <f>_xlfn.COUNTIFS('Schedule 4'!$F$7:$F$31,"MPCP",'Schedule 4'!$L$7:$L$31,'Schedule 6'!B13,'Schedule 4'!$H$7:$H$31,"X")</f>
        <v>0</v>
      </c>
    </row>
    <row r="14" spans="1:8" ht="19.5" customHeight="1">
      <c r="A14" s="25">
        <v>7</v>
      </c>
      <c r="B14" s="71" t="s">
        <v>83</v>
      </c>
      <c r="C14" s="72"/>
      <c r="D14" s="266">
        <f>IF('Cover Page'!$A$10="",0,VLOOKUP('Cover Page'!$A$4&amp;"-MPCP",Counts!$C$4:$AF$414,Counts!$AD$418,FALSE))</f>
        <v>0</v>
      </c>
      <c r="E14" s="274">
        <f t="shared" si="0"/>
        <v>0</v>
      </c>
      <c r="F14" s="274">
        <f>-1*_xlfn.COUNTIFS('Schedule 2'!$H$8:$H$42,"MPCP",'Schedule 2'!$AK$8:$AK$42,$B14,'Schedule 2'!$C$8:$C$42,"W")</f>
        <v>0</v>
      </c>
      <c r="G14" s="275">
        <f>_xlfn.COUNTIFS('Schedule 3'!$N$9:$N$43,1,'Schedule 3'!$P$9:$P$43,$B14,'Schedule 3'!$G$9:$G$43,"MPCP",'Schedule 3'!$C$9:$C$43,"W")+(-1*(_xlfn.COUNTIFS('Schedule 3'!$N$9:$N$43,1,'Schedule 3'!$O$9:$O$43,'Schedule 1-2'!$B14,'Schedule 3'!$G$9:$G$43,"MPCP",'Schedule 3'!$C$9:$C$43,"W")))</f>
        <v>0</v>
      </c>
      <c r="H14" s="275">
        <f>_xlfn.COUNTIFS('Schedule 4'!$F$7:$F$31,"MPCP",'Schedule 4'!$L$7:$L$31,'Schedule 6'!B14,'Schedule 4'!$H$7:$H$31,"X")</f>
        <v>0</v>
      </c>
    </row>
    <row r="15" spans="1:8" ht="19.5" customHeight="1" thickBot="1">
      <c r="A15" s="25">
        <v>8</v>
      </c>
      <c r="B15" s="442" t="s">
        <v>69</v>
      </c>
      <c r="C15" s="443"/>
      <c r="D15" s="266">
        <f>IF('Cover Page'!$A$10="",0,VLOOKUP('Cover Page'!$A$4&amp;"-MPCP",Counts!$C$4:$AF$414,Counts!$AE$418,FALSE))</f>
        <v>0</v>
      </c>
      <c r="E15" s="274">
        <f t="shared" si="0"/>
        <v>0</v>
      </c>
      <c r="F15" s="274">
        <f>-1*_xlfn.COUNTIFS('Schedule 2'!$H$8:$H$42,"MPCP",'Schedule 2'!$AK$8:$AK$42,$B15,'Schedule 2'!$C$8:$C$42,"W")</f>
        <v>0</v>
      </c>
      <c r="G15" s="275">
        <f>_xlfn.COUNTIFS('Schedule 3'!$N$9:$N$43,1,'Schedule 3'!$P$9:$P$43,$B15,'Schedule 3'!$G$9:$G$43,"MPCP",'Schedule 3'!$C$9:$C$43,"W")+(-1*(_xlfn.COUNTIFS('Schedule 3'!$N$9:$N$43,1,'Schedule 3'!$O$9:$O$43,'Schedule 1-2'!$B15,'Schedule 3'!$G$9:$G$43,"MPCP",'Schedule 3'!$C$9:$C$43,"W")))</f>
        <v>0</v>
      </c>
      <c r="H15" s="275">
        <f>_xlfn.COUNTIFS('Schedule 4'!$F$7:$F$31,"MPCP",'Schedule 4'!$L$7:$L$31,'Schedule 6'!B15,'Schedule 4'!$H$7:$H$31,"X")</f>
        <v>0</v>
      </c>
    </row>
    <row r="16" spans="1:8" ht="19.5" customHeight="1" thickBot="1">
      <c r="A16" s="26">
        <v>9</v>
      </c>
      <c r="B16" s="439" t="s">
        <v>208</v>
      </c>
      <c r="C16" s="440"/>
      <c r="D16" s="269">
        <f>IF(ISBLANK('Cover Page'!$A$4),"",SUM(D8:D15))</f>
      </c>
      <c r="E16" s="270">
        <f>IF(ISBLANK('Cover Page'!$A$4),"",SUM(E8:E15))</f>
      </c>
      <c r="F16" s="269">
        <f>IF(ISBLANK('Cover Page'!$A$4),"",SUM(F8:F15))</f>
      </c>
      <c r="G16" s="269">
        <f>IF(ISBLANK('Cover Page'!$A$4),"",SUM(G8:G15))</f>
      </c>
      <c r="H16" s="271">
        <f>IF(ISBLANK('Cover Page'!$A$4),"",SUM(H8:H15))</f>
      </c>
    </row>
    <row r="17" spans="1:8" ht="18.75" customHeight="1" thickTop="1">
      <c r="A17" s="23"/>
      <c r="B17" s="23"/>
      <c r="C17" s="441" t="s">
        <v>267</v>
      </c>
      <c r="D17" s="441"/>
      <c r="E17" s="441"/>
      <c r="F17" s="23"/>
      <c r="G17" s="23"/>
      <c r="H17" s="23"/>
    </row>
    <row r="18" spans="1:8" ht="13.5" customHeight="1">
      <c r="A18" s="413" t="s">
        <v>61</v>
      </c>
      <c r="B18" s="422" t="s">
        <v>63</v>
      </c>
      <c r="C18" s="423"/>
      <c r="D18" s="432" t="s">
        <v>55</v>
      </c>
      <c r="E18" s="444" t="s">
        <v>56</v>
      </c>
      <c r="F18" s="417" t="s">
        <v>7</v>
      </c>
      <c r="G18" s="418"/>
      <c r="H18" s="418"/>
    </row>
    <row r="19" spans="1:8" ht="21.75" customHeight="1">
      <c r="A19" s="414"/>
      <c r="B19" s="424"/>
      <c r="C19" s="425"/>
      <c r="D19" s="433"/>
      <c r="E19" s="445"/>
      <c r="F19" s="227" t="s">
        <v>4</v>
      </c>
      <c r="G19" s="228" t="s">
        <v>402</v>
      </c>
      <c r="H19" s="228" t="s">
        <v>403</v>
      </c>
    </row>
    <row r="20" spans="1:8" ht="19.5" customHeight="1">
      <c r="A20" s="24">
        <v>10</v>
      </c>
      <c r="B20" s="428" t="s">
        <v>0</v>
      </c>
      <c r="C20" s="429"/>
      <c r="D20" s="266">
        <f>IF('Cover Page'!$A$11="",0,VLOOKUP('Cover Page'!$A$4&amp;"-RPCP",Counts!$C$4:$AF$414,Counts!$X$418,FALSE))</f>
        <v>0</v>
      </c>
      <c r="E20" s="274">
        <f>IF('Schedule 1-1'!$I$30="No",D20+F20+G20+H20+D21,0)</f>
        <v>0</v>
      </c>
      <c r="F20" s="274">
        <f>IF('Schedule 1-1'!I30="No",-1*_xlfn.COUNTIFS('Schedule 2'!$H$8:$H$42,"RPCP",'Schedule 2'!$AK$8:$AK$42,"K4",'Schedule 2'!$C$8:$C$42,"W"),0)</f>
        <v>0</v>
      </c>
      <c r="G20" s="275">
        <f>IF('Schedule 1-1'!I30="No",_xlfn.COUNTIFS('Schedule 3'!$N$9:$N$43,1,'Schedule 3'!$P$9:$P$43,"K4",'Schedule 3'!$G$9:$G$43,"RPCP",'Schedule 3'!$C$9:$C$43,"W")+(-1*(_xlfn.COUNTIFS('Schedule 3'!$N$9:$N$43,1,'Schedule 3'!$O$9:$O$43,"K4",'Schedule 3'!$G$9:$G$43,"RPCP",'Schedule 3'!$C$9:$C$43,"W"))),0)</f>
        <v>0</v>
      </c>
      <c r="H20" s="275">
        <f>IF('Schedule 1-1'!I30="No",_xlfn.COUNTIFS('Schedule 4'!$F$7:$F$31,"RPCP",'Schedule 4'!$L$7:$L$31,"K4",'Schedule 4'!$H$7:$H$31,"X"),0)</f>
        <v>0</v>
      </c>
    </row>
    <row r="21" spans="1:8" ht="19.5" customHeight="1">
      <c r="A21" s="24">
        <v>11</v>
      </c>
      <c r="B21" s="419" t="s">
        <v>53</v>
      </c>
      <c r="C21" s="420"/>
      <c r="D21" s="266">
        <f>IF('Cover Page'!$A$11="",0,VLOOKUP('Cover Page'!$A$4&amp;"-RPCP",Counts!$C$4:$AF$414,Counts!$Y$418,FALSE))</f>
        <v>0</v>
      </c>
      <c r="E21" s="274">
        <f>IF('Schedule 1-1'!$I$30="Yes",D21+F21+G21+H21+D20,0)</f>
        <v>0</v>
      </c>
      <c r="F21" s="274">
        <f>IF('Schedule 1-1'!I30="Yes",-1*_xlfn.COUNTIFS('Schedule 2'!$H$8:$H$42,"RPCP",'Schedule 2'!$AK$8:$AK$42,"K4",'Schedule 2'!$C$8:$C$42,"W"),0)</f>
        <v>0</v>
      </c>
      <c r="G21" s="275">
        <f>IF('Schedule 1-1'!I30="Yes",_xlfn.COUNTIFS('Schedule 3'!$N$9:$N$43,1,'Schedule 3'!$P$9:$P$43,"K4",'Schedule 3'!$G$9:$G$43,"RPCP",'Schedule 3'!$C$9:$C$43,"W")+(-1*(_xlfn.COUNTIFS('Schedule 3'!$N$9:$N$43,1,'Schedule 3'!$O$9:$O$43,"K4",'Schedule 3'!$G$9:$G$43,"RPCP",'Schedule 3'!$C$9:$C$43,"W"))),0)</f>
        <v>0</v>
      </c>
      <c r="H21" s="275">
        <f>IF('Schedule 1-1'!I30="Yes",_xlfn.COUNTIFS('Schedule 4'!$F$7:$F$31,"RPCP",'Schedule 4'!$L$7:$L$31,"K4",'Schedule 4'!$H$7:$H$31,"X"),0)</f>
        <v>0</v>
      </c>
    </row>
    <row r="22" spans="1:8" ht="19.5" customHeight="1">
      <c r="A22" s="24">
        <v>12</v>
      </c>
      <c r="B22" s="419" t="s">
        <v>44</v>
      </c>
      <c r="C22" s="420"/>
      <c r="D22" s="266">
        <f>IF('Cover Page'!$A$11="",0,VLOOKUP('Cover Page'!$A$4&amp;"-RPCP",Counts!$C$4:$AF$414,Counts!$Z$418,FALSE))</f>
        <v>0</v>
      </c>
      <c r="E22" s="274">
        <f aca="true" t="shared" si="1" ref="E22:E27">D22+SUM(F22:H22)</f>
        <v>0</v>
      </c>
      <c r="F22" s="274">
        <f>-1*_xlfn.COUNTIFS('Schedule 2'!$H$8:$H$42,"RPCP",'Schedule 2'!$AK$8:$AK$42,$B22,'Schedule 2'!$C$8:$C$42,"W")</f>
        <v>0</v>
      </c>
      <c r="G22" s="275">
        <f>_xlfn.COUNTIFS('Schedule 3'!$N$9:$N$43,1,'Schedule 3'!$P$9:$P$43,$B22,'Schedule 3'!$G$9:$G$43,"RPCP",'Schedule 3'!$C$9:$C$43,"W")+(-1*(_xlfn.COUNTIFS('Schedule 3'!$N$9:$N$43,1,'Schedule 3'!$O$9:$O$43,'Schedule 1-2'!$B22,'Schedule 3'!$G$9:$G$43,"RPCP",'Schedule 3'!$C$9:$C$43,"W")))</f>
        <v>0</v>
      </c>
      <c r="H22" s="275">
        <f>_xlfn.COUNTIFS('Schedule 4'!$F$7:$F$31,"RPCP",'Schedule 4'!$L$7:$L$31,'Schedule 6'!B22,'Schedule 4'!$H$7:$H$31,"X")</f>
        <v>0</v>
      </c>
    </row>
    <row r="23" spans="1:8" ht="19.5" customHeight="1">
      <c r="A23" s="24">
        <v>13</v>
      </c>
      <c r="B23" s="419" t="s">
        <v>45</v>
      </c>
      <c r="C23" s="420"/>
      <c r="D23" s="266">
        <f>IF('Cover Page'!$A$11="",0,VLOOKUP('Cover Page'!$A$4&amp;"-RPCP",Counts!$C$4:$AF$414,Counts!$AA$418,FALSE))</f>
        <v>0</v>
      </c>
      <c r="E23" s="274">
        <f t="shared" si="1"/>
        <v>0</v>
      </c>
      <c r="F23" s="274">
        <f>-1*_xlfn.COUNTIFS('Schedule 2'!$H$8:$H$42,"RPCP",'Schedule 2'!$AK$8:$AK$42,$B23,'Schedule 2'!$C$8:$C$42,"W")</f>
        <v>0</v>
      </c>
      <c r="G23" s="275">
        <f>_xlfn.COUNTIFS('Schedule 3'!$N$9:$N$43,1,'Schedule 3'!$P$9:$P$43,$B23,'Schedule 3'!$G$9:$G$43,"RPCP",'Schedule 3'!$C$9:$C$43,"W")+(-1*(_xlfn.COUNTIFS('Schedule 3'!$N$9:$N$43,1,'Schedule 3'!$O$9:$O$43,'Schedule 1-2'!$B23,'Schedule 3'!$G$9:$G$43,"RPCP",'Schedule 3'!$C$9:$C$43,"W")))</f>
        <v>0</v>
      </c>
      <c r="H23" s="275">
        <f>_xlfn.COUNTIFS('Schedule 4'!$F$7:$F$31,"RPCP",'Schedule 4'!$L$7:$L$31,'Schedule 6'!B23,'Schedule 4'!$H$7:$H$31,"X")</f>
        <v>0</v>
      </c>
    </row>
    <row r="24" spans="1:8" ht="19.5" customHeight="1">
      <c r="A24" s="24">
        <v>14</v>
      </c>
      <c r="B24" s="419" t="s">
        <v>1</v>
      </c>
      <c r="C24" s="420"/>
      <c r="D24" s="266">
        <f>IF('Cover Page'!$A$11="",0,VLOOKUP('Cover Page'!$A$4&amp;"-RPCP",Counts!$C$4:$AF$414,Counts!$AB$418,FALSE))</f>
        <v>0</v>
      </c>
      <c r="E24" s="274">
        <f t="shared" si="1"/>
        <v>0</v>
      </c>
      <c r="F24" s="274">
        <f>-1*_xlfn.COUNTIFS('Schedule 2'!$H$8:$H$42,"RPCP",'Schedule 2'!$AK$8:$AK$42,$B24,'Schedule 2'!$C$8:$C$42,"W")</f>
        <v>0</v>
      </c>
      <c r="G24" s="275">
        <f>_xlfn.COUNTIFS('Schedule 3'!$N$9:$N$43,1,'Schedule 3'!$P$9:$P$43,$B24,'Schedule 3'!$G$9:$G$43,"RPCP",'Schedule 3'!$C$9:$C$43,"W")+(-1*(_xlfn.COUNTIFS('Schedule 3'!$N$9:$N$43,1,'Schedule 3'!$O$9:$O$43,'Schedule 1-2'!$B24,'Schedule 3'!$G$9:$G$43,"RPCP",'Schedule 3'!$C$9:$C$43,"W")))</f>
        <v>0</v>
      </c>
      <c r="H24" s="275">
        <f>_xlfn.COUNTIFS('Schedule 4'!$F$7:$F$31,"RPCP",'Schedule 4'!$L$7:$L$31,'Schedule 6'!B24,'Schedule 4'!$H$7:$H$31,"X")</f>
        <v>0</v>
      </c>
    </row>
    <row r="25" spans="1:8" ht="19.5" customHeight="1">
      <c r="A25" s="24">
        <v>15</v>
      </c>
      <c r="B25" s="419" t="s">
        <v>2</v>
      </c>
      <c r="C25" s="420"/>
      <c r="D25" s="266">
        <f>IF('Cover Page'!$A$11="",0,VLOOKUP('Cover Page'!$A$4&amp;"-RPCP",Counts!$C$4:$AF$414,Counts!$AC$418,FALSE))</f>
        <v>0</v>
      </c>
      <c r="E25" s="274">
        <f t="shared" si="1"/>
        <v>0</v>
      </c>
      <c r="F25" s="274">
        <f>-1*_xlfn.COUNTIFS('Schedule 2'!$H$8:$H$42,"RPCP",'Schedule 2'!$AK$8:$AK$42,$B25,'Schedule 2'!$C$8:$C$42,"W")</f>
        <v>0</v>
      </c>
      <c r="G25" s="275">
        <f>_xlfn.COUNTIFS('Schedule 3'!$N$9:$N$43,1,'Schedule 3'!$P$9:$P$43,$B25,'Schedule 3'!$G$9:$G$43,"RPCP",'Schedule 3'!$C$9:$C$43,"W")+(-1*(_xlfn.COUNTIFS('Schedule 3'!$N$9:$N$43,1,'Schedule 3'!$O$9:$O$43,'Schedule 1-2'!$B25,'Schedule 3'!$G$9:$G$43,"RPCP",'Schedule 3'!$C$9:$C$43,"W")))</f>
        <v>0</v>
      </c>
      <c r="H25" s="275">
        <f>_xlfn.COUNTIFS('Schedule 4'!$F$7:$F$31,"RPCP",'Schedule 4'!$L$7:$L$31,'Schedule 6'!B25,'Schedule 4'!$H$7:$H$31,"X")</f>
        <v>0</v>
      </c>
    </row>
    <row r="26" spans="1:8" ht="19.5" customHeight="1">
      <c r="A26" s="24">
        <v>16</v>
      </c>
      <c r="B26" s="71" t="s">
        <v>83</v>
      </c>
      <c r="C26" s="72"/>
      <c r="D26" s="266">
        <f>IF('Cover Page'!$A$11="",0,VLOOKUP('Cover Page'!$A$4&amp;"-RPCP",Counts!$C$4:$AF$414,Counts!$AD$418,FALSE))</f>
        <v>0</v>
      </c>
      <c r="E26" s="274">
        <f t="shared" si="1"/>
        <v>0</v>
      </c>
      <c r="F26" s="274">
        <f>-1*_xlfn.COUNTIFS('Schedule 2'!$H$8:$H$42,"RPCP",'Schedule 2'!$AK$8:$AK$42,$B26,'Schedule 2'!$C$8:$C$42,"W")</f>
        <v>0</v>
      </c>
      <c r="G26" s="275">
        <f>_xlfn.COUNTIFS('Schedule 3'!$N$9:$N$43,1,'Schedule 3'!$P$9:$P$43,$B26,'Schedule 3'!$G$9:$G$43,"RPCP",'Schedule 3'!$C$9:$C$43,"W")+(-1*(_xlfn.COUNTIFS('Schedule 3'!$N$9:$N$43,1,'Schedule 3'!$O$9:$O$43,'Schedule 1-2'!$B26,'Schedule 3'!$G$9:$G$43,"RPCP",'Schedule 3'!$C$9:$C$43,"W")))</f>
        <v>0</v>
      </c>
      <c r="H26" s="275">
        <f>_xlfn.COUNTIFS('Schedule 4'!$F$7:$F$31,"RPCP",'Schedule 4'!$L$7:$L$31,'Schedule 6'!B26,'Schedule 4'!$H$7:$H$31,"X")</f>
        <v>0</v>
      </c>
    </row>
    <row r="27" spans="1:9" ht="19.5" customHeight="1" thickBot="1">
      <c r="A27" s="25">
        <v>17</v>
      </c>
      <c r="B27" s="442" t="s">
        <v>69</v>
      </c>
      <c r="C27" s="443"/>
      <c r="D27" s="266">
        <f>IF('Cover Page'!$A$11="",0,VLOOKUP('Cover Page'!$A$4&amp;"-RPCP",Counts!$C$4:$AF$414,Counts!$AE$418,FALSE))</f>
        <v>0</v>
      </c>
      <c r="E27" s="274">
        <f t="shared" si="1"/>
        <v>0</v>
      </c>
      <c r="F27" s="274">
        <f>-1*_xlfn.COUNTIFS('Schedule 2'!$H$8:$H$42,"RPCP",'Schedule 2'!$AK$8:$AK$42,$B27,'Schedule 2'!$C$8:$C$42,"W")</f>
        <v>0</v>
      </c>
      <c r="G27" s="275">
        <f>_xlfn.COUNTIFS('Schedule 3'!$N$9:$N$43,1,'Schedule 3'!$P$9:$P$43,$B27,'Schedule 3'!$G$9:$G$43,"RPCP",'Schedule 3'!$C$9:$C$43,"W")+(-1*(_xlfn.COUNTIFS('Schedule 3'!$N$9:$N$43,1,'Schedule 3'!$O$9:$O$43,'Schedule 1-2'!$B27,'Schedule 3'!$G$9:$G$43,"RPCP",'Schedule 3'!$C$9:$C$43,"W")))</f>
        <v>0</v>
      </c>
      <c r="H27" s="275">
        <f>_xlfn.COUNTIFS('Schedule 4'!$F$7:$F$31,"RPCP",'Schedule 4'!$L$7:$L$31,'Schedule 6'!B27,'Schedule 4'!$H$7:$H$31,"X")</f>
        <v>0</v>
      </c>
      <c r="I27" s="303"/>
    </row>
    <row r="28" spans="1:9" ht="19.5" customHeight="1" thickBot="1">
      <c r="A28" s="26">
        <v>18</v>
      </c>
      <c r="B28" s="439" t="s">
        <v>210</v>
      </c>
      <c r="C28" s="440"/>
      <c r="D28" s="269">
        <f>IF(ISBLANK('Cover Page'!$A$4),"",SUM(D20:D27))</f>
      </c>
      <c r="E28" s="270">
        <f>IF(ISBLANK('Cover Page'!$A$4),"",SUM(E20:E27))</f>
      </c>
      <c r="F28" s="269">
        <f>IF(ISBLANK('Cover Page'!$A$4),"",SUM(F20:F27))</f>
      </c>
      <c r="G28" s="269">
        <f>IF(ISBLANK('Cover Page'!$A$4),"",SUM(G20:G27))</f>
      </c>
      <c r="H28" s="271">
        <f>IF(ISBLANK('Cover Page'!$A$4),"",SUM(H20:H27))</f>
      </c>
      <c r="I28" s="303"/>
    </row>
    <row r="29" spans="1:9" ht="18.75" customHeight="1" thickTop="1">
      <c r="A29" s="23"/>
      <c r="B29" s="23"/>
      <c r="C29" s="441" t="s">
        <v>288</v>
      </c>
      <c r="D29" s="441"/>
      <c r="E29" s="441"/>
      <c r="F29" s="23"/>
      <c r="G29" s="23"/>
      <c r="H29" s="23"/>
      <c r="I29" s="303"/>
    </row>
    <row r="30" spans="1:9" ht="13.5" customHeight="1">
      <c r="A30" s="413" t="s">
        <v>61</v>
      </c>
      <c r="B30" s="422" t="s">
        <v>63</v>
      </c>
      <c r="C30" s="423"/>
      <c r="D30" s="432" t="s">
        <v>55</v>
      </c>
      <c r="E30" s="444" t="s">
        <v>56</v>
      </c>
      <c r="F30" s="417" t="s">
        <v>7</v>
      </c>
      <c r="G30" s="418"/>
      <c r="H30" s="418"/>
      <c r="I30" s="303"/>
    </row>
    <row r="31" spans="1:9" ht="21.75" customHeight="1">
      <c r="A31" s="414"/>
      <c r="B31" s="424"/>
      <c r="C31" s="425"/>
      <c r="D31" s="433"/>
      <c r="E31" s="445"/>
      <c r="F31" s="227" t="s">
        <v>4</v>
      </c>
      <c r="G31" s="228" t="s">
        <v>402</v>
      </c>
      <c r="H31" s="228" t="s">
        <v>403</v>
      </c>
      <c r="I31" s="303"/>
    </row>
    <row r="32" spans="1:9" ht="19.5" customHeight="1">
      <c r="A32" s="24">
        <v>19</v>
      </c>
      <c r="B32" s="428" t="s">
        <v>0</v>
      </c>
      <c r="C32" s="429"/>
      <c r="D32" s="266">
        <f>IF('Cover Page'!$A$12="",0,VLOOKUP('Cover Page'!$A$4&amp;"-WPCP",Counts!$C$4:$AF$414,Counts!$X$418,FALSE))</f>
        <v>0</v>
      </c>
      <c r="E32" s="274">
        <f>IF('Schedule 1-1'!$I$30="No",D32+F32+G32+H32+D33,0)</f>
        <v>0</v>
      </c>
      <c r="F32" s="274">
        <f>IF('Schedule 1-1'!I30="No",-1*_xlfn.COUNTIFS('Schedule 2'!$H$8:$H$42,"WPCP",'Schedule 2'!$AK$8:$AK$42,"K4",'Schedule 2'!$C$8:$C$42,"W"),0)</f>
        <v>0</v>
      </c>
      <c r="G32" s="275">
        <f>IF('Schedule 1-1'!I30="No",_xlfn.COUNTIFS('Schedule 3'!$N$9:$N$43,1,'Schedule 3'!$P$9:$P$43,"K4",'Schedule 3'!$G$9:$G$43,"WPCP",'Schedule 3'!$C$9:$C$43,"W")+(-1*(_xlfn.COUNTIFS('Schedule 3'!$N$9:$N$43,1,'Schedule 3'!$O$9:$O$43,"K4",'Schedule 3'!$G$9:$G$43,"WPCP",'Schedule 3'!$C$9:$C$43,"W"))),0)</f>
        <v>0</v>
      </c>
      <c r="H32" s="275">
        <f>IF('Schedule 1-1'!I30="No",_xlfn.COUNTIFS('Schedule 4'!$F$7:$F$31,"WPCP",'Schedule 4'!$L$7:$L$31,"K4",'Schedule 4'!$H$7:$H$31,"X"),0)</f>
        <v>0</v>
      </c>
      <c r="I32" s="303"/>
    </row>
    <row r="33" spans="1:9" ht="19.5" customHeight="1">
      <c r="A33" s="24">
        <v>20</v>
      </c>
      <c r="B33" s="419" t="s">
        <v>53</v>
      </c>
      <c r="C33" s="420"/>
      <c r="D33" s="266">
        <f>IF('Cover Page'!$A$12="",0,VLOOKUP('Cover Page'!$A$4&amp;"-WPCP",Counts!$C$4:$AF$414,Counts!$Y$418,FALSE))</f>
        <v>0</v>
      </c>
      <c r="E33" s="274">
        <f>IF('Schedule 1-1'!$I$30="Yes",D33+F33+G33+H33+D32,0)</f>
        <v>0</v>
      </c>
      <c r="F33" s="274">
        <f>IF('Schedule 1-1'!I30="Yes",-1*_xlfn.COUNTIFS('Schedule 2'!$H$8:$H$42,"WPCP",'Schedule 2'!$AK$8:$AK$42,"K4",'Schedule 2'!$C$8:$C$42,"W"),0)</f>
        <v>0</v>
      </c>
      <c r="G33" s="275">
        <f>IF('Schedule 1-1'!I30="Yes",_xlfn.COUNTIFS('Schedule 3'!$N$9:$N$43,1,'Schedule 3'!$P$9:$P$43,"K4",'Schedule 3'!$G$9:$G$43,"WPCP",'Schedule 3'!$C$9:$C$43,"W")+(-1*(_xlfn.COUNTIFS('Schedule 3'!$N$9:$N$43,1,'Schedule 3'!$O$9:$O$43,"K4",'Schedule 3'!$G$9:$G$43,"WPCP",'Schedule 3'!$C$9:$C$43,"W"))),0)</f>
        <v>0</v>
      </c>
      <c r="H33" s="275">
        <f>IF('Schedule 1-1'!I30="Yes",_xlfn.COUNTIFS('Schedule 4'!$F$7:$F$31,"WPCP",'Schedule 4'!$L$7:$L$31,"K4",'Schedule 4'!$H$7:$H$31,"X"),0)</f>
        <v>0</v>
      </c>
      <c r="I33" s="303"/>
    </row>
    <row r="34" spans="1:9" ht="19.5" customHeight="1">
      <c r="A34" s="24">
        <v>21</v>
      </c>
      <c r="B34" s="419" t="s">
        <v>44</v>
      </c>
      <c r="C34" s="420"/>
      <c r="D34" s="266">
        <f>IF('Cover Page'!$A$12="",0,VLOOKUP('Cover Page'!$A$4&amp;"-WPCP",Counts!$C$4:$AF$414,Counts!$Z$418,FALSE))</f>
        <v>0</v>
      </c>
      <c r="E34" s="274">
        <f aca="true" t="shared" si="2" ref="E34:E39">D34+SUM(F34:H34)</f>
        <v>0</v>
      </c>
      <c r="F34" s="274">
        <f>-1*_xlfn.COUNTIFS('Schedule 2'!$H$8:$H$42,"WPCP",'Schedule 2'!$AK$8:$AK$42,$B34,'Schedule 2'!$C$8:$C$42,"W")</f>
        <v>0</v>
      </c>
      <c r="G34" s="275">
        <f>_xlfn.COUNTIFS('Schedule 3'!$N$9:$N$43,1,'Schedule 3'!$P$9:$P$43,$B34,'Schedule 3'!$G$9:$G$43,"WPCP",'Schedule 3'!$C$9:$C$43,"W")+(-1*(_xlfn.COUNTIFS('Schedule 3'!$N$9:$N$43,1,'Schedule 3'!$O$9:$O$43,'Schedule 1-2'!$B34,'Schedule 3'!$G$9:$G$43,"WPCP",'Schedule 3'!$C$9:$C$43,"W")))</f>
        <v>0</v>
      </c>
      <c r="H34" s="275">
        <f>_xlfn.COUNTIFS('Schedule 4'!$F$7:$F$31,"WPCP",'Schedule 4'!$L$7:$L$31,'Schedule 6'!B34,'Schedule 4'!$H$7:$H$31,"X")</f>
        <v>0</v>
      </c>
      <c r="I34" s="303"/>
    </row>
    <row r="35" spans="1:9" ht="19.5" customHeight="1">
      <c r="A35" s="24">
        <v>22</v>
      </c>
      <c r="B35" s="419" t="s">
        <v>45</v>
      </c>
      <c r="C35" s="420"/>
      <c r="D35" s="266">
        <f>IF('Cover Page'!$A$12="",0,VLOOKUP('Cover Page'!$A$4&amp;"-WPCP",Counts!$C$4:$AF$414,Counts!$AA$418,FALSE))</f>
        <v>0</v>
      </c>
      <c r="E35" s="274">
        <f t="shared" si="2"/>
        <v>0</v>
      </c>
      <c r="F35" s="274">
        <f>-1*_xlfn.COUNTIFS('Schedule 2'!$H$8:$H$42,"WPCP",'Schedule 2'!$AK$8:$AK$42,$B35,'Schedule 2'!$C$8:$C$42,"W")</f>
        <v>0</v>
      </c>
      <c r="G35" s="275">
        <f>_xlfn.COUNTIFS('Schedule 3'!$N$9:$N$43,1,'Schedule 3'!$P$9:$P$43,$B35,'Schedule 3'!$G$9:$G$43,"WPCP",'Schedule 3'!$C$9:$C$43,"W")+(-1*(_xlfn.COUNTIFS('Schedule 3'!$N$9:$N$43,1,'Schedule 3'!$O$9:$O$43,'Schedule 1-2'!$B35,'Schedule 3'!$G$9:$G$43,"WPCP",'Schedule 3'!$C$9:$C$43,"W")))</f>
        <v>0</v>
      </c>
      <c r="H35" s="275">
        <f>_xlfn.COUNTIFS('Schedule 4'!$F$7:$F$31,"WPCP",'Schedule 4'!$L$7:$L$31,'Schedule 6'!B35,'Schedule 4'!$H$7:$H$31,"X")</f>
        <v>0</v>
      </c>
      <c r="I35" s="303"/>
    </row>
    <row r="36" spans="1:9" ht="19.5" customHeight="1">
      <c r="A36" s="24">
        <v>23</v>
      </c>
      <c r="B36" s="419" t="s">
        <v>1</v>
      </c>
      <c r="C36" s="420"/>
      <c r="D36" s="266">
        <f>IF('Cover Page'!$A$12="",0,VLOOKUP('Cover Page'!$A$4&amp;"-WPCP",Counts!$C$4:$AF$414,Counts!$AB$418,FALSE))</f>
        <v>0</v>
      </c>
      <c r="E36" s="274">
        <f t="shared" si="2"/>
        <v>0</v>
      </c>
      <c r="F36" s="274">
        <f>-1*_xlfn.COUNTIFS('Schedule 2'!$H$8:$H$42,"WPCP",'Schedule 2'!$AK$8:$AK$42,$B36,'Schedule 2'!$C$8:$C$42,"W")</f>
        <v>0</v>
      </c>
      <c r="G36" s="275">
        <f>_xlfn.COUNTIFS('Schedule 3'!$N$9:$N$43,1,'Schedule 3'!$P$9:$P$43,$B36,'Schedule 3'!$G$9:$G$43,"WPCP",'Schedule 3'!$C$9:$C$43,"W")+(-1*(_xlfn.COUNTIFS('Schedule 3'!$N$9:$N$43,1,'Schedule 3'!$O$9:$O$43,'Schedule 1-2'!$B36,'Schedule 3'!$G$9:$G$43,"WPCP",'Schedule 3'!$C$9:$C$43,"W")))</f>
        <v>0</v>
      </c>
      <c r="H36" s="275">
        <f>_xlfn.COUNTIFS('Schedule 4'!$F$7:$F$31,"WPCP",'Schedule 4'!$L$7:$L$31,'Schedule 6'!B36,'Schedule 4'!$H$7:$H$31,"X")</f>
        <v>0</v>
      </c>
      <c r="I36" s="303"/>
    </row>
    <row r="37" spans="1:9" ht="19.5" customHeight="1">
      <c r="A37" s="24">
        <v>24</v>
      </c>
      <c r="B37" s="419" t="s">
        <v>2</v>
      </c>
      <c r="C37" s="420"/>
      <c r="D37" s="266">
        <f>IF('Cover Page'!$A$12="",0,VLOOKUP('Cover Page'!$A$4&amp;"-WPCP",Counts!$C$4:$AF$414,Counts!$AC$418,FALSE))</f>
        <v>0</v>
      </c>
      <c r="E37" s="274">
        <f t="shared" si="2"/>
        <v>0</v>
      </c>
      <c r="F37" s="274">
        <f>-1*_xlfn.COUNTIFS('Schedule 2'!$H$8:$H$42,"WPCP",'Schedule 2'!$AK$8:$AK$42,$B37,'Schedule 2'!$C$8:$C$42,"W")</f>
        <v>0</v>
      </c>
      <c r="G37" s="275">
        <f>_xlfn.COUNTIFS('Schedule 3'!$N$9:$N$43,1,'Schedule 3'!$P$9:$P$43,$B37,'Schedule 3'!$G$9:$G$43,"WPCP",'Schedule 3'!$C$9:$C$43,"W")+(-1*(_xlfn.COUNTIFS('Schedule 3'!$N$9:$N$43,1,'Schedule 3'!$O$9:$O$43,'Schedule 1-2'!$B37,'Schedule 3'!$G$9:$G$43,"WPCP",'Schedule 3'!$C$9:$C$43,"W")))</f>
        <v>0</v>
      </c>
      <c r="H37" s="275">
        <f>_xlfn.COUNTIFS('Schedule 4'!$F$7:$F$31,"WPCP",'Schedule 4'!$L$7:$L$31,'Schedule 6'!B37,'Schedule 4'!$H$7:$H$31,"X")</f>
        <v>0</v>
      </c>
      <c r="I37" s="303"/>
    </row>
    <row r="38" spans="1:9" ht="19.5" customHeight="1">
      <c r="A38" s="24">
        <v>25</v>
      </c>
      <c r="B38" s="71" t="s">
        <v>83</v>
      </c>
      <c r="C38" s="72"/>
      <c r="D38" s="266">
        <f>IF('Cover Page'!$A$12="",0,VLOOKUP('Cover Page'!$A$4&amp;"-WPCP",Counts!$C$4:$AF$414,Counts!$AD$418,FALSE))</f>
        <v>0</v>
      </c>
      <c r="E38" s="274">
        <f t="shared" si="2"/>
        <v>0</v>
      </c>
      <c r="F38" s="274">
        <f>-1*_xlfn.COUNTIFS('Schedule 2'!$H$8:$H$42,"WPCP",'Schedule 2'!$AK$8:$AK$42,$B38,'Schedule 2'!$C$8:$C$42,"W")</f>
        <v>0</v>
      </c>
      <c r="G38" s="275">
        <f>_xlfn.COUNTIFS('Schedule 3'!$N$9:$N$43,1,'Schedule 3'!$P$9:$P$43,$B38,'Schedule 3'!$G$9:$G$43,"WPCP",'Schedule 3'!$C$9:$C$43,"W")+(-1*(_xlfn.COUNTIFS('Schedule 3'!$N$9:$N$43,1,'Schedule 3'!$O$9:$O$43,'Schedule 1-2'!$B38,'Schedule 3'!$G$9:$G$43,"WPCP",'Schedule 3'!$C$9:$C$43,"W")))</f>
        <v>0</v>
      </c>
      <c r="H38" s="275">
        <f>_xlfn.COUNTIFS('Schedule 4'!$F$7:$F$31,"WPCP",'Schedule 4'!$L$7:$L$31,'Schedule 6'!B38,'Schedule 4'!$H$7:$H$31,"X")</f>
        <v>0</v>
      </c>
      <c r="I38" s="303"/>
    </row>
    <row r="39" spans="1:9" ht="19.5" customHeight="1" thickBot="1">
      <c r="A39" s="25">
        <v>26</v>
      </c>
      <c r="B39" s="442" t="s">
        <v>69</v>
      </c>
      <c r="C39" s="443"/>
      <c r="D39" s="266">
        <f>IF('Cover Page'!$A$12="",0,VLOOKUP('Cover Page'!$A$4&amp;"-WPCP",Counts!$C$4:$AF$414,Counts!$AE$418,FALSE))</f>
        <v>0</v>
      </c>
      <c r="E39" s="274">
        <f t="shared" si="2"/>
        <v>0</v>
      </c>
      <c r="F39" s="274">
        <f>-1*_xlfn.COUNTIFS('Schedule 2'!$H$8:$H$42,"WPCP",'Schedule 2'!$AK$8:$AK$42,$B39,'Schedule 2'!$C$8:$C$42,"W")</f>
        <v>0</v>
      </c>
      <c r="G39" s="275">
        <f>_xlfn.COUNTIFS('Schedule 3'!$N$9:$N$43,1,'Schedule 3'!$P$9:$P$43,$B39,'Schedule 3'!$G$9:$G$43,"WPCP",'Schedule 3'!$C$9:$C$43,"W")+(-1*(_xlfn.COUNTIFS('Schedule 3'!$N$9:$N$43,1,'Schedule 3'!$O$9:$O$43,'Schedule 1-2'!$B39,'Schedule 3'!$G$9:$G$43,"WPCP",'Schedule 3'!$C$9:$C$43,"W")))</f>
        <v>0</v>
      </c>
      <c r="H39" s="275">
        <f>_xlfn.COUNTIFS('Schedule 4'!$F$7:$F$31,"WPCP",'Schedule 4'!$L$7:$L$31,'Schedule 6'!B39,'Schedule 4'!$H$7:$H$31,"X")</f>
        <v>0</v>
      </c>
      <c r="I39" s="303"/>
    </row>
    <row r="40" spans="1:9" ht="19.5" customHeight="1" thickBot="1">
      <c r="A40" s="26">
        <v>27</v>
      </c>
      <c r="B40" s="439" t="s">
        <v>212</v>
      </c>
      <c r="C40" s="440"/>
      <c r="D40" s="269">
        <f>IF(ISBLANK('Cover Page'!$A$4),"",SUM(D32:D39))</f>
      </c>
      <c r="E40" s="270">
        <f>IF(ISBLANK('Cover Page'!$A$4),"",SUM(E32:E39))</f>
      </c>
      <c r="F40" s="269">
        <f>IF(ISBLANK('Cover Page'!$A$4),"",SUM(F32:F39))</f>
      </c>
      <c r="G40" s="269">
        <f>IF(ISBLANK('Cover Page'!$A$4),"",SUM(G32:G39))</f>
      </c>
      <c r="H40" s="271">
        <f>IF(ISBLANK('Cover Page'!$A$4),"",SUM(H32:H39))</f>
      </c>
      <c r="I40" s="303"/>
    </row>
    <row r="41" ht="10.5" thickTop="1"/>
    <row r="69" ht="9.75">
      <c r="A69" s="167"/>
    </row>
  </sheetData>
  <sheetProtection password="F443" sheet="1"/>
  <mergeCells count="46">
    <mergeCell ref="B11:C11"/>
    <mergeCell ref="A4:H4"/>
    <mergeCell ref="B13:C13"/>
    <mergeCell ref="A1:H1"/>
    <mergeCell ref="A2:H2"/>
    <mergeCell ref="A3:H3"/>
    <mergeCell ref="A6:A7"/>
    <mergeCell ref="B6:C7"/>
    <mergeCell ref="D6:D7"/>
    <mergeCell ref="E6:E7"/>
    <mergeCell ref="B25:C25"/>
    <mergeCell ref="F6:H6"/>
    <mergeCell ref="E18:E19"/>
    <mergeCell ref="F18:H18"/>
    <mergeCell ref="B15:C15"/>
    <mergeCell ref="B16:C16"/>
    <mergeCell ref="B23:C23"/>
    <mergeCell ref="B8:C8"/>
    <mergeCell ref="B9:C9"/>
    <mergeCell ref="B10:C10"/>
    <mergeCell ref="F30:H30"/>
    <mergeCell ref="B39:C39"/>
    <mergeCell ref="B12:C12"/>
    <mergeCell ref="B24:C24"/>
    <mergeCell ref="B27:C27"/>
    <mergeCell ref="B22:C22"/>
    <mergeCell ref="B28:C28"/>
    <mergeCell ref="B18:C19"/>
    <mergeCell ref="D18:D19"/>
    <mergeCell ref="B20:C20"/>
    <mergeCell ref="B40:C40"/>
    <mergeCell ref="B32:C32"/>
    <mergeCell ref="B33:C33"/>
    <mergeCell ref="B34:C34"/>
    <mergeCell ref="B35:C35"/>
    <mergeCell ref="B36:C36"/>
    <mergeCell ref="C5:E5"/>
    <mergeCell ref="C17:E17"/>
    <mergeCell ref="C29:E29"/>
    <mergeCell ref="B37:C37"/>
    <mergeCell ref="A30:A31"/>
    <mergeCell ref="B30:C31"/>
    <mergeCell ref="D30:D31"/>
    <mergeCell ref="E30:E31"/>
    <mergeCell ref="A18:A19"/>
    <mergeCell ref="B21:C21"/>
  </mergeCells>
  <printOptions horizontalCentered="1"/>
  <pageMargins left="0.5" right="0.5" top="0.5" bottom="0.5" header="0.3" footer="0.3"/>
  <pageSetup fitToHeight="1" fitToWidth="1" horizontalDpi="600" verticalDpi="600" orientation="portrait" scale="90" r:id="rId1"/>
  <headerFooter>
    <oddHeader>&amp;L&amp;"Arial,Regular"&amp;8Page 9&amp;C &amp;R&amp;"Arial,Regular"&amp;8PI-PCP-103 (35-25 Lines)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T114"/>
  <sheetViews>
    <sheetView showGridLines="0" workbookViewId="0" topLeftCell="A1">
      <pane xSplit="1" ySplit="9" topLeftCell="B10" activePane="bottomRight" state="frozen"/>
      <selection pane="topLeft" activeCell="J4" sqref="J4"/>
      <selection pane="topRight" activeCell="J4" sqref="J4"/>
      <selection pane="bottomLeft" activeCell="J4" sqref="J4"/>
      <selection pane="bottomRight" activeCell="A1" sqref="A1:I1"/>
    </sheetView>
  </sheetViews>
  <sheetFormatPr defaultColWidth="9.140625" defaultRowHeight="15"/>
  <cols>
    <col min="1" max="1" width="4.00390625" style="9" customWidth="1"/>
    <col min="2" max="2" width="8.8515625" style="9" customWidth="1"/>
    <col min="3" max="3" width="9.7109375" style="9" customWidth="1"/>
    <col min="4" max="4" width="17.7109375" style="9" customWidth="1"/>
    <col min="5" max="5" width="10.7109375" style="9" customWidth="1"/>
    <col min="6" max="6" width="9.7109375" style="9" customWidth="1"/>
    <col min="7" max="7" width="10.7109375" style="9" customWidth="1"/>
    <col min="8" max="8" width="10.28125" style="9" customWidth="1"/>
    <col min="9" max="9" width="9.57421875" style="9" customWidth="1"/>
    <col min="10" max="10" width="2.421875" style="9" customWidth="1"/>
    <col min="11" max="11" width="11.140625" style="9" customWidth="1"/>
    <col min="12" max="12" width="12.8515625" style="9" customWidth="1"/>
    <col min="13" max="13" width="11.140625" style="9" customWidth="1"/>
    <col min="14" max="14" width="2.8515625" style="9" customWidth="1"/>
    <col min="15" max="15" width="11.8515625" style="9" customWidth="1"/>
    <col min="16" max="17" width="11.8515625" style="190" customWidth="1"/>
    <col min="18" max="20" width="9.140625" style="9" customWidth="1"/>
    <col min="21" max="16384" width="9.140625" style="9" customWidth="1"/>
  </cols>
  <sheetData>
    <row r="1" spans="1:17" s="22" customFormat="1" ht="15" customHeight="1">
      <c r="A1" s="475" t="str">
        <f>IF(ISBLANK('Cover Page'!A4),"School Name",'Cover Page'!A4)</f>
        <v>School Name</v>
      </c>
      <c r="B1" s="475"/>
      <c r="C1" s="475"/>
      <c r="D1" s="475"/>
      <c r="E1" s="475"/>
      <c r="F1" s="475"/>
      <c r="G1" s="475"/>
      <c r="H1" s="475"/>
      <c r="I1" s="475"/>
      <c r="P1" s="336"/>
      <c r="Q1" s="336"/>
    </row>
    <row r="2" spans="1:17" s="22" customFormat="1" ht="15" customHeight="1">
      <c r="A2" s="475" t="str">
        <f>'Error Report'!A3</f>
        <v>September 20, 2019 Choice Enrollment Audit</v>
      </c>
      <c r="B2" s="475"/>
      <c r="C2" s="475"/>
      <c r="D2" s="475"/>
      <c r="E2" s="475"/>
      <c r="F2" s="475"/>
      <c r="G2" s="475"/>
      <c r="H2" s="475"/>
      <c r="I2" s="475"/>
      <c r="J2" s="139"/>
      <c r="P2" s="336"/>
      <c r="Q2" s="336"/>
    </row>
    <row r="3" spans="1:17" s="22" customFormat="1" ht="15" customHeight="1">
      <c r="A3" s="475" t="s">
        <v>430</v>
      </c>
      <c r="B3" s="475"/>
      <c r="C3" s="475"/>
      <c r="D3" s="475"/>
      <c r="E3" s="475"/>
      <c r="F3" s="475"/>
      <c r="G3" s="475"/>
      <c r="H3" s="475"/>
      <c r="I3" s="475"/>
      <c r="P3" s="336"/>
      <c r="Q3" s="336"/>
    </row>
    <row r="4" spans="1:17" s="22" customFormat="1" ht="83.25" customHeight="1" thickBot="1">
      <c r="A4" s="489" t="s">
        <v>513</v>
      </c>
      <c r="B4" s="489"/>
      <c r="C4" s="489"/>
      <c r="D4" s="489"/>
      <c r="E4" s="489"/>
      <c r="F4" s="489"/>
      <c r="G4" s="489"/>
      <c r="H4" s="489"/>
      <c r="I4" s="489"/>
      <c r="P4" s="336"/>
      <c r="Q4" s="336"/>
    </row>
    <row r="5" spans="1:17" s="22" customFormat="1" ht="33" customHeight="1" thickTop="1">
      <c r="A5" s="546" t="s">
        <v>514</v>
      </c>
      <c r="B5" s="546"/>
      <c r="C5" s="546"/>
      <c r="D5" s="546"/>
      <c r="E5" s="546"/>
      <c r="F5" s="546"/>
      <c r="G5" s="546"/>
      <c r="H5" s="547"/>
      <c r="I5" s="317"/>
      <c r="P5" s="336"/>
      <c r="Q5" s="336"/>
    </row>
    <row r="6" spans="1:17" s="22" customFormat="1" ht="35.25" customHeight="1" thickBot="1">
      <c r="A6" s="548" t="s">
        <v>515</v>
      </c>
      <c r="B6" s="548"/>
      <c r="C6" s="548"/>
      <c r="D6" s="548"/>
      <c r="E6" s="548"/>
      <c r="F6" s="548"/>
      <c r="G6" s="548"/>
      <c r="H6" s="549"/>
      <c r="I6" s="318">
        <f>IF(I5="N/A","N/A","")</f>
      </c>
      <c r="P6" s="336"/>
      <c r="Q6" s="336"/>
    </row>
    <row r="7" spans="1:20" s="22" customFormat="1" ht="15" customHeight="1" thickTop="1">
      <c r="A7" s="150"/>
      <c r="B7" s="150"/>
      <c r="C7" s="150"/>
      <c r="D7" s="536" t="s">
        <v>362</v>
      </c>
      <c r="E7" s="536"/>
      <c r="F7" s="536"/>
      <c r="G7" s="536"/>
      <c r="H7" s="150"/>
      <c r="I7" s="150"/>
      <c r="K7" s="537" t="s">
        <v>424</v>
      </c>
      <c r="L7" s="537"/>
      <c r="M7" s="537"/>
      <c r="N7" s="230"/>
      <c r="O7" s="537" t="s">
        <v>435</v>
      </c>
      <c r="P7" s="537"/>
      <c r="Q7" s="537"/>
      <c r="R7" s="537"/>
      <c r="S7" s="537"/>
      <c r="T7" s="537"/>
    </row>
    <row r="8" spans="1:20" s="22" customFormat="1" ht="15" customHeight="1">
      <c r="A8" s="414" t="s">
        <v>61</v>
      </c>
      <c r="B8" s="413" t="s">
        <v>363</v>
      </c>
      <c r="C8" s="445" t="s">
        <v>334</v>
      </c>
      <c r="D8" s="433" t="s">
        <v>396</v>
      </c>
      <c r="E8" s="542" t="s">
        <v>423</v>
      </c>
      <c r="F8" s="543"/>
      <c r="G8" s="550" t="s">
        <v>204</v>
      </c>
      <c r="H8" s="433" t="s">
        <v>386</v>
      </c>
      <c r="I8" s="437" t="s">
        <v>387</v>
      </c>
      <c r="K8" s="538" t="s">
        <v>425</v>
      </c>
      <c r="L8" s="538" t="s">
        <v>429</v>
      </c>
      <c r="M8" s="538" t="s">
        <v>426</v>
      </c>
      <c r="N8" s="319"/>
      <c r="O8" s="538" t="s">
        <v>335</v>
      </c>
      <c r="P8" s="540" t="s">
        <v>517</v>
      </c>
      <c r="Q8" s="540" t="s">
        <v>518</v>
      </c>
      <c r="R8" s="534" t="s">
        <v>410</v>
      </c>
      <c r="S8" s="534" t="s">
        <v>427</v>
      </c>
      <c r="T8" s="534" t="s">
        <v>428</v>
      </c>
    </row>
    <row r="9" spans="1:20" s="22" customFormat="1" ht="19.5" customHeight="1">
      <c r="A9" s="414"/>
      <c r="B9" s="413"/>
      <c r="C9" s="445"/>
      <c r="D9" s="433"/>
      <c r="E9" s="544"/>
      <c r="F9" s="545"/>
      <c r="G9" s="550"/>
      <c r="H9" s="433"/>
      <c r="I9" s="437"/>
      <c r="K9" s="539"/>
      <c r="L9" s="539"/>
      <c r="M9" s="539"/>
      <c r="N9" s="320"/>
      <c r="O9" s="539"/>
      <c r="P9" s="541"/>
      <c r="Q9" s="541"/>
      <c r="R9" s="535" t="s">
        <v>410</v>
      </c>
      <c r="S9" s="535"/>
      <c r="T9" s="535"/>
    </row>
    <row r="10" spans="1:20" s="22" customFormat="1" ht="15" customHeight="1">
      <c r="A10" s="24">
        <v>1</v>
      </c>
      <c r="B10" s="325"/>
      <c r="C10" s="28"/>
      <c r="D10" s="28"/>
      <c r="E10" s="532"/>
      <c r="F10" s="533"/>
      <c r="G10" s="92"/>
      <c r="H10" s="184"/>
      <c r="I10" s="185"/>
      <c r="K10" s="327">
        <f>IF(AND(D10="",E10=""),"",IF(OR(B10="",C10="",D10="",E10="",G10=""),"Yes","No"))</f>
      </c>
      <c r="L10" s="327">
        <f>IF(AND(D10="",E10=""),"",IF(H10="","Yes","No"))</f>
      </c>
      <c r="M10" s="327">
        <f>IF(AND(D10="",E10=""),"",IF(I10="","Yes","No"))</f>
      </c>
      <c r="N10" s="328"/>
      <c r="O10" s="304">
        <f>IF(ISBLANK($B10),"",VLOOKUP($B10,'Schedule 7'!$B$54:$C$67,2,0))</f>
      </c>
      <c r="P10" s="337">
        <f>IF($B10=0,0,VLOOKUP($H10,$E$55:$G$113,MATCH('Schedule 7'!$O10,$E$54:$G$54,0),FALSE))</f>
        <v>0</v>
      </c>
      <c r="Q10" s="337">
        <f>IF($B10=0,0,VLOOKUP($I10,$E$55:$G$113,MATCH('Schedule 7'!$O10,$E$54:$G$54,0),FALSE))</f>
        <v>0</v>
      </c>
      <c r="R10" s="340">
        <f>Q10-P10</f>
        <v>0</v>
      </c>
      <c r="S10" s="329">
        <f>IF(H10=0,IF(I10&gt;0,1,0),0)</f>
        <v>0</v>
      </c>
      <c r="T10" s="329">
        <f>IF(I10=0,IF(H10&gt;0,-1,0),0)</f>
        <v>0</v>
      </c>
    </row>
    <row r="11" spans="1:20" s="22" customFormat="1" ht="15" customHeight="1">
      <c r="A11" s="24">
        <v>2</v>
      </c>
      <c r="B11" s="325"/>
      <c r="C11" s="28"/>
      <c r="D11" s="28"/>
      <c r="E11" s="532"/>
      <c r="F11" s="533"/>
      <c r="G11" s="92"/>
      <c r="H11" s="184"/>
      <c r="I11" s="185"/>
      <c r="K11" s="197">
        <f aca="true" t="shared" si="0" ref="K11:K39">IF(AND(D11="",E11=""),"",IF(OR(B11="",C11="",D11="",E11="",G11=""),"Yes","No"))</f>
      </c>
      <c r="L11" s="197">
        <f aca="true" t="shared" si="1" ref="L11:L39">IF(AND(D11="",E11=""),"",IF(H11="","Yes","No"))</f>
      </c>
      <c r="M11" s="197">
        <f aca="true" t="shared" si="2" ref="M11:M39">IF(AND(D11="",E11=""),"",IF(I11="","Yes","No"))</f>
      </c>
      <c r="N11" s="191"/>
      <c r="O11" s="304">
        <f>IF(ISBLANK($B11),"",VLOOKUP($B11,'Schedule 7'!$B$54:$C$67,2,0))</f>
      </c>
      <c r="P11" s="337">
        <f>IF($B11=0,0,VLOOKUP($H11,$E$55:$G$113,MATCH('Schedule 7'!$O11,$E$54:$G$54,0),FALSE))</f>
        <v>0</v>
      </c>
      <c r="Q11" s="337">
        <f>IF($B11=0,0,VLOOKUP($I11,$E$55:$G$113,MATCH('Schedule 7'!$O11,$E$54:$G$54,0),FALSE))</f>
        <v>0</v>
      </c>
      <c r="R11" s="340">
        <f aca="true" t="shared" si="3" ref="R11:R39">Q11-P11</f>
        <v>0</v>
      </c>
      <c r="S11" s="194">
        <f aca="true" t="shared" si="4" ref="S11:S39">IF(H11=0,IF(I11&gt;0,1,0),0)</f>
        <v>0</v>
      </c>
      <c r="T11" s="329">
        <f aca="true" t="shared" si="5" ref="T11:T39">IF(I11=0,IF(H11&gt;0,-1,0),0)</f>
        <v>0</v>
      </c>
    </row>
    <row r="12" spans="1:20" s="22" customFormat="1" ht="15" customHeight="1">
      <c r="A12" s="24">
        <v>3</v>
      </c>
      <c r="B12" s="325"/>
      <c r="C12" s="28"/>
      <c r="D12" s="28"/>
      <c r="E12" s="532"/>
      <c r="F12" s="533"/>
      <c r="G12" s="92"/>
      <c r="H12" s="184"/>
      <c r="I12" s="185"/>
      <c r="K12" s="197">
        <f t="shared" si="0"/>
      </c>
      <c r="L12" s="197">
        <f t="shared" si="1"/>
      </c>
      <c r="M12" s="197">
        <f t="shared" si="2"/>
      </c>
      <c r="N12" s="191"/>
      <c r="O12" s="304">
        <f>IF(ISBLANK($B12),"",VLOOKUP($B12,'Schedule 7'!$B$54:$C$67,2,0))</f>
      </c>
      <c r="P12" s="337">
        <f>IF($B12=0,0,VLOOKUP($H12,$E$55:$G$113,MATCH('Schedule 7'!$O12,$E$54:$G$54,0),FALSE))</f>
        <v>0</v>
      </c>
      <c r="Q12" s="337">
        <f>IF($B12=0,0,VLOOKUP($I12,$E$55:$G$113,MATCH('Schedule 7'!$O12,$E$54:$G$54,0),FALSE))</f>
        <v>0</v>
      </c>
      <c r="R12" s="340">
        <f t="shared" si="3"/>
        <v>0</v>
      </c>
      <c r="S12" s="194">
        <f t="shared" si="4"/>
        <v>0</v>
      </c>
      <c r="T12" s="329">
        <f t="shared" si="5"/>
        <v>0</v>
      </c>
    </row>
    <row r="13" spans="1:20" s="22" customFormat="1" ht="15" customHeight="1">
      <c r="A13" s="24">
        <v>4</v>
      </c>
      <c r="B13" s="325"/>
      <c r="C13" s="28"/>
      <c r="D13" s="28"/>
      <c r="E13" s="532"/>
      <c r="F13" s="533"/>
      <c r="G13" s="92"/>
      <c r="H13" s="184"/>
      <c r="I13" s="185"/>
      <c r="K13" s="197">
        <f t="shared" si="0"/>
      </c>
      <c r="L13" s="197">
        <f t="shared" si="1"/>
      </c>
      <c r="M13" s="197">
        <f t="shared" si="2"/>
      </c>
      <c r="N13" s="191"/>
      <c r="O13" s="304">
        <f>IF(ISBLANK($B13),"",VLOOKUP($B13,'Schedule 7'!$B$54:$C$67,2,0))</f>
      </c>
      <c r="P13" s="337">
        <f>IF($B13=0,0,VLOOKUP($H13,$E$55:$G$113,MATCH('Schedule 7'!$O13,$E$54:$G$54,0),FALSE))</f>
        <v>0</v>
      </c>
      <c r="Q13" s="337">
        <f>IF($B13=0,0,VLOOKUP($I13,$E$55:$G$113,MATCH('Schedule 7'!$O13,$E$54:$G$54,0),FALSE))</f>
        <v>0</v>
      </c>
      <c r="R13" s="340">
        <f t="shared" si="3"/>
        <v>0</v>
      </c>
      <c r="S13" s="194">
        <f t="shared" si="4"/>
        <v>0</v>
      </c>
      <c r="T13" s="329">
        <f t="shared" si="5"/>
        <v>0</v>
      </c>
    </row>
    <row r="14" spans="1:20" s="22" customFormat="1" ht="15" customHeight="1">
      <c r="A14" s="24">
        <v>5</v>
      </c>
      <c r="B14" s="325"/>
      <c r="C14" s="28"/>
      <c r="D14" s="28"/>
      <c r="E14" s="532"/>
      <c r="F14" s="533"/>
      <c r="G14" s="92"/>
      <c r="H14" s="184"/>
      <c r="I14" s="185"/>
      <c r="K14" s="197">
        <f t="shared" si="0"/>
      </c>
      <c r="L14" s="197">
        <f t="shared" si="1"/>
      </c>
      <c r="M14" s="197">
        <f t="shared" si="2"/>
      </c>
      <c r="N14" s="191"/>
      <c r="O14" s="304">
        <f>IF(ISBLANK($B14),"",VLOOKUP($B14,'Schedule 7'!$B$54:$C$67,2,0))</f>
      </c>
      <c r="P14" s="337">
        <f>IF($B14=0,0,VLOOKUP($H14,$E$55:$G$113,MATCH('Schedule 7'!$O14,$E$54:$G$54,0),FALSE))</f>
        <v>0</v>
      </c>
      <c r="Q14" s="337">
        <f>IF($B14=0,0,VLOOKUP($I14,$E$55:$G$113,MATCH('Schedule 7'!$O14,$E$54:$G$54,0),FALSE))</f>
        <v>0</v>
      </c>
      <c r="R14" s="340">
        <f t="shared" si="3"/>
        <v>0</v>
      </c>
      <c r="S14" s="194">
        <f t="shared" si="4"/>
        <v>0</v>
      </c>
      <c r="T14" s="329">
        <f t="shared" si="5"/>
        <v>0</v>
      </c>
    </row>
    <row r="15" spans="1:20" s="22" customFormat="1" ht="15" customHeight="1">
      <c r="A15" s="24">
        <v>6</v>
      </c>
      <c r="B15" s="325"/>
      <c r="C15" s="28"/>
      <c r="D15" s="28"/>
      <c r="E15" s="532"/>
      <c r="F15" s="533"/>
      <c r="G15" s="92"/>
      <c r="H15" s="184"/>
      <c r="I15" s="185"/>
      <c r="K15" s="197">
        <f t="shared" si="0"/>
      </c>
      <c r="L15" s="197">
        <f t="shared" si="1"/>
      </c>
      <c r="M15" s="197">
        <f t="shared" si="2"/>
      </c>
      <c r="N15" s="191"/>
      <c r="O15" s="304">
        <f>IF(ISBLANK($B15),"",VLOOKUP($B15,'Schedule 7'!$B$54:$C$67,2,0))</f>
      </c>
      <c r="P15" s="337">
        <f>IF($B15=0,0,VLOOKUP($H15,$E$55:$G$113,MATCH('Schedule 7'!$O15,$E$54:$G$54,0),FALSE))</f>
        <v>0</v>
      </c>
      <c r="Q15" s="337">
        <f>IF($B15=0,0,VLOOKUP($I15,$E$55:$G$113,MATCH('Schedule 7'!$O15,$E$54:$G$54,0),FALSE))</f>
        <v>0</v>
      </c>
      <c r="R15" s="340">
        <f t="shared" si="3"/>
        <v>0</v>
      </c>
      <c r="S15" s="194">
        <f t="shared" si="4"/>
        <v>0</v>
      </c>
      <c r="T15" s="329">
        <f t="shared" si="5"/>
        <v>0</v>
      </c>
    </row>
    <row r="16" spans="1:20" s="22" customFormat="1" ht="15" customHeight="1">
      <c r="A16" s="24">
        <v>7</v>
      </c>
      <c r="B16" s="325"/>
      <c r="C16" s="28"/>
      <c r="D16" s="28"/>
      <c r="E16" s="532"/>
      <c r="F16" s="533"/>
      <c r="G16" s="92"/>
      <c r="H16" s="184"/>
      <c r="I16" s="185"/>
      <c r="K16" s="197">
        <f t="shared" si="0"/>
      </c>
      <c r="L16" s="197">
        <f t="shared" si="1"/>
      </c>
      <c r="M16" s="197">
        <f t="shared" si="2"/>
      </c>
      <c r="N16" s="191"/>
      <c r="O16" s="304">
        <f>IF(ISBLANK($B16),"",VLOOKUP($B16,'Schedule 7'!$B$54:$C$67,2,0))</f>
      </c>
      <c r="P16" s="337">
        <f>IF($B16=0,0,VLOOKUP($H16,$E$55:$G$113,MATCH('Schedule 7'!$O16,$E$54:$G$54,0),FALSE))</f>
        <v>0</v>
      </c>
      <c r="Q16" s="337">
        <f>IF($B16=0,0,VLOOKUP($I16,$E$55:$G$113,MATCH('Schedule 7'!$O16,$E$54:$G$54,0),FALSE))</f>
        <v>0</v>
      </c>
      <c r="R16" s="340">
        <f t="shared" si="3"/>
        <v>0</v>
      </c>
      <c r="S16" s="194">
        <f t="shared" si="4"/>
        <v>0</v>
      </c>
      <c r="T16" s="329">
        <f t="shared" si="5"/>
        <v>0</v>
      </c>
    </row>
    <row r="17" spans="1:20" s="22" customFormat="1" ht="15" customHeight="1">
      <c r="A17" s="24">
        <v>8</v>
      </c>
      <c r="B17" s="325"/>
      <c r="C17" s="28"/>
      <c r="D17" s="28"/>
      <c r="E17" s="532"/>
      <c r="F17" s="533"/>
      <c r="G17" s="92"/>
      <c r="H17" s="184"/>
      <c r="I17" s="185"/>
      <c r="K17" s="197">
        <f t="shared" si="0"/>
      </c>
      <c r="L17" s="197">
        <f t="shared" si="1"/>
      </c>
      <c r="M17" s="197">
        <f t="shared" si="2"/>
      </c>
      <c r="N17" s="191"/>
      <c r="O17" s="304">
        <f>IF(ISBLANK($B17),"",VLOOKUP($B17,'Schedule 7'!$B$54:$C$67,2,0))</f>
      </c>
      <c r="P17" s="337">
        <f>IF($B17=0,0,VLOOKUP($H17,$E$55:$G$113,MATCH('Schedule 7'!$O17,$E$54:$G$54,0),FALSE))</f>
        <v>0</v>
      </c>
      <c r="Q17" s="337">
        <f>IF($B17=0,0,VLOOKUP($I17,$E$55:$G$113,MATCH('Schedule 7'!$O17,$E$54:$G$54,0),FALSE))</f>
        <v>0</v>
      </c>
      <c r="R17" s="340">
        <f t="shared" si="3"/>
        <v>0</v>
      </c>
      <c r="S17" s="194">
        <f t="shared" si="4"/>
        <v>0</v>
      </c>
      <c r="T17" s="329">
        <f t="shared" si="5"/>
        <v>0</v>
      </c>
    </row>
    <row r="18" spans="1:20" s="22" customFormat="1" ht="15" customHeight="1">
      <c r="A18" s="24">
        <v>9</v>
      </c>
      <c r="B18" s="325"/>
      <c r="C18" s="28"/>
      <c r="D18" s="28"/>
      <c r="E18" s="532"/>
      <c r="F18" s="533"/>
      <c r="G18" s="92"/>
      <c r="H18" s="184"/>
      <c r="I18" s="185"/>
      <c r="K18" s="197">
        <f t="shared" si="0"/>
      </c>
      <c r="L18" s="197">
        <f t="shared" si="1"/>
      </c>
      <c r="M18" s="197">
        <f t="shared" si="2"/>
      </c>
      <c r="N18" s="191"/>
      <c r="O18" s="304">
        <f>IF(ISBLANK($B18),"",VLOOKUP($B18,'Schedule 7'!$B$54:$C$67,2,0))</f>
      </c>
      <c r="P18" s="337">
        <f>IF($B18=0,0,VLOOKUP($H18,$E$55:$G$113,MATCH('Schedule 7'!$O18,$E$54:$G$54,0),FALSE))</f>
        <v>0</v>
      </c>
      <c r="Q18" s="337">
        <f>IF($B18=0,0,VLOOKUP($I18,$E$55:$G$113,MATCH('Schedule 7'!$O18,$E$54:$G$54,0),FALSE))</f>
        <v>0</v>
      </c>
      <c r="R18" s="340">
        <f t="shared" si="3"/>
        <v>0</v>
      </c>
      <c r="S18" s="194">
        <f t="shared" si="4"/>
        <v>0</v>
      </c>
      <c r="T18" s="329">
        <f t="shared" si="5"/>
        <v>0</v>
      </c>
    </row>
    <row r="19" spans="1:20" s="22" customFormat="1" ht="15" customHeight="1">
      <c r="A19" s="24">
        <v>10</v>
      </c>
      <c r="B19" s="325"/>
      <c r="C19" s="28"/>
      <c r="D19" s="28"/>
      <c r="E19" s="532"/>
      <c r="F19" s="533"/>
      <c r="G19" s="92"/>
      <c r="H19" s="184"/>
      <c r="I19" s="185"/>
      <c r="K19" s="197">
        <f t="shared" si="0"/>
      </c>
      <c r="L19" s="197">
        <f t="shared" si="1"/>
      </c>
      <c r="M19" s="197">
        <f t="shared" si="2"/>
      </c>
      <c r="N19" s="191"/>
      <c r="O19" s="304">
        <f>IF(ISBLANK($B19),"",VLOOKUP($B19,'Schedule 7'!$B$54:$C$67,2,0))</f>
      </c>
      <c r="P19" s="337">
        <f>IF($B19=0,0,VLOOKUP($H19,$E$55:$G$113,MATCH('Schedule 7'!$O19,$E$54:$G$54,0),FALSE))</f>
        <v>0</v>
      </c>
      <c r="Q19" s="337">
        <f>IF($B19=0,0,VLOOKUP($I19,$E$55:$G$113,MATCH('Schedule 7'!$O19,$E$54:$G$54,0),FALSE))</f>
        <v>0</v>
      </c>
      <c r="R19" s="340">
        <f t="shared" si="3"/>
        <v>0</v>
      </c>
      <c r="S19" s="194">
        <f t="shared" si="4"/>
        <v>0</v>
      </c>
      <c r="T19" s="329">
        <f t="shared" si="5"/>
        <v>0</v>
      </c>
    </row>
    <row r="20" spans="1:20" s="22" customFormat="1" ht="15" customHeight="1">
      <c r="A20" s="24">
        <v>11</v>
      </c>
      <c r="B20" s="325"/>
      <c r="C20" s="28"/>
      <c r="D20" s="28"/>
      <c r="E20" s="532"/>
      <c r="F20" s="533"/>
      <c r="G20" s="92"/>
      <c r="H20" s="184"/>
      <c r="I20" s="185"/>
      <c r="K20" s="197">
        <f t="shared" si="0"/>
      </c>
      <c r="L20" s="197">
        <f t="shared" si="1"/>
      </c>
      <c r="M20" s="197">
        <f t="shared" si="2"/>
      </c>
      <c r="N20" s="191"/>
      <c r="O20" s="304">
        <f>IF(ISBLANK($B20),"",VLOOKUP($B20,'Schedule 7'!$B$54:$C$67,2,0))</f>
      </c>
      <c r="P20" s="337">
        <f>IF($B20=0,0,VLOOKUP($H20,$E$55:$G$113,MATCH('Schedule 7'!$O20,$E$54:$G$54,0),FALSE))</f>
        <v>0</v>
      </c>
      <c r="Q20" s="337">
        <f>IF($B20=0,0,VLOOKUP($I20,$E$55:$G$113,MATCH('Schedule 7'!$O20,$E$54:$G$54,0),FALSE))</f>
        <v>0</v>
      </c>
      <c r="R20" s="340">
        <f t="shared" si="3"/>
        <v>0</v>
      </c>
      <c r="S20" s="194">
        <f t="shared" si="4"/>
        <v>0</v>
      </c>
      <c r="T20" s="329">
        <f t="shared" si="5"/>
        <v>0</v>
      </c>
    </row>
    <row r="21" spans="1:20" s="22" customFormat="1" ht="15" customHeight="1">
      <c r="A21" s="24">
        <v>12</v>
      </c>
      <c r="B21" s="325"/>
      <c r="C21" s="28"/>
      <c r="D21" s="28"/>
      <c r="E21" s="532"/>
      <c r="F21" s="533"/>
      <c r="G21" s="92"/>
      <c r="H21" s="184"/>
      <c r="I21" s="185"/>
      <c r="K21" s="197">
        <f t="shared" si="0"/>
      </c>
      <c r="L21" s="197">
        <f t="shared" si="1"/>
      </c>
      <c r="M21" s="197">
        <f t="shared" si="2"/>
      </c>
      <c r="N21" s="191"/>
      <c r="O21" s="304">
        <f>IF(ISBLANK($B21),"",VLOOKUP($B21,'Schedule 7'!$B$54:$C$67,2,0))</f>
      </c>
      <c r="P21" s="337">
        <f>IF($B21=0,0,VLOOKUP($H21,$E$55:$G$113,MATCH('Schedule 7'!$O21,$E$54:$G$54,0),FALSE))</f>
        <v>0</v>
      </c>
      <c r="Q21" s="337">
        <f>IF($B21=0,0,VLOOKUP($I21,$E$55:$G$113,MATCH('Schedule 7'!$O21,$E$54:$G$54,0),FALSE))</f>
        <v>0</v>
      </c>
      <c r="R21" s="340">
        <f t="shared" si="3"/>
        <v>0</v>
      </c>
      <c r="S21" s="194">
        <f t="shared" si="4"/>
        <v>0</v>
      </c>
      <c r="T21" s="329">
        <f t="shared" si="5"/>
        <v>0</v>
      </c>
    </row>
    <row r="22" spans="1:20" s="22" customFormat="1" ht="15" customHeight="1">
      <c r="A22" s="24">
        <v>13</v>
      </c>
      <c r="B22" s="325"/>
      <c r="C22" s="28"/>
      <c r="D22" s="28"/>
      <c r="E22" s="532"/>
      <c r="F22" s="533"/>
      <c r="G22" s="92"/>
      <c r="H22" s="184"/>
      <c r="I22" s="185"/>
      <c r="K22" s="197">
        <f t="shared" si="0"/>
      </c>
      <c r="L22" s="197">
        <f t="shared" si="1"/>
      </c>
      <c r="M22" s="197">
        <f t="shared" si="2"/>
      </c>
      <c r="N22" s="191"/>
      <c r="O22" s="304">
        <f>IF(ISBLANK($B22),"",VLOOKUP($B22,'Schedule 7'!$B$54:$C$67,2,0))</f>
      </c>
      <c r="P22" s="337">
        <f>IF($B22=0,0,VLOOKUP($H22,$E$55:$G$113,MATCH('Schedule 7'!$O22,$E$54:$G$54,0),FALSE))</f>
        <v>0</v>
      </c>
      <c r="Q22" s="337">
        <f>IF($B22=0,0,VLOOKUP($I22,$E$55:$G$113,MATCH('Schedule 7'!$O22,$E$54:$G$54,0),FALSE))</f>
        <v>0</v>
      </c>
      <c r="R22" s="340">
        <f t="shared" si="3"/>
        <v>0</v>
      </c>
      <c r="S22" s="194">
        <f t="shared" si="4"/>
        <v>0</v>
      </c>
      <c r="T22" s="329">
        <f t="shared" si="5"/>
        <v>0</v>
      </c>
    </row>
    <row r="23" spans="1:20" s="22" customFormat="1" ht="15" customHeight="1">
      <c r="A23" s="24">
        <v>14</v>
      </c>
      <c r="B23" s="325"/>
      <c r="C23" s="28"/>
      <c r="D23" s="28"/>
      <c r="E23" s="532"/>
      <c r="F23" s="533"/>
      <c r="G23" s="92"/>
      <c r="H23" s="184"/>
      <c r="I23" s="185"/>
      <c r="K23" s="197">
        <f t="shared" si="0"/>
      </c>
      <c r="L23" s="197">
        <f t="shared" si="1"/>
      </c>
      <c r="M23" s="197">
        <f t="shared" si="2"/>
      </c>
      <c r="N23" s="191"/>
      <c r="O23" s="304">
        <f>IF(ISBLANK($B23),"",VLOOKUP($B23,'Schedule 7'!$B$54:$C$67,2,0))</f>
      </c>
      <c r="P23" s="337">
        <f>IF($B23=0,0,VLOOKUP($H23,$E$55:$G$113,MATCH('Schedule 7'!$O23,$E$54:$G$54,0),FALSE))</f>
        <v>0</v>
      </c>
      <c r="Q23" s="337">
        <f>IF($B23=0,0,VLOOKUP($I23,$E$55:$G$113,MATCH('Schedule 7'!$O23,$E$54:$G$54,0),FALSE))</f>
        <v>0</v>
      </c>
      <c r="R23" s="340">
        <f t="shared" si="3"/>
        <v>0</v>
      </c>
      <c r="S23" s="194">
        <f t="shared" si="4"/>
        <v>0</v>
      </c>
      <c r="T23" s="329">
        <f t="shared" si="5"/>
        <v>0</v>
      </c>
    </row>
    <row r="24" spans="1:20" s="22" customFormat="1" ht="15" customHeight="1">
      <c r="A24" s="24">
        <v>15</v>
      </c>
      <c r="B24" s="325"/>
      <c r="C24" s="28"/>
      <c r="D24" s="28"/>
      <c r="E24" s="532"/>
      <c r="F24" s="533"/>
      <c r="G24" s="92"/>
      <c r="H24" s="184"/>
      <c r="I24" s="185"/>
      <c r="K24" s="197">
        <f t="shared" si="0"/>
      </c>
      <c r="L24" s="197">
        <f t="shared" si="1"/>
      </c>
      <c r="M24" s="197">
        <f t="shared" si="2"/>
      </c>
      <c r="N24" s="191"/>
      <c r="O24" s="304">
        <f>IF(ISBLANK($B24),"",VLOOKUP($B24,'Schedule 7'!$B$54:$C$67,2,0))</f>
      </c>
      <c r="P24" s="337">
        <f>IF($B24=0,0,VLOOKUP($H24,$E$55:$G$113,MATCH('Schedule 7'!$O24,$E$54:$G$54,0),FALSE))</f>
        <v>0</v>
      </c>
      <c r="Q24" s="337">
        <f>IF($B24=0,0,VLOOKUP($I24,$E$55:$G$113,MATCH('Schedule 7'!$O24,$E$54:$G$54,0),FALSE))</f>
        <v>0</v>
      </c>
      <c r="R24" s="340">
        <f t="shared" si="3"/>
        <v>0</v>
      </c>
      <c r="S24" s="194">
        <f t="shared" si="4"/>
        <v>0</v>
      </c>
      <c r="T24" s="329">
        <f t="shared" si="5"/>
        <v>0</v>
      </c>
    </row>
    <row r="25" spans="1:20" s="22" customFormat="1" ht="15" customHeight="1">
      <c r="A25" s="24">
        <v>16</v>
      </c>
      <c r="B25" s="325"/>
      <c r="C25" s="28"/>
      <c r="D25" s="28"/>
      <c r="E25" s="532"/>
      <c r="F25" s="533"/>
      <c r="G25" s="92"/>
      <c r="H25" s="184"/>
      <c r="I25" s="185"/>
      <c r="K25" s="197">
        <f t="shared" si="0"/>
      </c>
      <c r="L25" s="197">
        <f t="shared" si="1"/>
      </c>
      <c r="M25" s="197">
        <f t="shared" si="2"/>
      </c>
      <c r="N25" s="191"/>
      <c r="O25" s="304">
        <f>IF(ISBLANK($B25),"",VLOOKUP($B25,'Schedule 7'!$B$54:$C$67,2,0))</f>
      </c>
      <c r="P25" s="337">
        <f>IF($B25=0,0,VLOOKUP($H25,$E$55:$G$113,MATCH('Schedule 7'!$O25,$E$54:$G$54,0),FALSE))</f>
        <v>0</v>
      </c>
      <c r="Q25" s="337">
        <f>IF($B25=0,0,VLOOKUP($I25,$E$55:$G$113,MATCH('Schedule 7'!$O25,$E$54:$G$54,0),FALSE))</f>
        <v>0</v>
      </c>
      <c r="R25" s="340">
        <f t="shared" si="3"/>
        <v>0</v>
      </c>
      <c r="S25" s="194">
        <f t="shared" si="4"/>
        <v>0</v>
      </c>
      <c r="T25" s="329">
        <f t="shared" si="5"/>
        <v>0</v>
      </c>
    </row>
    <row r="26" spans="1:20" s="22" customFormat="1" ht="15" customHeight="1">
      <c r="A26" s="24">
        <v>17</v>
      </c>
      <c r="B26" s="325"/>
      <c r="C26" s="28"/>
      <c r="D26" s="28"/>
      <c r="E26" s="532"/>
      <c r="F26" s="533"/>
      <c r="G26" s="92"/>
      <c r="H26" s="184"/>
      <c r="I26" s="185"/>
      <c r="K26" s="197">
        <f t="shared" si="0"/>
      </c>
      <c r="L26" s="197">
        <f t="shared" si="1"/>
      </c>
      <c r="M26" s="197">
        <f t="shared" si="2"/>
      </c>
      <c r="N26" s="191"/>
      <c r="O26" s="304">
        <f>IF(ISBLANK($B26),"",VLOOKUP($B26,'Schedule 7'!$B$54:$C$67,2,0))</f>
      </c>
      <c r="P26" s="337">
        <f>IF($B26=0,0,VLOOKUP($H26,$E$55:$G$113,MATCH('Schedule 7'!$O26,$E$54:$G$54,0),FALSE))</f>
        <v>0</v>
      </c>
      <c r="Q26" s="337">
        <f>IF($B26=0,0,VLOOKUP($I26,$E$55:$G$113,MATCH('Schedule 7'!$O26,$E$54:$G$54,0),FALSE))</f>
        <v>0</v>
      </c>
      <c r="R26" s="340">
        <f t="shared" si="3"/>
        <v>0</v>
      </c>
      <c r="S26" s="194">
        <f t="shared" si="4"/>
        <v>0</v>
      </c>
      <c r="T26" s="329">
        <f t="shared" si="5"/>
        <v>0</v>
      </c>
    </row>
    <row r="27" spans="1:20" s="22" customFormat="1" ht="15" customHeight="1">
      <c r="A27" s="24">
        <v>18</v>
      </c>
      <c r="B27" s="325"/>
      <c r="C27" s="28"/>
      <c r="D27" s="28"/>
      <c r="E27" s="532"/>
      <c r="F27" s="533"/>
      <c r="G27" s="92"/>
      <c r="H27" s="184"/>
      <c r="I27" s="185"/>
      <c r="K27" s="197">
        <f t="shared" si="0"/>
      </c>
      <c r="L27" s="197">
        <f t="shared" si="1"/>
      </c>
      <c r="M27" s="197">
        <f t="shared" si="2"/>
      </c>
      <c r="N27" s="191"/>
      <c r="O27" s="304">
        <f>IF(ISBLANK($B27),"",VLOOKUP($B27,'Schedule 7'!$B$54:$C$67,2,0))</f>
      </c>
      <c r="P27" s="337">
        <f>IF($B27=0,0,VLOOKUP($H27,$E$55:$G$113,MATCH('Schedule 7'!$O27,$E$54:$G$54,0),FALSE))</f>
        <v>0</v>
      </c>
      <c r="Q27" s="337">
        <f>IF($B27=0,0,VLOOKUP($I27,$E$55:$G$113,MATCH('Schedule 7'!$O27,$E$54:$G$54,0),FALSE))</f>
        <v>0</v>
      </c>
      <c r="R27" s="340">
        <f t="shared" si="3"/>
        <v>0</v>
      </c>
      <c r="S27" s="194">
        <f t="shared" si="4"/>
        <v>0</v>
      </c>
      <c r="T27" s="329">
        <f t="shared" si="5"/>
        <v>0</v>
      </c>
    </row>
    <row r="28" spans="1:20" s="22" customFormat="1" ht="15" customHeight="1">
      <c r="A28" s="24">
        <v>19</v>
      </c>
      <c r="B28" s="325"/>
      <c r="C28" s="28"/>
      <c r="D28" s="28"/>
      <c r="E28" s="532"/>
      <c r="F28" s="533"/>
      <c r="G28" s="92"/>
      <c r="H28" s="184"/>
      <c r="I28" s="185"/>
      <c r="K28" s="197">
        <f t="shared" si="0"/>
      </c>
      <c r="L28" s="197">
        <f t="shared" si="1"/>
      </c>
      <c r="M28" s="197">
        <f t="shared" si="2"/>
      </c>
      <c r="N28" s="191"/>
      <c r="O28" s="304">
        <f>IF(ISBLANK($B28),"",VLOOKUP($B28,'Schedule 7'!$B$54:$C$67,2,0))</f>
      </c>
      <c r="P28" s="337">
        <f>IF($B28=0,0,VLOOKUP($H28,$E$55:$G$113,MATCH('Schedule 7'!$O28,$E$54:$G$54,0),FALSE))</f>
        <v>0</v>
      </c>
      <c r="Q28" s="337">
        <f>IF($B28=0,0,VLOOKUP($I28,$E$55:$G$113,MATCH('Schedule 7'!$O28,$E$54:$G$54,0),FALSE))</f>
        <v>0</v>
      </c>
      <c r="R28" s="340">
        <f t="shared" si="3"/>
        <v>0</v>
      </c>
      <c r="S28" s="194">
        <f t="shared" si="4"/>
        <v>0</v>
      </c>
      <c r="T28" s="329">
        <f t="shared" si="5"/>
        <v>0</v>
      </c>
    </row>
    <row r="29" spans="1:20" s="22" customFormat="1" ht="15" customHeight="1">
      <c r="A29" s="24">
        <v>20</v>
      </c>
      <c r="B29" s="325"/>
      <c r="C29" s="28"/>
      <c r="D29" s="28"/>
      <c r="E29" s="532"/>
      <c r="F29" s="533"/>
      <c r="G29" s="92"/>
      <c r="H29" s="184"/>
      <c r="I29" s="185"/>
      <c r="K29" s="197">
        <f t="shared" si="0"/>
      </c>
      <c r="L29" s="197">
        <f t="shared" si="1"/>
      </c>
      <c r="M29" s="197">
        <f t="shared" si="2"/>
      </c>
      <c r="N29" s="191"/>
      <c r="O29" s="304">
        <f>IF(ISBLANK($B29),"",VLOOKUP($B29,'Schedule 7'!$B$54:$C$67,2,0))</f>
      </c>
      <c r="P29" s="337">
        <f>IF($B29=0,0,VLOOKUP($H29,$E$55:$G$113,MATCH('Schedule 7'!$O29,$E$54:$G$54,0),FALSE))</f>
        <v>0</v>
      </c>
      <c r="Q29" s="337">
        <f>IF($B29=0,0,VLOOKUP($I29,$E$55:$G$113,MATCH('Schedule 7'!$O29,$E$54:$G$54,0),FALSE))</f>
        <v>0</v>
      </c>
      <c r="R29" s="340">
        <f t="shared" si="3"/>
        <v>0</v>
      </c>
      <c r="S29" s="194">
        <f t="shared" si="4"/>
        <v>0</v>
      </c>
      <c r="T29" s="329">
        <f t="shared" si="5"/>
        <v>0</v>
      </c>
    </row>
    <row r="30" spans="1:20" s="22" customFormat="1" ht="15" customHeight="1">
      <c r="A30" s="24">
        <v>21</v>
      </c>
      <c r="B30" s="325"/>
      <c r="C30" s="28"/>
      <c r="D30" s="28"/>
      <c r="E30" s="532"/>
      <c r="F30" s="533"/>
      <c r="G30" s="92"/>
      <c r="H30" s="184"/>
      <c r="I30" s="185"/>
      <c r="K30" s="197">
        <f t="shared" si="0"/>
      </c>
      <c r="L30" s="197">
        <f t="shared" si="1"/>
      </c>
      <c r="M30" s="197">
        <f t="shared" si="2"/>
      </c>
      <c r="N30" s="191"/>
      <c r="O30" s="304">
        <f>IF(ISBLANK($B30),"",VLOOKUP($B30,'Schedule 7'!$B$54:$C$67,2,0))</f>
      </c>
      <c r="P30" s="337">
        <f>IF($B30=0,0,VLOOKUP($H30,$E$55:$G$113,MATCH('Schedule 7'!$O30,$E$54:$G$54,0),FALSE))</f>
        <v>0</v>
      </c>
      <c r="Q30" s="337">
        <f>IF($B30=0,0,VLOOKUP($I30,$E$55:$G$113,MATCH('Schedule 7'!$O30,$E$54:$G$54,0),FALSE))</f>
        <v>0</v>
      </c>
      <c r="R30" s="340">
        <f t="shared" si="3"/>
        <v>0</v>
      </c>
      <c r="S30" s="194">
        <f t="shared" si="4"/>
        <v>0</v>
      </c>
      <c r="T30" s="329">
        <f t="shared" si="5"/>
        <v>0</v>
      </c>
    </row>
    <row r="31" spans="1:20" s="22" customFormat="1" ht="15" customHeight="1">
      <c r="A31" s="24">
        <v>22</v>
      </c>
      <c r="B31" s="325"/>
      <c r="C31" s="28"/>
      <c r="D31" s="28"/>
      <c r="E31" s="532"/>
      <c r="F31" s="533"/>
      <c r="G31" s="92"/>
      <c r="H31" s="184"/>
      <c r="I31" s="185"/>
      <c r="K31" s="197">
        <f t="shared" si="0"/>
      </c>
      <c r="L31" s="197">
        <f t="shared" si="1"/>
      </c>
      <c r="M31" s="197">
        <f t="shared" si="2"/>
      </c>
      <c r="N31" s="191"/>
      <c r="O31" s="304">
        <f>IF(ISBLANK($B31),"",VLOOKUP($B31,'Schedule 7'!$B$54:$C$67,2,0))</f>
      </c>
      <c r="P31" s="337">
        <f>IF($B31=0,0,VLOOKUP($H31,$E$55:$G$113,MATCH('Schedule 7'!$O31,$E$54:$G$54,0),FALSE))</f>
        <v>0</v>
      </c>
      <c r="Q31" s="337">
        <f>IF($B31=0,0,VLOOKUP($I31,$E$55:$G$113,MATCH('Schedule 7'!$O31,$E$54:$G$54,0),FALSE))</f>
        <v>0</v>
      </c>
      <c r="R31" s="340">
        <f t="shared" si="3"/>
        <v>0</v>
      </c>
      <c r="S31" s="194">
        <f t="shared" si="4"/>
        <v>0</v>
      </c>
      <c r="T31" s="329">
        <f t="shared" si="5"/>
        <v>0</v>
      </c>
    </row>
    <row r="32" spans="1:20" s="22" customFormat="1" ht="15" customHeight="1">
      <c r="A32" s="24">
        <v>23</v>
      </c>
      <c r="B32" s="325"/>
      <c r="C32" s="28"/>
      <c r="D32" s="28"/>
      <c r="E32" s="532"/>
      <c r="F32" s="533"/>
      <c r="G32" s="92"/>
      <c r="H32" s="184"/>
      <c r="I32" s="185"/>
      <c r="K32" s="197">
        <f t="shared" si="0"/>
      </c>
      <c r="L32" s="197">
        <f t="shared" si="1"/>
      </c>
      <c r="M32" s="197">
        <f t="shared" si="2"/>
      </c>
      <c r="N32" s="191"/>
      <c r="O32" s="304">
        <f>IF(ISBLANK($B32),"",VLOOKUP($B32,'Schedule 7'!$B$54:$C$67,2,0))</f>
      </c>
      <c r="P32" s="337">
        <f>IF($B32=0,0,VLOOKUP($H32,$E$55:$G$113,MATCH('Schedule 7'!$O32,$E$54:$G$54,0),FALSE))</f>
        <v>0</v>
      </c>
      <c r="Q32" s="337">
        <f>IF($B32=0,0,VLOOKUP($I32,$E$55:$G$113,MATCH('Schedule 7'!$O32,$E$54:$G$54,0),FALSE))</f>
        <v>0</v>
      </c>
      <c r="R32" s="340">
        <f t="shared" si="3"/>
        <v>0</v>
      </c>
      <c r="S32" s="194">
        <f t="shared" si="4"/>
        <v>0</v>
      </c>
      <c r="T32" s="329">
        <f t="shared" si="5"/>
        <v>0</v>
      </c>
    </row>
    <row r="33" spans="1:20" s="22" customFormat="1" ht="15" customHeight="1">
      <c r="A33" s="24">
        <v>24</v>
      </c>
      <c r="B33" s="325"/>
      <c r="C33" s="28"/>
      <c r="D33" s="28"/>
      <c r="E33" s="532"/>
      <c r="F33" s="533"/>
      <c r="G33" s="92"/>
      <c r="H33" s="184"/>
      <c r="I33" s="185"/>
      <c r="K33" s="197">
        <f t="shared" si="0"/>
      </c>
      <c r="L33" s="197">
        <f t="shared" si="1"/>
      </c>
      <c r="M33" s="197">
        <f t="shared" si="2"/>
      </c>
      <c r="N33" s="191"/>
      <c r="O33" s="304">
        <f>IF(ISBLANK($B33),"",VLOOKUP($B33,'Schedule 7'!$B$54:$C$67,2,0))</f>
      </c>
      <c r="P33" s="337">
        <f>IF($B33=0,0,VLOOKUP($H33,$E$55:$G$113,MATCH('Schedule 7'!$O33,$E$54:$G$54,0),FALSE))</f>
        <v>0</v>
      </c>
      <c r="Q33" s="337">
        <f>IF($B33=0,0,VLOOKUP($I33,$E$55:$G$113,MATCH('Schedule 7'!$O33,$E$54:$G$54,0),FALSE))</f>
        <v>0</v>
      </c>
      <c r="R33" s="340">
        <f t="shared" si="3"/>
        <v>0</v>
      </c>
      <c r="S33" s="194">
        <f t="shared" si="4"/>
        <v>0</v>
      </c>
      <c r="T33" s="329">
        <f t="shared" si="5"/>
        <v>0</v>
      </c>
    </row>
    <row r="34" spans="1:20" s="22" customFormat="1" ht="15" customHeight="1">
      <c r="A34" s="24">
        <v>25</v>
      </c>
      <c r="B34" s="325"/>
      <c r="C34" s="28"/>
      <c r="D34" s="28"/>
      <c r="E34" s="532"/>
      <c r="F34" s="533"/>
      <c r="G34" s="92"/>
      <c r="H34" s="184"/>
      <c r="I34" s="185"/>
      <c r="K34" s="197">
        <f t="shared" si="0"/>
      </c>
      <c r="L34" s="197">
        <f t="shared" si="1"/>
      </c>
      <c r="M34" s="197">
        <f t="shared" si="2"/>
      </c>
      <c r="N34" s="191"/>
      <c r="O34" s="304">
        <f>IF(ISBLANK($B34),"",VLOOKUP($B34,'Schedule 7'!$B$54:$C$67,2,0))</f>
      </c>
      <c r="P34" s="337">
        <f>IF($B34=0,0,VLOOKUP($H34,$E$55:$G$113,MATCH('Schedule 7'!$O34,$E$54:$G$54,0),FALSE))</f>
        <v>0</v>
      </c>
      <c r="Q34" s="337">
        <f>IF($B34=0,0,VLOOKUP($I34,$E$55:$G$113,MATCH('Schedule 7'!$O34,$E$54:$G$54,0),FALSE))</f>
        <v>0</v>
      </c>
      <c r="R34" s="340">
        <f t="shared" si="3"/>
        <v>0</v>
      </c>
      <c r="S34" s="194">
        <f t="shared" si="4"/>
        <v>0</v>
      </c>
      <c r="T34" s="329">
        <f t="shared" si="5"/>
        <v>0</v>
      </c>
    </row>
    <row r="35" spans="1:20" s="22" customFormat="1" ht="15" customHeight="1">
      <c r="A35" s="24">
        <v>26</v>
      </c>
      <c r="B35" s="325"/>
      <c r="C35" s="28"/>
      <c r="D35" s="28"/>
      <c r="E35" s="532"/>
      <c r="F35" s="533"/>
      <c r="G35" s="92"/>
      <c r="H35" s="184"/>
      <c r="I35" s="185"/>
      <c r="K35" s="197">
        <f t="shared" si="0"/>
      </c>
      <c r="L35" s="197">
        <f t="shared" si="1"/>
      </c>
      <c r="M35" s="197">
        <f t="shared" si="2"/>
      </c>
      <c r="N35" s="191"/>
      <c r="O35" s="304">
        <f>IF(ISBLANK($B35),"",VLOOKUP($B35,'Schedule 7'!$B$54:$C$67,2,0))</f>
      </c>
      <c r="P35" s="337">
        <f>IF($B35=0,0,VLOOKUP($H35,$E$55:$G$113,MATCH('Schedule 7'!$O35,$E$54:$G$54,0),FALSE))</f>
        <v>0</v>
      </c>
      <c r="Q35" s="337">
        <f>IF($B35=0,0,VLOOKUP($I35,$E$55:$G$113,MATCH('Schedule 7'!$O35,$E$54:$G$54,0),FALSE))</f>
        <v>0</v>
      </c>
      <c r="R35" s="340">
        <f t="shared" si="3"/>
        <v>0</v>
      </c>
      <c r="S35" s="194">
        <f t="shared" si="4"/>
        <v>0</v>
      </c>
      <c r="T35" s="329">
        <f t="shared" si="5"/>
        <v>0</v>
      </c>
    </row>
    <row r="36" spans="1:20" s="22" customFormat="1" ht="15" customHeight="1">
      <c r="A36" s="24">
        <v>27</v>
      </c>
      <c r="B36" s="325"/>
      <c r="C36" s="28"/>
      <c r="D36" s="28"/>
      <c r="E36" s="532"/>
      <c r="F36" s="533"/>
      <c r="G36" s="92"/>
      <c r="H36" s="184"/>
      <c r="I36" s="185"/>
      <c r="K36" s="197">
        <f t="shared" si="0"/>
      </c>
      <c r="L36" s="197">
        <f t="shared" si="1"/>
      </c>
      <c r="M36" s="197">
        <f t="shared" si="2"/>
      </c>
      <c r="N36" s="191"/>
      <c r="O36" s="304">
        <f>IF(ISBLANK($B36),"",VLOOKUP($B36,'Schedule 7'!$B$54:$C$67,2,0))</f>
      </c>
      <c r="P36" s="337">
        <f>IF($B36=0,0,VLOOKUP($H36,$E$55:$G$113,MATCH('Schedule 7'!$O36,$E$54:$G$54,0),FALSE))</f>
        <v>0</v>
      </c>
      <c r="Q36" s="337">
        <f>IF($B36=0,0,VLOOKUP($I36,$E$55:$G$113,MATCH('Schedule 7'!$O36,$E$54:$G$54,0),FALSE))</f>
        <v>0</v>
      </c>
      <c r="R36" s="340">
        <f t="shared" si="3"/>
        <v>0</v>
      </c>
      <c r="S36" s="194">
        <f t="shared" si="4"/>
        <v>0</v>
      </c>
      <c r="T36" s="329">
        <f t="shared" si="5"/>
        <v>0</v>
      </c>
    </row>
    <row r="37" spans="1:20" s="22" customFormat="1" ht="15" customHeight="1">
      <c r="A37" s="24">
        <v>28</v>
      </c>
      <c r="B37" s="325"/>
      <c r="C37" s="28"/>
      <c r="D37" s="28"/>
      <c r="E37" s="532"/>
      <c r="F37" s="533"/>
      <c r="G37" s="92"/>
      <c r="H37" s="184"/>
      <c r="I37" s="185"/>
      <c r="K37" s="197">
        <f t="shared" si="0"/>
      </c>
      <c r="L37" s="197">
        <f t="shared" si="1"/>
      </c>
      <c r="M37" s="197">
        <f t="shared" si="2"/>
      </c>
      <c r="N37" s="191"/>
      <c r="O37" s="304">
        <f>IF(ISBLANK($B37),"",VLOOKUP($B37,'Schedule 7'!$B$54:$C$67,2,0))</f>
      </c>
      <c r="P37" s="337">
        <f>IF($B37=0,0,VLOOKUP($H37,$E$55:$G$113,MATCH('Schedule 7'!$O37,$E$54:$G$54,0),FALSE))</f>
        <v>0</v>
      </c>
      <c r="Q37" s="337">
        <f>IF($B37=0,0,VLOOKUP($I37,$E$55:$G$113,MATCH('Schedule 7'!$O37,$E$54:$G$54,0),FALSE))</f>
        <v>0</v>
      </c>
      <c r="R37" s="340">
        <f t="shared" si="3"/>
        <v>0</v>
      </c>
      <c r="S37" s="194">
        <f t="shared" si="4"/>
        <v>0</v>
      </c>
      <c r="T37" s="329">
        <f t="shared" si="5"/>
        <v>0</v>
      </c>
    </row>
    <row r="38" spans="1:20" s="22" customFormat="1" ht="15" customHeight="1">
      <c r="A38" s="24">
        <v>29</v>
      </c>
      <c r="B38" s="325"/>
      <c r="C38" s="28"/>
      <c r="D38" s="28"/>
      <c r="E38" s="532"/>
      <c r="F38" s="533"/>
      <c r="G38" s="92"/>
      <c r="H38" s="184"/>
      <c r="I38" s="185"/>
      <c r="K38" s="197">
        <f t="shared" si="0"/>
      </c>
      <c r="L38" s="197">
        <f t="shared" si="1"/>
      </c>
      <c r="M38" s="197">
        <f t="shared" si="2"/>
      </c>
      <c r="N38" s="191"/>
      <c r="O38" s="304">
        <f>IF(ISBLANK($B38),"",VLOOKUP($B38,'Schedule 7'!$B$54:$C$67,2,0))</f>
      </c>
      <c r="P38" s="337">
        <f>IF($B38=0,0,VLOOKUP($H38,$E$55:$G$113,MATCH('Schedule 7'!$O38,$E$54:$G$54,0),FALSE))</f>
        <v>0</v>
      </c>
      <c r="Q38" s="337">
        <f>IF($B38=0,0,VLOOKUP($I38,$E$55:$G$113,MATCH('Schedule 7'!$O38,$E$54:$G$54,0),FALSE))</f>
        <v>0</v>
      </c>
      <c r="R38" s="340">
        <f t="shared" si="3"/>
        <v>0</v>
      </c>
      <c r="S38" s="194">
        <f t="shared" si="4"/>
        <v>0</v>
      </c>
      <c r="T38" s="329">
        <f t="shared" si="5"/>
        <v>0</v>
      </c>
    </row>
    <row r="39" spans="1:20" s="22" customFormat="1" ht="15" customHeight="1">
      <c r="A39" s="24">
        <v>30</v>
      </c>
      <c r="B39" s="325"/>
      <c r="C39" s="28"/>
      <c r="D39" s="28"/>
      <c r="E39" s="532"/>
      <c r="F39" s="533"/>
      <c r="G39" s="92"/>
      <c r="H39" s="184"/>
      <c r="I39" s="185"/>
      <c r="K39" s="197">
        <f t="shared" si="0"/>
      </c>
      <c r="L39" s="197">
        <f t="shared" si="1"/>
      </c>
      <c r="M39" s="197">
        <f t="shared" si="2"/>
      </c>
      <c r="N39" s="191"/>
      <c r="O39" s="304">
        <f>IF(ISBLANK($B39),"",VLOOKUP($B39,'Schedule 7'!$B$54:$C$67,2,0))</f>
      </c>
      <c r="P39" s="337">
        <f>IF($B39=0,0,VLOOKUP($H39,$E$55:$G$113,MATCH('Schedule 7'!$O39,$E$54:$G$54,0),FALSE))</f>
        <v>0</v>
      </c>
      <c r="Q39" s="337">
        <f>IF($B39=0,0,VLOOKUP($I39,$E$55:$G$113,MATCH('Schedule 7'!$O39,$E$54:$G$54,0),FALSE))</f>
        <v>0</v>
      </c>
      <c r="R39" s="340">
        <f t="shared" si="3"/>
        <v>0</v>
      </c>
      <c r="S39" s="194">
        <f t="shared" si="4"/>
        <v>0</v>
      </c>
      <c r="T39" s="329">
        <f t="shared" si="5"/>
        <v>0</v>
      </c>
    </row>
    <row r="40" spans="1:20" s="22" customFormat="1" ht="15" customHeight="1" thickBot="1">
      <c r="A40" s="166">
        <v>31</v>
      </c>
      <c r="B40" s="311"/>
      <c r="C40" s="311"/>
      <c r="D40" s="311"/>
      <c r="E40" s="312"/>
      <c r="F40" s="311"/>
      <c r="G40" s="311"/>
      <c r="H40" s="313"/>
      <c r="I40" s="314"/>
      <c r="K40" s="192">
        <f>COUNTIF(K10:K39,"Yes")</f>
        <v>0</v>
      </c>
      <c r="L40" s="192">
        <f>COUNTIF(L10:L39,"Yes")</f>
        <v>0</v>
      </c>
      <c r="M40" s="192">
        <f>COUNTIF(M10:M39,"Yes")</f>
        <v>0</v>
      </c>
      <c r="N40" s="192"/>
      <c r="O40" s="192"/>
      <c r="P40" s="338">
        <f>SUM(P10:P39)</f>
        <v>0</v>
      </c>
      <c r="Q40" s="338">
        <f>SUM(Q10:Q39)</f>
        <v>0</v>
      </c>
      <c r="R40" s="341">
        <f>SUM(R10:R39)</f>
        <v>0</v>
      </c>
      <c r="S40" s="193"/>
      <c r="T40" s="193"/>
    </row>
    <row r="41" spans="1:9" ht="10.5" thickTop="1">
      <c r="A41" s="441" t="s">
        <v>519</v>
      </c>
      <c r="B41" s="441"/>
      <c r="C41" s="441"/>
      <c r="D41" s="441"/>
      <c r="E41" s="441"/>
      <c r="F41" s="441"/>
      <c r="G41" s="441"/>
      <c r="H41" s="441"/>
      <c r="I41" s="441"/>
    </row>
    <row r="42" spans="1:9" ht="9.75">
      <c r="A42" s="25"/>
      <c r="B42" s="202"/>
      <c r="C42" s="203"/>
      <c r="D42" s="206" t="s">
        <v>187</v>
      </c>
      <c r="E42" s="206" t="s">
        <v>187</v>
      </c>
      <c r="F42" s="206" t="s">
        <v>188</v>
      </c>
      <c r="G42" s="206" t="s">
        <v>188</v>
      </c>
      <c r="H42" s="206" t="s">
        <v>96</v>
      </c>
      <c r="I42" s="326" t="s">
        <v>96</v>
      </c>
    </row>
    <row r="43" spans="1:9" ht="9.75">
      <c r="A43" s="76"/>
      <c r="B43" s="204"/>
      <c r="C43" s="205"/>
      <c r="D43" s="207" t="s">
        <v>333</v>
      </c>
      <c r="E43" s="207" t="s">
        <v>69</v>
      </c>
      <c r="F43" s="207" t="s">
        <v>333</v>
      </c>
      <c r="G43" s="207" t="s">
        <v>69</v>
      </c>
      <c r="H43" s="207" t="s">
        <v>333</v>
      </c>
      <c r="I43" s="208" t="s">
        <v>69</v>
      </c>
    </row>
    <row r="44" spans="1:9" ht="9.75">
      <c r="A44" s="24">
        <f>A40+1</f>
        <v>32</v>
      </c>
      <c r="B44" s="204" t="s">
        <v>520</v>
      </c>
      <c r="C44" s="205"/>
      <c r="D44" s="327">
        <f>SUMPRODUCT((Counts!$A$4:$A$414='Cover Page'!$A$4)*(Counts!$B$4:$B$414="MPCP")*(Counts!$AJ$4:$AJ$414))</f>
        <v>0</v>
      </c>
      <c r="E44" s="327">
        <f>SUMPRODUCT((Counts!$A$4:$A$414='Cover Page'!$A$4)*(Counts!$B$4:$B$414="MPCP")*(Counts!$AK$4:$AK$414))</f>
        <v>0</v>
      </c>
      <c r="F44" s="327">
        <f>SUMPRODUCT((Counts!$A$4:$A$414='Cover Page'!$A$4)*(Counts!$B$4:$B$414="RPCP")*(Counts!$AJ$4:$AJ$414))</f>
        <v>0</v>
      </c>
      <c r="G44" s="327">
        <f>SUMPRODUCT((Counts!$A$4:$A$414='Cover Page'!$A$4)*(Counts!$B$4:$B$414="RPCP")*(Counts!$AK$4:$AK$414))</f>
        <v>0</v>
      </c>
      <c r="H44" s="327">
        <f>SUMPRODUCT((Counts!$A$4:$A$414='Cover Page'!$A$4)*(Counts!$B$4:$B$414="WPCP")*(Counts!$AJ$4:$AJ$414))</f>
        <v>0</v>
      </c>
      <c r="I44" s="339">
        <f>SUMPRODUCT((Counts!$A$4:$A$414='Cover Page'!$A$4)*(Counts!$B$4:$B$414="WPCP")*(Counts!$AK$4:$AK$414))</f>
        <v>0</v>
      </c>
    </row>
    <row r="45" spans="1:9" ht="9.75">
      <c r="A45" s="24">
        <f>A44+1</f>
        <v>33</v>
      </c>
      <c r="B45" s="200" t="s">
        <v>511</v>
      </c>
      <c r="C45" s="200"/>
      <c r="D45" s="201">
        <f aca="true" t="shared" si="6" ref="D45:I45">_xlfn.SUMIFS($S$10:$S$39,$O$10:$O$39,D$43,$G$10:$G$39,D$42)</f>
        <v>0</v>
      </c>
      <c r="E45" s="201">
        <f t="shared" si="6"/>
        <v>0</v>
      </c>
      <c r="F45" s="201">
        <f t="shared" si="6"/>
        <v>0</v>
      </c>
      <c r="G45" s="201">
        <f t="shared" si="6"/>
        <v>0</v>
      </c>
      <c r="H45" s="201">
        <f t="shared" si="6"/>
        <v>0</v>
      </c>
      <c r="I45" s="209">
        <f t="shared" si="6"/>
        <v>0</v>
      </c>
    </row>
    <row r="46" spans="1:9" ht="10.5" thickBot="1">
      <c r="A46" s="24">
        <f>A45+1</f>
        <v>34</v>
      </c>
      <c r="B46" s="305" t="s">
        <v>512</v>
      </c>
      <c r="C46" s="305"/>
      <c r="D46" s="306">
        <f aca="true" t="shared" si="7" ref="D46:I46">_xlfn.SUMIFS($T$10:$T$39,$O$10:$O$39,D$43,$G$10:$G$39,D$42)</f>
        <v>0</v>
      </c>
      <c r="E46" s="306">
        <f t="shared" si="7"/>
        <v>0</v>
      </c>
      <c r="F46" s="306">
        <f t="shared" si="7"/>
        <v>0</v>
      </c>
      <c r="G46" s="306">
        <f t="shared" si="7"/>
        <v>0</v>
      </c>
      <c r="H46" s="306">
        <f t="shared" si="7"/>
        <v>0</v>
      </c>
      <c r="I46" s="307">
        <f t="shared" si="7"/>
        <v>0</v>
      </c>
    </row>
    <row r="47" spans="1:9" ht="10.5" thickBot="1">
      <c r="A47" s="308">
        <f>A46+1</f>
        <v>35</v>
      </c>
      <c r="B47" s="309" t="s">
        <v>268</v>
      </c>
      <c r="C47" s="309"/>
      <c r="D47" s="310">
        <f aca="true" t="shared" si="8" ref="D47:I47">IF($I$5="No",0,SUM(D44:D46))</f>
        <v>0</v>
      </c>
      <c r="E47" s="310">
        <f t="shared" si="8"/>
        <v>0</v>
      </c>
      <c r="F47" s="310">
        <f t="shared" si="8"/>
        <v>0</v>
      </c>
      <c r="G47" s="310">
        <f t="shared" si="8"/>
        <v>0</v>
      </c>
      <c r="H47" s="310">
        <f t="shared" si="8"/>
        <v>0</v>
      </c>
      <c r="I47" s="310">
        <f t="shared" si="8"/>
        <v>0</v>
      </c>
    </row>
    <row r="48" ht="10.5" thickTop="1">
      <c r="A48" s="196"/>
    </row>
    <row r="49" ht="9.75">
      <c r="A49" s="196"/>
    </row>
    <row r="50" ht="9.75">
      <c r="A50" s="196"/>
    </row>
    <row r="51" ht="9.75">
      <c r="A51" s="196"/>
    </row>
    <row r="52" spans="1:10" ht="9.75" hidden="1">
      <c r="A52" s="196">
        <v>40</v>
      </c>
      <c r="J52" s="42"/>
    </row>
    <row r="53" spans="1:10" ht="35.25" customHeight="1" hidden="1">
      <c r="A53" s="196">
        <v>40</v>
      </c>
      <c r="B53" s="315" t="s">
        <v>366</v>
      </c>
      <c r="C53" s="315" t="s">
        <v>367</v>
      </c>
      <c r="D53" s="315"/>
      <c r="F53" s="9" t="s">
        <v>409</v>
      </c>
      <c r="G53" s="334">
        <v>0.05</v>
      </c>
      <c r="J53" s="42"/>
    </row>
    <row r="54" spans="1:10" ht="17.25" customHeight="1" hidden="1">
      <c r="A54" s="196">
        <v>40</v>
      </c>
      <c r="B54" s="303" t="s">
        <v>8</v>
      </c>
      <c r="C54" s="303" t="s">
        <v>333</v>
      </c>
      <c r="D54" s="303"/>
      <c r="F54" s="303" t="s">
        <v>333</v>
      </c>
      <c r="G54" s="303" t="s">
        <v>69</v>
      </c>
      <c r="H54" s="303"/>
      <c r="J54" s="303"/>
    </row>
    <row r="55" spans="1:10" ht="12" customHeight="1" hidden="1">
      <c r="A55" s="196">
        <v>40</v>
      </c>
      <c r="B55" s="303" t="s">
        <v>9</v>
      </c>
      <c r="C55" s="303" t="s">
        <v>333</v>
      </c>
      <c r="D55" s="303"/>
      <c r="F55" s="190">
        <f>'Payment Amounts'!B6</f>
        <v>7754</v>
      </c>
      <c r="G55" s="190">
        <f>'Payment Amounts'!B7</f>
        <v>8400</v>
      </c>
      <c r="J55" s="303"/>
    </row>
    <row r="56" spans="1:10" ht="21" customHeight="1" hidden="1">
      <c r="A56" s="196">
        <v>40</v>
      </c>
      <c r="B56" s="303">
        <v>1</v>
      </c>
      <c r="C56" s="303" t="s">
        <v>333</v>
      </c>
      <c r="D56" s="303"/>
      <c r="E56" s="9">
        <v>0</v>
      </c>
      <c r="F56" s="335">
        <f aca="true" t="shared" si="9" ref="F56:G70">ROUND(F$55*$G$53*$E56/15,2)</f>
        <v>0</v>
      </c>
      <c r="G56" s="335">
        <f t="shared" si="9"/>
        <v>0</v>
      </c>
      <c r="J56" s="303"/>
    </row>
    <row r="57" spans="1:10" ht="9.75" hidden="1">
      <c r="A57" s="196">
        <v>40</v>
      </c>
      <c r="B57" s="303">
        <v>2</v>
      </c>
      <c r="C57" s="303" t="s">
        <v>333</v>
      </c>
      <c r="D57" s="303"/>
      <c r="E57" s="9">
        <v>1</v>
      </c>
      <c r="F57" s="335">
        <f t="shared" si="9"/>
        <v>25.85</v>
      </c>
      <c r="G57" s="335">
        <f t="shared" si="9"/>
        <v>28</v>
      </c>
      <c r="J57" s="303"/>
    </row>
    <row r="58" spans="1:10" ht="9.75" hidden="1">
      <c r="A58" s="196">
        <v>40</v>
      </c>
      <c r="B58" s="303">
        <v>3</v>
      </c>
      <c r="C58" s="303" t="s">
        <v>333</v>
      </c>
      <c r="D58" s="303"/>
      <c r="E58" s="9">
        <v>2</v>
      </c>
      <c r="F58" s="335">
        <f t="shared" si="9"/>
        <v>51.69</v>
      </c>
      <c r="G58" s="335">
        <f t="shared" si="9"/>
        <v>56</v>
      </c>
      <c r="J58" s="303"/>
    </row>
    <row r="59" spans="1:10" ht="9.75" hidden="1">
      <c r="A59" s="196">
        <v>40</v>
      </c>
      <c r="B59" s="303">
        <v>4</v>
      </c>
      <c r="C59" s="303" t="s">
        <v>333</v>
      </c>
      <c r="D59" s="303"/>
      <c r="E59" s="9">
        <v>3</v>
      </c>
      <c r="F59" s="335">
        <f t="shared" si="9"/>
        <v>77.54</v>
      </c>
      <c r="G59" s="335">
        <f t="shared" si="9"/>
        <v>84</v>
      </c>
      <c r="J59" s="303"/>
    </row>
    <row r="60" spans="1:10" ht="9.75" hidden="1">
      <c r="A60" s="196">
        <v>40</v>
      </c>
      <c r="B60" s="303">
        <v>5</v>
      </c>
      <c r="C60" s="303" t="s">
        <v>333</v>
      </c>
      <c r="D60" s="303"/>
      <c r="E60" s="9">
        <v>4</v>
      </c>
      <c r="F60" s="335">
        <f t="shared" si="9"/>
        <v>103.39</v>
      </c>
      <c r="G60" s="335">
        <f t="shared" si="9"/>
        <v>112</v>
      </c>
      <c r="J60" s="303"/>
    </row>
    <row r="61" spans="1:10" ht="9.75" hidden="1">
      <c r="A61" s="196">
        <v>40</v>
      </c>
      <c r="B61" s="303">
        <v>6</v>
      </c>
      <c r="C61" s="303" t="s">
        <v>333</v>
      </c>
      <c r="D61" s="303"/>
      <c r="E61" s="9">
        <v>5</v>
      </c>
      <c r="F61" s="335">
        <f t="shared" si="9"/>
        <v>129.23</v>
      </c>
      <c r="G61" s="335">
        <f t="shared" si="9"/>
        <v>140</v>
      </c>
      <c r="J61" s="303"/>
    </row>
    <row r="62" spans="1:10" ht="9.75" hidden="1">
      <c r="A62" s="196">
        <v>40</v>
      </c>
      <c r="B62" s="303">
        <v>7</v>
      </c>
      <c r="C62" s="303" t="s">
        <v>333</v>
      </c>
      <c r="D62" s="303"/>
      <c r="E62" s="9">
        <v>6</v>
      </c>
      <c r="F62" s="335">
        <f t="shared" si="9"/>
        <v>155.08</v>
      </c>
      <c r="G62" s="335">
        <f t="shared" si="9"/>
        <v>168</v>
      </c>
      <c r="J62" s="303"/>
    </row>
    <row r="63" spans="1:10" ht="9.75" hidden="1">
      <c r="A63" s="196">
        <v>40</v>
      </c>
      <c r="B63" s="303">
        <v>8</v>
      </c>
      <c r="C63" s="303" t="s">
        <v>333</v>
      </c>
      <c r="D63" s="303"/>
      <c r="E63" s="9">
        <v>7</v>
      </c>
      <c r="F63" s="335">
        <f t="shared" si="9"/>
        <v>180.93</v>
      </c>
      <c r="G63" s="335">
        <f t="shared" si="9"/>
        <v>196</v>
      </c>
      <c r="J63" s="303"/>
    </row>
    <row r="64" spans="1:10" ht="9.75" hidden="1">
      <c r="A64" s="196">
        <v>40</v>
      </c>
      <c r="B64" s="303">
        <v>9</v>
      </c>
      <c r="C64" s="303" t="s">
        <v>69</v>
      </c>
      <c r="D64" s="303"/>
      <c r="E64" s="9">
        <v>8</v>
      </c>
      <c r="F64" s="335">
        <f t="shared" si="9"/>
        <v>206.77</v>
      </c>
      <c r="G64" s="335">
        <f t="shared" si="9"/>
        <v>224</v>
      </c>
      <c r="J64" s="303"/>
    </row>
    <row r="65" spans="1:10" ht="9.75" hidden="1">
      <c r="A65" s="196">
        <v>40</v>
      </c>
      <c r="B65" s="303">
        <v>10</v>
      </c>
      <c r="C65" s="303" t="s">
        <v>69</v>
      </c>
      <c r="D65" s="303"/>
      <c r="E65" s="9">
        <v>9</v>
      </c>
      <c r="F65" s="335">
        <f t="shared" si="9"/>
        <v>232.62</v>
      </c>
      <c r="G65" s="335">
        <f t="shared" si="9"/>
        <v>252</v>
      </c>
      <c r="J65" s="303"/>
    </row>
    <row r="66" spans="1:10" ht="9.75" hidden="1">
      <c r="A66" s="196">
        <v>40</v>
      </c>
      <c r="B66" s="303">
        <v>11</v>
      </c>
      <c r="C66" s="303" t="s">
        <v>69</v>
      </c>
      <c r="D66" s="303"/>
      <c r="E66" s="9">
        <v>10</v>
      </c>
      <c r="F66" s="335">
        <f t="shared" si="9"/>
        <v>258.47</v>
      </c>
      <c r="G66" s="335">
        <f t="shared" si="9"/>
        <v>280</v>
      </c>
      <c r="H66" s="42"/>
      <c r="I66" s="42"/>
      <c r="J66" s="303"/>
    </row>
    <row r="67" spans="1:10" ht="9.75" hidden="1">
      <c r="A67" s="196">
        <v>40</v>
      </c>
      <c r="B67" s="303">
        <v>12</v>
      </c>
      <c r="C67" s="303" t="s">
        <v>69</v>
      </c>
      <c r="D67" s="303"/>
      <c r="E67" s="9">
        <v>11</v>
      </c>
      <c r="F67" s="335">
        <f t="shared" si="9"/>
        <v>284.31</v>
      </c>
      <c r="G67" s="335">
        <f t="shared" si="9"/>
        <v>308</v>
      </c>
      <c r="H67" s="152"/>
      <c r="I67" s="316"/>
      <c r="J67" s="303"/>
    </row>
    <row r="68" spans="1:10" ht="9.75" hidden="1">
      <c r="A68" s="196">
        <v>40</v>
      </c>
      <c r="E68" s="9">
        <v>12</v>
      </c>
      <c r="F68" s="335">
        <f t="shared" si="9"/>
        <v>310.16</v>
      </c>
      <c r="G68" s="335">
        <f t="shared" si="9"/>
        <v>336</v>
      </c>
      <c r="I68" s="303"/>
      <c r="J68" s="303"/>
    </row>
    <row r="69" spans="5:7" ht="9.75" hidden="1">
      <c r="E69" s="9">
        <v>13</v>
      </c>
      <c r="F69" s="335">
        <f t="shared" si="9"/>
        <v>336.01</v>
      </c>
      <c r="G69" s="335">
        <f t="shared" si="9"/>
        <v>364</v>
      </c>
    </row>
    <row r="70" spans="5:7" ht="9.75" hidden="1">
      <c r="E70" s="9">
        <v>14</v>
      </c>
      <c r="F70" s="335">
        <f t="shared" si="9"/>
        <v>361.85</v>
      </c>
      <c r="G70" s="335">
        <f t="shared" si="9"/>
        <v>392</v>
      </c>
    </row>
    <row r="71" spans="5:7" ht="9.75" hidden="1">
      <c r="E71" s="9">
        <v>15</v>
      </c>
      <c r="F71" s="335">
        <f aca="true" t="shared" si="10" ref="F71:G90">ROUND(F$55*$G$53,2)</f>
        <v>387.7</v>
      </c>
      <c r="G71" s="335">
        <f t="shared" si="10"/>
        <v>420</v>
      </c>
    </row>
    <row r="72" spans="5:7" ht="9.75" hidden="1">
      <c r="E72" s="9">
        <v>16</v>
      </c>
      <c r="F72" s="335">
        <f t="shared" si="10"/>
        <v>387.7</v>
      </c>
      <c r="G72" s="335">
        <f t="shared" si="10"/>
        <v>420</v>
      </c>
    </row>
    <row r="73" spans="5:7" ht="9.75" hidden="1">
      <c r="E73" s="9">
        <v>17</v>
      </c>
      <c r="F73" s="335">
        <f t="shared" si="10"/>
        <v>387.7</v>
      </c>
      <c r="G73" s="335">
        <f t="shared" si="10"/>
        <v>420</v>
      </c>
    </row>
    <row r="74" spans="5:7" ht="9.75" hidden="1">
      <c r="E74" s="9">
        <v>18</v>
      </c>
      <c r="F74" s="335">
        <f t="shared" si="10"/>
        <v>387.7</v>
      </c>
      <c r="G74" s="335">
        <f t="shared" si="10"/>
        <v>420</v>
      </c>
    </row>
    <row r="75" spans="5:7" ht="9.75" hidden="1">
      <c r="E75" s="9">
        <v>19</v>
      </c>
      <c r="F75" s="335">
        <f t="shared" si="10"/>
        <v>387.7</v>
      </c>
      <c r="G75" s="335">
        <f t="shared" si="10"/>
        <v>420</v>
      </c>
    </row>
    <row r="76" spans="5:7" ht="9.75" hidden="1">
      <c r="E76" s="9">
        <v>20</v>
      </c>
      <c r="F76" s="335">
        <f t="shared" si="10"/>
        <v>387.7</v>
      </c>
      <c r="G76" s="335">
        <f t="shared" si="10"/>
        <v>420</v>
      </c>
    </row>
    <row r="77" spans="5:7" ht="9.75" hidden="1">
      <c r="E77" s="9">
        <v>21</v>
      </c>
      <c r="F77" s="335">
        <f t="shared" si="10"/>
        <v>387.7</v>
      </c>
      <c r="G77" s="335">
        <f t="shared" si="10"/>
        <v>420</v>
      </c>
    </row>
    <row r="78" spans="5:7" ht="9.75" hidden="1">
      <c r="E78" s="9">
        <v>22</v>
      </c>
      <c r="F78" s="335">
        <f t="shared" si="10"/>
        <v>387.7</v>
      </c>
      <c r="G78" s="335">
        <f t="shared" si="10"/>
        <v>420</v>
      </c>
    </row>
    <row r="79" spans="5:7" ht="9.75" hidden="1">
      <c r="E79" s="9">
        <v>23</v>
      </c>
      <c r="F79" s="335">
        <f t="shared" si="10"/>
        <v>387.7</v>
      </c>
      <c r="G79" s="335">
        <f t="shared" si="10"/>
        <v>420</v>
      </c>
    </row>
    <row r="80" spans="5:7" ht="9.75" hidden="1">
      <c r="E80" s="9">
        <v>24</v>
      </c>
      <c r="F80" s="335">
        <f t="shared" si="10"/>
        <v>387.7</v>
      </c>
      <c r="G80" s="335">
        <f t="shared" si="10"/>
        <v>420</v>
      </c>
    </row>
    <row r="81" spans="5:7" ht="9.75" hidden="1">
      <c r="E81" s="9">
        <v>25</v>
      </c>
      <c r="F81" s="335">
        <f t="shared" si="10"/>
        <v>387.7</v>
      </c>
      <c r="G81" s="335">
        <f t="shared" si="10"/>
        <v>420</v>
      </c>
    </row>
    <row r="82" spans="5:7" ht="9.75" hidden="1">
      <c r="E82" s="9">
        <v>26</v>
      </c>
      <c r="F82" s="335">
        <f t="shared" si="10"/>
        <v>387.7</v>
      </c>
      <c r="G82" s="335">
        <f t="shared" si="10"/>
        <v>420</v>
      </c>
    </row>
    <row r="83" spans="5:7" ht="9.75" hidden="1">
      <c r="E83" s="9">
        <v>27</v>
      </c>
      <c r="F83" s="335">
        <f t="shared" si="10"/>
        <v>387.7</v>
      </c>
      <c r="G83" s="335">
        <f t="shared" si="10"/>
        <v>420</v>
      </c>
    </row>
    <row r="84" spans="5:7" ht="9.75" hidden="1">
      <c r="E84" s="9">
        <v>28</v>
      </c>
      <c r="F84" s="335">
        <f t="shared" si="10"/>
        <v>387.7</v>
      </c>
      <c r="G84" s="335">
        <f t="shared" si="10"/>
        <v>420</v>
      </c>
    </row>
    <row r="85" spans="5:7" ht="9.75" hidden="1">
      <c r="E85" s="9">
        <v>29</v>
      </c>
      <c r="F85" s="335">
        <f t="shared" si="10"/>
        <v>387.7</v>
      </c>
      <c r="G85" s="335">
        <f t="shared" si="10"/>
        <v>420</v>
      </c>
    </row>
    <row r="86" spans="5:7" ht="9.75" hidden="1">
      <c r="E86" s="9">
        <v>30</v>
      </c>
      <c r="F86" s="335">
        <f t="shared" si="10"/>
        <v>387.7</v>
      </c>
      <c r="G86" s="335">
        <f t="shared" si="10"/>
        <v>420</v>
      </c>
    </row>
    <row r="87" spans="5:7" ht="9.75" hidden="1">
      <c r="E87" s="9">
        <v>31</v>
      </c>
      <c r="F87" s="335">
        <f t="shared" si="10"/>
        <v>387.7</v>
      </c>
      <c r="G87" s="335">
        <f t="shared" si="10"/>
        <v>420</v>
      </c>
    </row>
    <row r="88" spans="5:7" ht="9.75" hidden="1">
      <c r="E88" s="9">
        <v>32</v>
      </c>
      <c r="F88" s="335">
        <f t="shared" si="10"/>
        <v>387.7</v>
      </c>
      <c r="G88" s="335">
        <f t="shared" si="10"/>
        <v>420</v>
      </c>
    </row>
    <row r="89" spans="5:7" ht="9.75" hidden="1">
      <c r="E89" s="9">
        <v>33</v>
      </c>
      <c r="F89" s="335">
        <f t="shared" si="10"/>
        <v>387.7</v>
      </c>
      <c r="G89" s="335">
        <f t="shared" si="10"/>
        <v>420</v>
      </c>
    </row>
    <row r="90" spans="5:7" ht="9.75" hidden="1">
      <c r="E90" s="9">
        <v>34</v>
      </c>
      <c r="F90" s="335">
        <f t="shared" si="10"/>
        <v>387.7</v>
      </c>
      <c r="G90" s="335">
        <f t="shared" si="10"/>
        <v>420</v>
      </c>
    </row>
    <row r="91" spans="5:7" ht="9.75" hidden="1">
      <c r="E91" s="9">
        <v>35</v>
      </c>
      <c r="F91" s="335">
        <f aca="true" t="shared" si="11" ref="F91:G114">ROUND(F$55*$G$53,2)</f>
        <v>387.7</v>
      </c>
      <c r="G91" s="335">
        <f t="shared" si="11"/>
        <v>420</v>
      </c>
    </row>
    <row r="92" spans="5:7" ht="9.75" hidden="1">
      <c r="E92" s="9">
        <v>36</v>
      </c>
      <c r="F92" s="335">
        <f t="shared" si="11"/>
        <v>387.7</v>
      </c>
      <c r="G92" s="335">
        <f t="shared" si="11"/>
        <v>420</v>
      </c>
    </row>
    <row r="93" spans="5:7" ht="9.75" hidden="1">
      <c r="E93" s="9">
        <v>37</v>
      </c>
      <c r="F93" s="335">
        <f t="shared" si="11"/>
        <v>387.7</v>
      </c>
      <c r="G93" s="335">
        <f t="shared" si="11"/>
        <v>420</v>
      </c>
    </row>
    <row r="94" spans="5:7" ht="9.75" hidden="1">
      <c r="E94" s="9">
        <v>38</v>
      </c>
      <c r="F94" s="335">
        <f t="shared" si="11"/>
        <v>387.7</v>
      </c>
      <c r="G94" s="335">
        <f t="shared" si="11"/>
        <v>420</v>
      </c>
    </row>
    <row r="95" spans="5:7" ht="9.75" hidden="1">
      <c r="E95" s="9">
        <v>39</v>
      </c>
      <c r="F95" s="335">
        <f t="shared" si="11"/>
        <v>387.7</v>
      </c>
      <c r="G95" s="335">
        <f t="shared" si="11"/>
        <v>420</v>
      </c>
    </row>
    <row r="96" spans="5:7" ht="9.75" hidden="1">
      <c r="E96" s="9">
        <v>40</v>
      </c>
      <c r="F96" s="335">
        <f t="shared" si="11"/>
        <v>387.7</v>
      </c>
      <c r="G96" s="335">
        <f t="shared" si="11"/>
        <v>420</v>
      </c>
    </row>
    <row r="97" spans="5:7" ht="9.75" hidden="1">
      <c r="E97" s="9">
        <v>41</v>
      </c>
      <c r="F97" s="335">
        <f t="shared" si="11"/>
        <v>387.7</v>
      </c>
      <c r="G97" s="335">
        <f t="shared" si="11"/>
        <v>420</v>
      </c>
    </row>
    <row r="98" spans="5:7" ht="9.75" hidden="1">
      <c r="E98" s="9">
        <v>42</v>
      </c>
      <c r="F98" s="335">
        <f t="shared" si="11"/>
        <v>387.7</v>
      </c>
      <c r="G98" s="335">
        <f t="shared" si="11"/>
        <v>420</v>
      </c>
    </row>
    <row r="99" spans="5:7" ht="9.75" hidden="1">
      <c r="E99" s="9">
        <v>43</v>
      </c>
      <c r="F99" s="335">
        <f t="shared" si="11"/>
        <v>387.7</v>
      </c>
      <c r="G99" s="335">
        <f t="shared" si="11"/>
        <v>420</v>
      </c>
    </row>
    <row r="100" spans="5:7" ht="9.75" hidden="1">
      <c r="E100" s="9">
        <v>44</v>
      </c>
      <c r="F100" s="335">
        <f t="shared" si="11"/>
        <v>387.7</v>
      </c>
      <c r="G100" s="335">
        <f t="shared" si="11"/>
        <v>420</v>
      </c>
    </row>
    <row r="101" spans="5:7" ht="9.75" hidden="1">
      <c r="E101" s="9">
        <v>45</v>
      </c>
      <c r="F101" s="335">
        <f t="shared" si="11"/>
        <v>387.7</v>
      </c>
      <c r="G101" s="335">
        <f t="shared" si="11"/>
        <v>420</v>
      </c>
    </row>
    <row r="102" spans="5:7" ht="9.75" hidden="1">
      <c r="E102" s="9">
        <v>46</v>
      </c>
      <c r="F102" s="335">
        <f t="shared" si="11"/>
        <v>387.7</v>
      </c>
      <c r="G102" s="335">
        <f t="shared" si="11"/>
        <v>420</v>
      </c>
    </row>
    <row r="103" spans="5:7" ht="9.75" hidden="1">
      <c r="E103" s="9">
        <v>47</v>
      </c>
      <c r="F103" s="335">
        <f t="shared" si="11"/>
        <v>387.7</v>
      </c>
      <c r="G103" s="335">
        <f t="shared" si="11"/>
        <v>420</v>
      </c>
    </row>
    <row r="104" spans="5:7" ht="9.75" hidden="1">
      <c r="E104" s="9">
        <v>48</v>
      </c>
      <c r="F104" s="335">
        <f t="shared" si="11"/>
        <v>387.7</v>
      </c>
      <c r="G104" s="335">
        <f t="shared" si="11"/>
        <v>420</v>
      </c>
    </row>
    <row r="105" spans="5:7" ht="9.75" hidden="1">
      <c r="E105" s="9">
        <v>49</v>
      </c>
      <c r="F105" s="335">
        <f t="shared" si="11"/>
        <v>387.7</v>
      </c>
      <c r="G105" s="335">
        <f t="shared" si="11"/>
        <v>420</v>
      </c>
    </row>
    <row r="106" spans="5:7" ht="9.75" hidden="1">
      <c r="E106" s="9">
        <v>50</v>
      </c>
      <c r="F106" s="335">
        <f t="shared" si="11"/>
        <v>387.7</v>
      </c>
      <c r="G106" s="335">
        <f t="shared" si="11"/>
        <v>420</v>
      </c>
    </row>
    <row r="107" spans="5:7" ht="9.75" hidden="1">
      <c r="E107" s="9">
        <v>51</v>
      </c>
      <c r="F107" s="335">
        <f t="shared" si="11"/>
        <v>387.7</v>
      </c>
      <c r="G107" s="335">
        <f t="shared" si="11"/>
        <v>420</v>
      </c>
    </row>
    <row r="108" spans="5:7" ht="9.75" hidden="1">
      <c r="E108" s="9">
        <v>52</v>
      </c>
      <c r="F108" s="335">
        <f t="shared" si="11"/>
        <v>387.7</v>
      </c>
      <c r="G108" s="335">
        <f t="shared" si="11"/>
        <v>420</v>
      </c>
    </row>
    <row r="109" spans="5:7" ht="9.75" hidden="1">
      <c r="E109" s="9">
        <v>53</v>
      </c>
      <c r="F109" s="335">
        <f t="shared" si="11"/>
        <v>387.7</v>
      </c>
      <c r="G109" s="335">
        <f t="shared" si="11"/>
        <v>420</v>
      </c>
    </row>
    <row r="110" spans="5:7" ht="9.75" hidden="1">
      <c r="E110" s="9">
        <v>54</v>
      </c>
      <c r="F110" s="335">
        <f t="shared" si="11"/>
        <v>387.7</v>
      </c>
      <c r="G110" s="335">
        <f t="shared" si="11"/>
        <v>420</v>
      </c>
    </row>
    <row r="111" spans="5:7" ht="9.75" hidden="1">
      <c r="E111" s="9">
        <v>55</v>
      </c>
      <c r="F111" s="335">
        <f t="shared" si="11"/>
        <v>387.7</v>
      </c>
      <c r="G111" s="335">
        <f t="shared" si="11"/>
        <v>420</v>
      </c>
    </row>
    <row r="112" spans="5:7" ht="9.75" hidden="1">
      <c r="E112" s="9">
        <v>56</v>
      </c>
      <c r="F112" s="335">
        <f t="shared" si="11"/>
        <v>387.7</v>
      </c>
      <c r="G112" s="335">
        <f t="shared" si="11"/>
        <v>420</v>
      </c>
    </row>
    <row r="113" spans="5:7" ht="9.75" hidden="1">
      <c r="E113" s="9">
        <v>57</v>
      </c>
      <c r="F113" s="335">
        <f t="shared" si="11"/>
        <v>387.7</v>
      </c>
      <c r="G113" s="335">
        <f t="shared" si="11"/>
        <v>420</v>
      </c>
    </row>
    <row r="114" spans="5:7" ht="9.75" hidden="1">
      <c r="E114" s="9">
        <v>58</v>
      </c>
      <c r="F114" s="335">
        <f t="shared" si="11"/>
        <v>387.7</v>
      </c>
      <c r="G114" s="335">
        <f t="shared" si="11"/>
        <v>420</v>
      </c>
    </row>
    <row r="115" ht="9.75" hidden="1"/>
  </sheetData>
  <sheetProtection password="F443" sheet="1"/>
  <mergeCells count="57">
    <mergeCell ref="A5:H5"/>
    <mergeCell ref="E13:F13"/>
    <mergeCell ref="E14:F14"/>
    <mergeCell ref="A1:I1"/>
    <mergeCell ref="A2:I2"/>
    <mergeCell ref="A3:I3"/>
    <mergeCell ref="A4:I4"/>
    <mergeCell ref="A6:H6"/>
    <mergeCell ref="B8:B9"/>
    <mergeCell ref="G8:G9"/>
    <mergeCell ref="A8:A9"/>
    <mergeCell ref="P8:P9"/>
    <mergeCell ref="E17:F17"/>
    <mergeCell ref="A41:I41"/>
    <mergeCell ref="H8:H9"/>
    <mergeCell ref="I8:I9"/>
    <mergeCell ref="D8:D9"/>
    <mergeCell ref="K8:K9"/>
    <mergeCell ref="E8:F9"/>
    <mergeCell ref="E10:F10"/>
    <mergeCell ref="E11:F11"/>
    <mergeCell ref="T8:T9"/>
    <mergeCell ref="R8:R9"/>
    <mergeCell ref="D7:G7"/>
    <mergeCell ref="O7:T7"/>
    <mergeCell ref="O8:O9"/>
    <mergeCell ref="Q8:Q9"/>
    <mergeCell ref="L8:L9"/>
    <mergeCell ref="M8:M9"/>
    <mergeCell ref="K7:M7"/>
    <mergeCell ref="S8:S9"/>
    <mergeCell ref="E32:F32"/>
    <mergeCell ref="E12:F12"/>
    <mergeCell ref="C8:C9"/>
    <mergeCell ref="E25:F25"/>
    <mergeCell ref="E26:F26"/>
    <mergeCell ref="E27:F27"/>
    <mergeCell ref="E28:F28"/>
    <mergeCell ref="E20:F20"/>
    <mergeCell ref="E15:F15"/>
    <mergeCell ref="E16:F16"/>
    <mergeCell ref="E21:F21"/>
    <mergeCell ref="E22:F22"/>
    <mergeCell ref="E23:F23"/>
    <mergeCell ref="E24:F24"/>
    <mergeCell ref="E18:F18"/>
    <mergeCell ref="E19:F19"/>
    <mergeCell ref="E34:F34"/>
    <mergeCell ref="E29:F29"/>
    <mergeCell ref="E36:F36"/>
    <mergeCell ref="E37:F37"/>
    <mergeCell ref="E38:F38"/>
    <mergeCell ref="E39:F39"/>
    <mergeCell ref="E35:F35"/>
    <mergeCell ref="E33:F33"/>
    <mergeCell ref="E30:F30"/>
    <mergeCell ref="E31:F31"/>
  </mergeCells>
  <conditionalFormatting sqref="K10:M39">
    <cfRule type="cellIs" priority="1" dxfId="3"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3" r:id="rId1"/>
  <headerFooter>
    <oddHeader>&amp;L&amp;"Arial,Regular"&amp;8Page 10&amp;C &amp;R&amp;"Arial,Regular"&amp;8PI-PCP-103 (35-25 Lines)</oddHeader>
  </headerFooter>
</worksheet>
</file>

<file path=xl/worksheets/sheet14.xml><?xml version="1.0" encoding="utf-8"?>
<worksheet xmlns="http://schemas.openxmlformats.org/spreadsheetml/2006/main" xmlns:r="http://schemas.openxmlformats.org/officeDocument/2006/relationships">
  <dimension ref="A1:AW42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8" sqref="A8"/>
    </sheetView>
  </sheetViews>
  <sheetFormatPr defaultColWidth="9.140625" defaultRowHeight="15" outlineLevelCol="1"/>
  <cols>
    <col min="1" max="1" width="53.57421875" style="98" bestFit="1" customWidth="1"/>
    <col min="2" max="2" width="12.00390625" style="98" bestFit="1" customWidth="1"/>
    <col min="3" max="3" width="58.28125" style="98" bestFit="1" customWidth="1"/>
    <col min="4" max="12" width="9.140625" style="98" customWidth="1"/>
    <col min="13" max="13" width="8.57421875" style="98" customWidth="1"/>
    <col min="14" max="23" width="9.140625" style="98" customWidth="1"/>
    <col min="24" max="31" width="10.28125" style="98" customWidth="1"/>
    <col min="32" max="32" width="12.8515625" style="98" customWidth="1"/>
    <col min="33" max="37" width="9.140625" style="98" customWidth="1" outlineLevel="1"/>
    <col min="38" max="38" width="14.8515625" style="98" customWidth="1" outlineLevel="1"/>
    <col min="39" max="39" width="9.140625" style="98" customWidth="1" outlineLevel="1"/>
    <col min="40" max="40" width="16.28125" style="98" bestFit="1" customWidth="1"/>
    <col min="41" max="42" width="14.28125" style="98" bestFit="1" customWidth="1"/>
    <col min="43" max="43" width="15.421875" style="98" bestFit="1" customWidth="1"/>
    <col min="44" max="44" width="11.57421875" style="98" bestFit="1" customWidth="1"/>
    <col min="45" max="45" width="12.00390625" style="98" customWidth="1"/>
    <col min="46" max="46" width="15.28125" style="98" bestFit="1" customWidth="1"/>
    <col min="47" max="47" width="19.8515625" style="98" bestFit="1" customWidth="1"/>
    <col min="48" max="48" width="15.28125" style="98" bestFit="1" customWidth="1"/>
    <col min="49" max="49" width="16.28125" style="98" bestFit="1" customWidth="1"/>
    <col min="50" max="16384" width="9.140625" style="98" customWidth="1"/>
  </cols>
  <sheetData>
    <row r="1" spans="4:48" ht="14.25">
      <c r="D1" s="98" t="s">
        <v>93</v>
      </c>
      <c r="N1" s="98" t="s">
        <v>167</v>
      </c>
      <c r="X1" s="98" t="s">
        <v>264</v>
      </c>
      <c r="AO1" s="214">
        <f>'Payment Amounts'!$B$2/2</f>
        <v>4023</v>
      </c>
      <c r="AP1" s="214">
        <f aca="true" t="shared" si="0" ref="AP1:AU1">$AO$1</f>
        <v>4023</v>
      </c>
      <c r="AQ1" s="214">
        <f t="shared" si="0"/>
        <v>4023</v>
      </c>
      <c r="AR1" s="214">
        <f t="shared" si="0"/>
        <v>4023</v>
      </c>
      <c r="AS1" s="214">
        <f t="shared" si="0"/>
        <v>4023</v>
      </c>
      <c r="AT1" s="214">
        <f t="shared" si="0"/>
        <v>4023</v>
      </c>
      <c r="AU1" s="214">
        <f t="shared" si="0"/>
        <v>4023</v>
      </c>
      <c r="AV1" s="214">
        <f>'Payment Amounts'!B3/2</f>
        <v>4346</v>
      </c>
    </row>
    <row r="2" spans="4:48" ht="15" thickBot="1">
      <c r="D2" s="155" t="s">
        <v>93</v>
      </c>
      <c r="E2" s="156"/>
      <c r="F2" s="156"/>
      <c r="G2" s="156"/>
      <c r="H2" s="156"/>
      <c r="I2" s="156"/>
      <c r="J2" s="156"/>
      <c r="K2" s="156"/>
      <c r="L2" s="156"/>
      <c r="N2" s="157" t="s">
        <v>167</v>
      </c>
      <c r="O2" s="158"/>
      <c r="P2" s="158"/>
      <c r="Q2" s="158"/>
      <c r="R2" s="158"/>
      <c r="S2" s="158"/>
      <c r="T2" s="158"/>
      <c r="U2" s="158"/>
      <c r="V2" s="158"/>
      <c r="X2" s="159" t="s">
        <v>264</v>
      </c>
      <c r="Y2" s="160"/>
      <c r="Z2" s="160"/>
      <c r="AA2" s="160"/>
      <c r="AB2" s="160"/>
      <c r="AC2" s="160"/>
      <c r="AD2" s="160"/>
      <c r="AE2" s="160"/>
      <c r="AF2" s="160"/>
      <c r="AH2" s="161" t="s">
        <v>330</v>
      </c>
      <c r="AJ2" s="551" t="s">
        <v>368</v>
      </c>
      <c r="AK2" s="552"/>
      <c r="AL2" s="553"/>
      <c r="AO2" s="98">
        <v>0.5</v>
      </c>
      <c r="AP2" s="98">
        <v>0.6</v>
      </c>
      <c r="AQ2" s="98">
        <v>0.5</v>
      </c>
      <c r="AR2" s="98">
        <v>0.6</v>
      </c>
      <c r="AS2" s="98">
        <v>0.8</v>
      </c>
      <c r="AT2" s="98">
        <v>1</v>
      </c>
      <c r="AU2" s="98">
        <v>1</v>
      </c>
      <c r="AV2" s="98">
        <v>1</v>
      </c>
    </row>
    <row r="3" spans="1:49" ht="42.75">
      <c r="A3" s="99" t="s">
        <v>205</v>
      </c>
      <c r="B3" s="99" t="s">
        <v>204</v>
      </c>
      <c r="C3" s="99" t="s">
        <v>265</v>
      </c>
      <c r="D3" s="172" t="s">
        <v>607</v>
      </c>
      <c r="E3" s="172" t="s">
        <v>608</v>
      </c>
      <c r="F3" s="172" t="s">
        <v>609</v>
      </c>
      <c r="G3" s="172" t="s">
        <v>610</v>
      </c>
      <c r="H3" s="172" t="s">
        <v>611</v>
      </c>
      <c r="I3" s="172" t="s">
        <v>612</v>
      </c>
      <c r="J3" s="172" t="s">
        <v>613</v>
      </c>
      <c r="K3" s="172" t="s">
        <v>614</v>
      </c>
      <c r="L3" s="172" t="s">
        <v>615</v>
      </c>
      <c r="M3" s="213"/>
      <c r="N3" s="172" t="s">
        <v>607</v>
      </c>
      <c r="O3" s="172" t="s">
        <v>608</v>
      </c>
      <c r="P3" s="172" t="s">
        <v>609</v>
      </c>
      <c r="Q3" s="172" t="s">
        <v>610</v>
      </c>
      <c r="R3" s="172" t="s">
        <v>611</v>
      </c>
      <c r="S3" s="172" t="s">
        <v>612</v>
      </c>
      <c r="T3" s="172" t="s">
        <v>613</v>
      </c>
      <c r="U3" s="172" t="s">
        <v>614</v>
      </c>
      <c r="V3" s="172" t="s">
        <v>616</v>
      </c>
      <c r="X3" s="99" t="s">
        <v>607</v>
      </c>
      <c r="Y3" s="99" t="s">
        <v>608</v>
      </c>
      <c r="Z3" s="99" t="s">
        <v>609</v>
      </c>
      <c r="AA3" s="99" t="s">
        <v>610</v>
      </c>
      <c r="AB3" s="99" t="s">
        <v>611</v>
      </c>
      <c r="AC3" s="99" t="s">
        <v>612</v>
      </c>
      <c r="AD3" s="99" t="s">
        <v>613</v>
      </c>
      <c r="AE3" s="99" t="s">
        <v>614</v>
      </c>
      <c r="AF3" s="99" t="s">
        <v>615</v>
      </c>
      <c r="AH3" s="142" t="s">
        <v>331</v>
      </c>
      <c r="AI3" s="142"/>
      <c r="AJ3" s="153" t="s">
        <v>369</v>
      </c>
      <c r="AK3" s="162" t="s">
        <v>370</v>
      </c>
      <c r="AL3" s="153" t="s">
        <v>371</v>
      </c>
      <c r="AN3" s="173" t="s">
        <v>617</v>
      </c>
      <c r="AO3" s="172" t="s">
        <v>607</v>
      </c>
      <c r="AP3" s="172" t="s">
        <v>608</v>
      </c>
      <c r="AQ3" s="172" t="s">
        <v>609</v>
      </c>
      <c r="AR3" s="172" t="s">
        <v>610</v>
      </c>
      <c r="AS3" s="172" t="s">
        <v>611</v>
      </c>
      <c r="AT3" s="172" t="s">
        <v>612</v>
      </c>
      <c r="AU3" s="172" t="s">
        <v>613</v>
      </c>
      <c r="AV3" s="172" t="s">
        <v>614</v>
      </c>
      <c r="AW3" s="172" t="s">
        <v>615</v>
      </c>
    </row>
    <row r="4" spans="1:49" ht="15" customHeight="1">
      <c r="A4" s="140" t="s">
        <v>566</v>
      </c>
      <c r="B4" s="211" t="s">
        <v>96</v>
      </c>
      <c r="C4" s="140" t="str">
        <f>A4&amp;"-"&amp;B4</f>
        <v>Abundant Life Christian School-WPCP</v>
      </c>
      <c r="D4" s="140">
        <v>0</v>
      </c>
      <c r="E4" s="140">
        <v>0</v>
      </c>
      <c r="F4" s="140">
        <v>0</v>
      </c>
      <c r="G4" s="140">
        <v>0</v>
      </c>
      <c r="H4" s="140">
        <v>0</v>
      </c>
      <c r="I4" s="140">
        <v>22</v>
      </c>
      <c r="J4" s="140">
        <v>153</v>
      </c>
      <c r="K4" s="140">
        <v>74</v>
      </c>
      <c r="L4" s="140">
        <f>SUM(D4:K4)</f>
        <v>249</v>
      </c>
      <c r="N4" s="140">
        <v>0</v>
      </c>
      <c r="O4" s="140">
        <v>0</v>
      </c>
      <c r="P4" s="140">
        <v>0</v>
      </c>
      <c r="Q4" s="140">
        <v>0</v>
      </c>
      <c r="R4" s="140">
        <v>0</v>
      </c>
      <c r="S4" s="140">
        <v>6</v>
      </c>
      <c r="T4" s="140">
        <v>6</v>
      </c>
      <c r="U4" s="140">
        <v>4</v>
      </c>
      <c r="V4" s="140">
        <f>SUM(N4:U4)</f>
        <v>16</v>
      </c>
      <c r="X4" s="98">
        <v>0</v>
      </c>
      <c r="Y4" s="98">
        <v>0</v>
      </c>
      <c r="Z4" s="98">
        <v>0</v>
      </c>
      <c r="AA4" s="98">
        <v>0</v>
      </c>
      <c r="AB4" s="98">
        <v>0</v>
      </c>
      <c r="AC4" s="98">
        <v>0</v>
      </c>
      <c r="AD4" s="98">
        <v>0</v>
      </c>
      <c r="AE4" s="98">
        <v>0</v>
      </c>
      <c r="AF4" s="98">
        <f>SUM(X4:AE4)</f>
        <v>0</v>
      </c>
      <c r="AH4" s="98">
        <v>13</v>
      </c>
      <c r="AJ4" s="98">
        <v>0</v>
      </c>
      <c r="AK4" s="98">
        <v>0</v>
      </c>
      <c r="AL4" s="380">
        <v>0</v>
      </c>
      <c r="AN4" s="174">
        <f>SUM(AO4:AV4)</f>
        <v>65660</v>
      </c>
      <c r="AO4" s="214">
        <f aca="true" t="shared" si="1" ref="AO4:AV4">ROUND(AO$1*AO$2*N4,2)</f>
        <v>0</v>
      </c>
      <c r="AP4" s="214">
        <f t="shared" si="1"/>
        <v>0</v>
      </c>
      <c r="AQ4" s="214">
        <f t="shared" si="1"/>
        <v>0</v>
      </c>
      <c r="AR4" s="214">
        <f t="shared" si="1"/>
        <v>0</v>
      </c>
      <c r="AS4" s="214">
        <f t="shared" si="1"/>
        <v>0</v>
      </c>
      <c r="AT4" s="214">
        <f t="shared" si="1"/>
        <v>24138</v>
      </c>
      <c r="AU4" s="214">
        <f t="shared" si="1"/>
        <v>24138</v>
      </c>
      <c r="AV4" s="214">
        <f t="shared" si="1"/>
        <v>17384</v>
      </c>
      <c r="AW4" s="215">
        <f>SUM(AO4:AV4)</f>
        <v>65660</v>
      </c>
    </row>
    <row r="5" spans="1:49" ht="15" customHeight="1">
      <c r="A5" s="140" t="s">
        <v>94</v>
      </c>
      <c r="B5" s="211" t="s">
        <v>187</v>
      </c>
      <c r="C5" s="140" t="str">
        <f aca="true" t="shared" si="2" ref="C5:C67">A5&amp;"-"&amp;B5</f>
        <v>Academy of Excellence-MPCP</v>
      </c>
      <c r="D5" s="140">
        <v>0</v>
      </c>
      <c r="E5" s="140">
        <v>66</v>
      </c>
      <c r="F5" s="140">
        <v>0</v>
      </c>
      <c r="G5" s="140">
        <v>0</v>
      </c>
      <c r="H5" s="140">
        <v>0</v>
      </c>
      <c r="I5" s="140">
        <v>80</v>
      </c>
      <c r="J5" s="140">
        <v>590</v>
      </c>
      <c r="K5" s="140">
        <v>136</v>
      </c>
      <c r="L5" s="140">
        <f aca="true" t="shared" si="3" ref="L5:L67">SUM(D5:K5)</f>
        <v>872</v>
      </c>
      <c r="N5" s="140">
        <v>0</v>
      </c>
      <c r="O5" s="140">
        <v>66</v>
      </c>
      <c r="P5" s="140">
        <v>0</v>
      </c>
      <c r="Q5" s="140">
        <v>0</v>
      </c>
      <c r="R5" s="140">
        <v>0</v>
      </c>
      <c r="S5" s="140">
        <v>78</v>
      </c>
      <c r="T5" s="140">
        <v>583</v>
      </c>
      <c r="U5" s="140">
        <v>133</v>
      </c>
      <c r="V5" s="140">
        <f aca="true" t="shared" si="4" ref="V5:V67">SUM(N5:U5)</f>
        <v>860</v>
      </c>
      <c r="X5" s="98">
        <v>0</v>
      </c>
      <c r="Y5" s="98">
        <v>0</v>
      </c>
      <c r="Z5" s="98">
        <v>0</v>
      </c>
      <c r="AA5" s="98">
        <v>0</v>
      </c>
      <c r="AB5" s="98">
        <v>0</v>
      </c>
      <c r="AC5" s="98">
        <v>0</v>
      </c>
      <c r="AD5" s="98">
        <v>0</v>
      </c>
      <c r="AE5" s="98">
        <v>0</v>
      </c>
      <c r="AF5" s="98">
        <f aca="true" t="shared" si="5" ref="AF5:AF67">SUM(X5:AE5)</f>
        <v>0</v>
      </c>
      <c r="AH5" s="98">
        <v>486</v>
      </c>
      <c r="AJ5" s="98">
        <v>0</v>
      </c>
      <c r="AK5" s="98">
        <v>0</v>
      </c>
      <c r="AL5" s="380">
        <v>0</v>
      </c>
      <c r="AN5" s="214">
        <f aca="true" t="shared" si="6" ref="AN5:AN67">SUM(AO5:AV5)</f>
        <v>3396531.8</v>
      </c>
      <c r="AO5" s="214">
        <f aca="true" t="shared" si="7" ref="AO5:AO67">ROUND(AO$1*AO$2*N5,2)</f>
        <v>0</v>
      </c>
      <c r="AP5" s="214">
        <f aca="true" t="shared" si="8" ref="AP5:AP67">ROUND(AP$1*AP$2*O5,2)</f>
        <v>159310.8</v>
      </c>
      <c r="AQ5" s="214">
        <f aca="true" t="shared" si="9" ref="AQ5:AQ67">ROUND(AQ$1*AQ$2*P5,2)</f>
        <v>0</v>
      </c>
      <c r="AR5" s="214">
        <f aca="true" t="shared" si="10" ref="AR5:AR67">ROUND(AR$1*AR$2*Q5,2)</f>
        <v>0</v>
      </c>
      <c r="AS5" s="214">
        <f aca="true" t="shared" si="11" ref="AS5:AS67">ROUND(AS$1*AS$2*R5,2)</f>
        <v>0</v>
      </c>
      <c r="AT5" s="214">
        <f aca="true" t="shared" si="12" ref="AT5:AT67">ROUND(AT$1*AT$2*S5,2)</f>
        <v>313794</v>
      </c>
      <c r="AU5" s="214">
        <f aca="true" t="shared" si="13" ref="AU5:AU67">ROUND(AU$1*AU$2*T5,2)</f>
        <v>2345409</v>
      </c>
      <c r="AV5" s="214">
        <f aca="true" t="shared" si="14" ref="AV5:AV67">ROUND(AV$1*AV$2*U5,2)</f>
        <v>578018</v>
      </c>
      <c r="AW5" s="215">
        <f aca="true" t="shared" si="15" ref="AW5:AW67">SUM(AO5:AV5)</f>
        <v>3396531.8</v>
      </c>
    </row>
    <row r="6" spans="1:49" ht="15" customHeight="1">
      <c r="A6" s="140" t="s">
        <v>94</v>
      </c>
      <c r="B6" s="211" t="s">
        <v>188</v>
      </c>
      <c r="C6" s="140" t="str">
        <f t="shared" si="2"/>
        <v>Academy of Excellence-RPCP</v>
      </c>
      <c r="D6" s="140">
        <v>0</v>
      </c>
      <c r="E6" s="140">
        <v>66</v>
      </c>
      <c r="F6" s="140">
        <v>0</v>
      </c>
      <c r="G6" s="140">
        <v>0</v>
      </c>
      <c r="H6" s="140">
        <v>0</v>
      </c>
      <c r="I6" s="140">
        <v>80</v>
      </c>
      <c r="J6" s="140">
        <v>590</v>
      </c>
      <c r="K6" s="140">
        <v>136</v>
      </c>
      <c r="L6" s="140">
        <f t="shared" si="3"/>
        <v>872</v>
      </c>
      <c r="N6" s="140">
        <v>0</v>
      </c>
      <c r="O6" s="140">
        <v>0</v>
      </c>
      <c r="P6" s="140">
        <v>0</v>
      </c>
      <c r="Q6" s="140">
        <v>0</v>
      </c>
      <c r="R6" s="140">
        <v>0</v>
      </c>
      <c r="S6" s="140">
        <v>0</v>
      </c>
      <c r="T6" s="140">
        <v>0</v>
      </c>
      <c r="U6" s="140">
        <v>0</v>
      </c>
      <c r="V6" s="140">
        <f t="shared" si="4"/>
        <v>0</v>
      </c>
      <c r="X6" s="98">
        <v>0</v>
      </c>
      <c r="Y6" s="98">
        <v>0</v>
      </c>
      <c r="Z6" s="98">
        <v>0</v>
      </c>
      <c r="AA6" s="98">
        <v>0</v>
      </c>
      <c r="AB6" s="98">
        <v>0</v>
      </c>
      <c r="AC6" s="98">
        <v>0</v>
      </c>
      <c r="AD6" s="98">
        <v>0</v>
      </c>
      <c r="AE6" s="98">
        <v>0</v>
      </c>
      <c r="AF6" s="98">
        <f t="shared" si="5"/>
        <v>0</v>
      </c>
      <c r="AH6" s="98">
        <v>0</v>
      </c>
      <c r="AJ6" s="98">
        <v>0</v>
      </c>
      <c r="AK6" s="98">
        <v>0</v>
      </c>
      <c r="AL6" s="380">
        <v>0</v>
      </c>
      <c r="AN6" s="214">
        <f t="shared" si="6"/>
        <v>0</v>
      </c>
      <c r="AO6" s="214">
        <f t="shared" si="7"/>
        <v>0</v>
      </c>
      <c r="AP6" s="214">
        <f t="shared" si="8"/>
        <v>0</v>
      </c>
      <c r="AQ6" s="214">
        <f t="shared" si="9"/>
        <v>0</v>
      </c>
      <c r="AR6" s="214">
        <f t="shared" si="10"/>
        <v>0</v>
      </c>
      <c r="AS6" s="214">
        <f t="shared" si="11"/>
        <v>0</v>
      </c>
      <c r="AT6" s="214">
        <f t="shared" si="12"/>
        <v>0</v>
      </c>
      <c r="AU6" s="214">
        <f t="shared" si="13"/>
        <v>0</v>
      </c>
      <c r="AV6" s="214">
        <f t="shared" si="14"/>
        <v>0</v>
      </c>
      <c r="AW6" s="215">
        <f t="shared" si="15"/>
        <v>0</v>
      </c>
    </row>
    <row r="7" spans="1:49" ht="15" customHeight="1">
      <c r="A7" s="140" t="s">
        <v>94</v>
      </c>
      <c r="B7" s="211" t="s">
        <v>96</v>
      </c>
      <c r="C7" s="140" t="str">
        <f t="shared" si="2"/>
        <v>Academy of Excellence-WPCP</v>
      </c>
      <c r="D7" s="140">
        <v>0</v>
      </c>
      <c r="E7" s="140">
        <v>66</v>
      </c>
      <c r="F7" s="140">
        <v>0</v>
      </c>
      <c r="G7" s="140">
        <v>0</v>
      </c>
      <c r="H7" s="140">
        <v>0</v>
      </c>
      <c r="I7" s="140">
        <v>80</v>
      </c>
      <c r="J7" s="140">
        <v>590</v>
      </c>
      <c r="K7" s="140">
        <v>136</v>
      </c>
      <c r="L7" s="140">
        <f t="shared" si="3"/>
        <v>872</v>
      </c>
      <c r="N7" s="140">
        <v>0</v>
      </c>
      <c r="O7" s="140">
        <v>0</v>
      </c>
      <c r="P7" s="140">
        <v>0</v>
      </c>
      <c r="Q7" s="140">
        <v>0</v>
      </c>
      <c r="R7" s="140">
        <v>0</v>
      </c>
      <c r="S7" s="140">
        <v>2</v>
      </c>
      <c r="T7" s="140">
        <v>7</v>
      </c>
      <c r="U7" s="140">
        <v>3</v>
      </c>
      <c r="V7" s="140">
        <f t="shared" si="4"/>
        <v>12</v>
      </c>
      <c r="X7" s="98">
        <v>0</v>
      </c>
      <c r="Y7" s="98">
        <v>0</v>
      </c>
      <c r="Z7" s="98">
        <v>0</v>
      </c>
      <c r="AA7" s="98">
        <v>0</v>
      </c>
      <c r="AB7" s="98">
        <v>0</v>
      </c>
      <c r="AC7" s="98">
        <v>1</v>
      </c>
      <c r="AD7" s="98">
        <v>1</v>
      </c>
      <c r="AE7" s="98">
        <v>0</v>
      </c>
      <c r="AF7" s="98">
        <f t="shared" si="5"/>
        <v>2</v>
      </c>
      <c r="AH7" s="98">
        <v>6</v>
      </c>
      <c r="AJ7" s="98">
        <v>0</v>
      </c>
      <c r="AK7" s="98">
        <v>0</v>
      </c>
      <c r="AL7" s="380">
        <v>0</v>
      </c>
      <c r="AN7" s="214">
        <f t="shared" si="6"/>
        <v>49245</v>
      </c>
      <c r="AO7" s="214">
        <f t="shared" si="7"/>
        <v>0</v>
      </c>
      <c r="AP7" s="214">
        <f t="shared" si="8"/>
        <v>0</v>
      </c>
      <c r="AQ7" s="214">
        <f t="shared" si="9"/>
        <v>0</v>
      </c>
      <c r="AR7" s="214">
        <f t="shared" si="10"/>
        <v>0</v>
      </c>
      <c r="AS7" s="214">
        <f t="shared" si="11"/>
        <v>0</v>
      </c>
      <c r="AT7" s="214">
        <f t="shared" si="12"/>
        <v>8046</v>
      </c>
      <c r="AU7" s="214">
        <f t="shared" si="13"/>
        <v>28161</v>
      </c>
      <c r="AV7" s="214">
        <f t="shared" si="14"/>
        <v>13038</v>
      </c>
      <c r="AW7" s="215">
        <f t="shared" si="15"/>
        <v>49245</v>
      </c>
    </row>
    <row r="8" spans="1:49" ht="15" customHeight="1">
      <c r="A8" s="140" t="s">
        <v>567</v>
      </c>
      <c r="B8" s="211" t="s">
        <v>96</v>
      </c>
      <c r="C8" s="140" t="str">
        <f t="shared" si="2"/>
        <v>All Saints Grade School-WPCP</v>
      </c>
      <c r="D8" s="140">
        <v>0</v>
      </c>
      <c r="E8" s="140">
        <v>0</v>
      </c>
      <c r="F8" s="140">
        <v>0</v>
      </c>
      <c r="G8" s="140">
        <v>0</v>
      </c>
      <c r="H8" s="140">
        <v>0</v>
      </c>
      <c r="I8" s="140">
        <v>4</v>
      </c>
      <c r="J8" s="140">
        <v>36</v>
      </c>
      <c r="K8" s="140">
        <v>0</v>
      </c>
      <c r="L8" s="140">
        <f t="shared" si="3"/>
        <v>40</v>
      </c>
      <c r="N8" s="140">
        <v>0</v>
      </c>
      <c r="O8" s="140">
        <v>0</v>
      </c>
      <c r="P8" s="140">
        <v>0</v>
      </c>
      <c r="Q8" s="140">
        <v>0</v>
      </c>
      <c r="R8" s="140">
        <v>0</v>
      </c>
      <c r="S8" s="140">
        <v>2</v>
      </c>
      <c r="T8" s="140">
        <v>17</v>
      </c>
      <c r="U8" s="140">
        <v>0</v>
      </c>
      <c r="V8" s="140">
        <f t="shared" si="4"/>
        <v>19</v>
      </c>
      <c r="X8" s="98">
        <v>0</v>
      </c>
      <c r="Y8" s="98">
        <v>0</v>
      </c>
      <c r="Z8" s="98">
        <v>0</v>
      </c>
      <c r="AA8" s="98">
        <v>0</v>
      </c>
      <c r="AB8" s="98">
        <v>0</v>
      </c>
      <c r="AC8" s="98">
        <v>0</v>
      </c>
      <c r="AD8" s="98">
        <v>0</v>
      </c>
      <c r="AE8" s="98">
        <v>0</v>
      </c>
      <c r="AF8" s="98">
        <f t="shared" si="5"/>
        <v>0</v>
      </c>
      <c r="AH8" s="98">
        <v>9</v>
      </c>
      <c r="AJ8" s="98">
        <v>0</v>
      </c>
      <c r="AK8" s="98">
        <v>0</v>
      </c>
      <c r="AL8" s="380">
        <v>0</v>
      </c>
      <c r="AN8" s="214">
        <f t="shared" si="6"/>
        <v>76437</v>
      </c>
      <c r="AO8" s="214">
        <f t="shared" si="7"/>
        <v>0</v>
      </c>
      <c r="AP8" s="214">
        <f t="shared" si="8"/>
        <v>0</v>
      </c>
      <c r="AQ8" s="214">
        <f t="shared" si="9"/>
        <v>0</v>
      </c>
      <c r="AR8" s="214">
        <f t="shared" si="10"/>
        <v>0</v>
      </c>
      <c r="AS8" s="214">
        <f t="shared" si="11"/>
        <v>0</v>
      </c>
      <c r="AT8" s="214">
        <f t="shared" si="12"/>
        <v>8046</v>
      </c>
      <c r="AU8" s="214">
        <f t="shared" si="13"/>
        <v>68391</v>
      </c>
      <c r="AV8" s="214">
        <f t="shared" si="14"/>
        <v>0</v>
      </c>
      <c r="AW8" s="215">
        <f t="shared" si="15"/>
        <v>76437</v>
      </c>
    </row>
    <row r="9" spans="1:49" ht="15" customHeight="1">
      <c r="A9" s="140" t="s">
        <v>568</v>
      </c>
      <c r="B9" s="211" t="s">
        <v>187</v>
      </c>
      <c r="C9" s="140" t="str">
        <f t="shared" si="2"/>
        <v>Aquinas Academy - Menomonee Falls-MPCP</v>
      </c>
      <c r="D9" s="140">
        <v>16</v>
      </c>
      <c r="E9" s="140">
        <v>0</v>
      </c>
      <c r="F9" s="140">
        <v>0</v>
      </c>
      <c r="G9" s="140">
        <v>0</v>
      </c>
      <c r="H9" s="140">
        <v>0</v>
      </c>
      <c r="I9" s="140">
        <v>11</v>
      </c>
      <c r="J9" s="140">
        <v>99</v>
      </c>
      <c r="K9" s="140">
        <v>0</v>
      </c>
      <c r="L9" s="140">
        <f t="shared" si="3"/>
        <v>126</v>
      </c>
      <c r="N9" s="140">
        <v>5</v>
      </c>
      <c r="O9" s="140">
        <v>0</v>
      </c>
      <c r="P9" s="140">
        <v>0</v>
      </c>
      <c r="Q9" s="140">
        <v>0</v>
      </c>
      <c r="R9" s="140">
        <v>0</v>
      </c>
      <c r="S9" s="140">
        <v>2</v>
      </c>
      <c r="T9" s="140">
        <v>10</v>
      </c>
      <c r="U9" s="140">
        <v>0</v>
      </c>
      <c r="V9" s="140">
        <f t="shared" si="4"/>
        <v>17</v>
      </c>
      <c r="X9" s="98">
        <v>0</v>
      </c>
      <c r="Y9" s="98">
        <v>0</v>
      </c>
      <c r="Z9" s="98">
        <v>0</v>
      </c>
      <c r="AA9" s="98">
        <v>0</v>
      </c>
      <c r="AB9" s="98">
        <v>0</v>
      </c>
      <c r="AC9" s="98">
        <v>0</v>
      </c>
      <c r="AD9" s="98">
        <v>0</v>
      </c>
      <c r="AE9" s="98">
        <v>0</v>
      </c>
      <c r="AF9" s="98">
        <f t="shared" si="5"/>
        <v>0</v>
      </c>
      <c r="AH9" s="98">
        <v>9</v>
      </c>
      <c r="AJ9" s="98">
        <v>0</v>
      </c>
      <c r="AK9" s="98">
        <v>0</v>
      </c>
      <c r="AL9" s="380">
        <v>0</v>
      </c>
      <c r="AN9" s="214">
        <f t="shared" si="6"/>
        <v>58333.5</v>
      </c>
      <c r="AO9" s="214">
        <f t="shared" si="7"/>
        <v>10057.5</v>
      </c>
      <c r="AP9" s="214">
        <f t="shared" si="8"/>
        <v>0</v>
      </c>
      <c r="AQ9" s="214">
        <f t="shared" si="9"/>
        <v>0</v>
      </c>
      <c r="AR9" s="214">
        <f t="shared" si="10"/>
        <v>0</v>
      </c>
      <c r="AS9" s="214">
        <f t="shared" si="11"/>
        <v>0</v>
      </c>
      <c r="AT9" s="214">
        <f t="shared" si="12"/>
        <v>8046</v>
      </c>
      <c r="AU9" s="214">
        <f t="shared" si="13"/>
        <v>40230</v>
      </c>
      <c r="AV9" s="214">
        <f t="shared" si="14"/>
        <v>0</v>
      </c>
      <c r="AW9" s="215">
        <f t="shared" si="15"/>
        <v>58333.5</v>
      </c>
    </row>
    <row r="10" spans="1:49" ht="15" customHeight="1">
      <c r="A10" s="140" t="s">
        <v>568</v>
      </c>
      <c r="B10" s="211" t="s">
        <v>96</v>
      </c>
      <c r="C10" s="140" t="str">
        <f t="shared" si="2"/>
        <v>Aquinas Academy - Menomonee Falls-WPCP</v>
      </c>
      <c r="D10" s="140">
        <v>16</v>
      </c>
      <c r="E10" s="140">
        <v>0</v>
      </c>
      <c r="F10" s="140">
        <v>0</v>
      </c>
      <c r="G10" s="140">
        <v>0</v>
      </c>
      <c r="H10" s="140">
        <v>0</v>
      </c>
      <c r="I10" s="140">
        <v>11</v>
      </c>
      <c r="J10" s="140">
        <v>99</v>
      </c>
      <c r="K10" s="140">
        <v>0</v>
      </c>
      <c r="L10" s="140">
        <f t="shared" si="3"/>
        <v>126</v>
      </c>
      <c r="N10" s="140">
        <v>2</v>
      </c>
      <c r="O10" s="140">
        <v>0</v>
      </c>
      <c r="P10" s="140">
        <v>0</v>
      </c>
      <c r="Q10" s="140">
        <v>0</v>
      </c>
      <c r="R10" s="140">
        <v>0</v>
      </c>
      <c r="S10" s="140">
        <v>6</v>
      </c>
      <c r="T10" s="140">
        <v>7</v>
      </c>
      <c r="U10" s="140">
        <v>0</v>
      </c>
      <c r="V10" s="140">
        <f t="shared" si="4"/>
        <v>15</v>
      </c>
      <c r="X10" s="98">
        <v>0</v>
      </c>
      <c r="Y10" s="98">
        <v>0</v>
      </c>
      <c r="Z10" s="98">
        <v>0</v>
      </c>
      <c r="AA10" s="98">
        <v>0</v>
      </c>
      <c r="AB10" s="98">
        <v>0</v>
      </c>
      <c r="AC10" s="98">
        <v>0</v>
      </c>
      <c r="AD10" s="98">
        <v>0</v>
      </c>
      <c r="AE10" s="98">
        <v>0</v>
      </c>
      <c r="AF10" s="98">
        <f t="shared" si="5"/>
        <v>0</v>
      </c>
      <c r="AH10" s="98">
        <v>10</v>
      </c>
      <c r="AJ10" s="98">
        <v>0</v>
      </c>
      <c r="AK10" s="98">
        <v>0</v>
      </c>
      <c r="AL10" s="380">
        <v>0</v>
      </c>
      <c r="AN10" s="214">
        <f t="shared" si="6"/>
        <v>56322</v>
      </c>
      <c r="AO10" s="214">
        <f t="shared" si="7"/>
        <v>4023</v>
      </c>
      <c r="AP10" s="214">
        <f t="shared" si="8"/>
        <v>0</v>
      </c>
      <c r="AQ10" s="214">
        <f t="shared" si="9"/>
        <v>0</v>
      </c>
      <c r="AR10" s="214">
        <f t="shared" si="10"/>
        <v>0</v>
      </c>
      <c r="AS10" s="214">
        <f t="shared" si="11"/>
        <v>0</v>
      </c>
      <c r="AT10" s="214">
        <f t="shared" si="12"/>
        <v>24138</v>
      </c>
      <c r="AU10" s="214">
        <f t="shared" si="13"/>
        <v>28161</v>
      </c>
      <c r="AV10" s="214">
        <f t="shared" si="14"/>
        <v>0</v>
      </c>
      <c r="AW10" s="215">
        <f t="shared" si="15"/>
        <v>56322</v>
      </c>
    </row>
    <row r="11" spans="1:49" ht="15" customHeight="1">
      <c r="A11" s="140" t="s">
        <v>95</v>
      </c>
      <c r="B11" s="211" t="s">
        <v>96</v>
      </c>
      <c r="C11" s="140" t="str">
        <f t="shared" si="2"/>
        <v>Aquinas Catholic Schools-WPCP</v>
      </c>
      <c r="D11" s="140">
        <v>40</v>
      </c>
      <c r="E11" s="140">
        <v>0</v>
      </c>
      <c r="F11" s="140">
        <v>0</v>
      </c>
      <c r="G11" s="140">
        <v>0</v>
      </c>
      <c r="H11" s="140">
        <v>0</v>
      </c>
      <c r="I11" s="140">
        <v>59</v>
      </c>
      <c r="J11" s="140">
        <v>562</v>
      </c>
      <c r="K11" s="140">
        <v>290</v>
      </c>
      <c r="L11" s="140">
        <f t="shared" si="3"/>
        <v>951</v>
      </c>
      <c r="N11" s="140">
        <v>2</v>
      </c>
      <c r="O11" s="140">
        <v>0</v>
      </c>
      <c r="P11" s="140">
        <v>0</v>
      </c>
      <c r="Q11" s="140">
        <v>0</v>
      </c>
      <c r="R11" s="140">
        <v>0</v>
      </c>
      <c r="S11" s="140">
        <v>13</v>
      </c>
      <c r="T11" s="140">
        <v>95</v>
      </c>
      <c r="U11" s="140">
        <v>49</v>
      </c>
      <c r="V11" s="140">
        <f t="shared" si="4"/>
        <v>159</v>
      </c>
      <c r="X11" s="98">
        <v>0</v>
      </c>
      <c r="Y11" s="98">
        <v>0</v>
      </c>
      <c r="Z11" s="98">
        <v>0</v>
      </c>
      <c r="AA11" s="98">
        <v>0</v>
      </c>
      <c r="AB11" s="98">
        <v>0</v>
      </c>
      <c r="AC11" s="98">
        <v>0</v>
      </c>
      <c r="AD11" s="98">
        <v>0</v>
      </c>
      <c r="AE11" s="98">
        <v>0</v>
      </c>
      <c r="AF11" s="98">
        <f t="shared" si="5"/>
        <v>0</v>
      </c>
      <c r="AH11" s="98">
        <v>86</v>
      </c>
      <c r="AJ11" s="98">
        <v>0</v>
      </c>
      <c r="AK11" s="98">
        <v>0</v>
      </c>
      <c r="AL11" s="380">
        <v>0</v>
      </c>
      <c r="AN11" s="214">
        <f t="shared" si="6"/>
        <v>651461</v>
      </c>
      <c r="AO11" s="214">
        <f t="shared" si="7"/>
        <v>4023</v>
      </c>
      <c r="AP11" s="214">
        <f t="shared" si="8"/>
        <v>0</v>
      </c>
      <c r="AQ11" s="214">
        <f t="shared" si="9"/>
        <v>0</v>
      </c>
      <c r="AR11" s="214">
        <f t="shared" si="10"/>
        <v>0</v>
      </c>
      <c r="AS11" s="214">
        <f t="shared" si="11"/>
        <v>0</v>
      </c>
      <c r="AT11" s="214">
        <f t="shared" si="12"/>
        <v>52299</v>
      </c>
      <c r="AU11" s="214">
        <f t="shared" si="13"/>
        <v>382185</v>
      </c>
      <c r="AV11" s="214">
        <f t="shared" si="14"/>
        <v>212954</v>
      </c>
      <c r="AW11" s="215">
        <f t="shared" si="15"/>
        <v>651461</v>
      </c>
    </row>
    <row r="12" spans="1:49" ht="15" customHeight="1">
      <c r="A12" s="140" t="s">
        <v>97</v>
      </c>
      <c r="B12" s="211" t="s">
        <v>96</v>
      </c>
      <c r="C12" s="140" t="str">
        <f t="shared" si="2"/>
        <v>Assumption Catholic Schools-WPCP</v>
      </c>
      <c r="D12" s="140">
        <v>0</v>
      </c>
      <c r="E12" s="140">
        <v>0</v>
      </c>
      <c r="F12" s="140">
        <v>1</v>
      </c>
      <c r="G12" s="140">
        <v>0</v>
      </c>
      <c r="H12" s="140">
        <v>0</v>
      </c>
      <c r="I12" s="140">
        <v>22</v>
      </c>
      <c r="J12" s="140">
        <v>240</v>
      </c>
      <c r="K12" s="140">
        <v>127</v>
      </c>
      <c r="L12" s="140">
        <f t="shared" si="3"/>
        <v>390</v>
      </c>
      <c r="N12" s="140">
        <v>0</v>
      </c>
      <c r="O12" s="140">
        <v>0</v>
      </c>
      <c r="P12" s="140">
        <v>1</v>
      </c>
      <c r="Q12" s="140">
        <v>0</v>
      </c>
      <c r="R12" s="140">
        <v>0</v>
      </c>
      <c r="S12" s="140">
        <v>8</v>
      </c>
      <c r="T12" s="140">
        <v>75</v>
      </c>
      <c r="U12" s="140">
        <v>36</v>
      </c>
      <c r="V12" s="140">
        <f t="shared" si="4"/>
        <v>120</v>
      </c>
      <c r="X12" s="98">
        <v>0</v>
      </c>
      <c r="Y12" s="98">
        <v>0</v>
      </c>
      <c r="Z12" s="98">
        <v>0</v>
      </c>
      <c r="AA12" s="98">
        <v>0</v>
      </c>
      <c r="AB12" s="98">
        <v>0</v>
      </c>
      <c r="AC12" s="98">
        <v>0</v>
      </c>
      <c r="AD12" s="98">
        <v>0</v>
      </c>
      <c r="AE12" s="98">
        <v>0</v>
      </c>
      <c r="AF12" s="98">
        <f t="shared" si="5"/>
        <v>0</v>
      </c>
      <c r="AH12" s="98">
        <v>66</v>
      </c>
      <c r="AJ12" s="98">
        <v>0</v>
      </c>
      <c r="AK12" s="98">
        <v>0</v>
      </c>
      <c r="AL12" s="380">
        <v>0</v>
      </c>
      <c r="AN12" s="214">
        <f t="shared" si="6"/>
        <v>492376.5</v>
      </c>
      <c r="AO12" s="214">
        <f t="shared" si="7"/>
        <v>0</v>
      </c>
      <c r="AP12" s="214">
        <f t="shared" si="8"/>
        <v>0</v>
      </c>
      <c r="AQ12" s="214">
        <f t="shared" si="9"/>
        <v>2011.5</v>
      </c>
      <c r="AR12" s="214">
        <f t="shared" si="10"/>
        <v>0</v>
      </c>
      <c r="AS12" s="214">
        <f t="shared" si="11"/>
        <v>0</v>
      </c>
      <c r="AT12" s="214">
        <f t="shared" si="12"/>
        <v>32184</v>
      </c>
      <c r="AU12" s="214">
        <f t="shared" si="13"/>
        <v>301725</v>
      </c>
      <c r="AV12" s="214">
        <f t="shared" si="14"/>
        <v>156456</v>
      </c>
      <c r="AW12" s="215">
        <f t="shared" si="15"/>
        <v>492376.5</v>
      </c>
    </row>
    <row r="13" spans="1:49" ht="15" customHeight="1">
      <c r="A13" s="140" t="s">
        <v>436</v>
      </c>
      <c r="B13" s="211" t="s">
        <v>96</v>
      </c>
      <c r="C13" s="140" t="str">
        <f t="shared" si="2"/>
        <v>Assumption of the Blessed Virgin Mary School-WPCP</v>
      </c>
      <c r="D13" s="140">
        <v>0</v>
      </c>
      <c r="E13" s="140">
        <v>9</v>
      </c>
      <c r="F13" s="140">
        <v>0</v>
      </c>
      <c r="G13" s="140">
        <v>0</v>
      </c>
      <c r="H13" s="140">
        <v>0</v>
      </c>
      <c r="I13" s="140">
        <v>9</v>
      </c>
      <c r="J13" s="140">
        <v>44</v>
      </c>
      <c r="K13" s="140">
        <v>0</v>
      </c>
      <c r="L13" s="140">
        <f t="shared" si="3"/>
        <v>62</v>
      </c>
      <c r="N13" s="140">
        <v>0</v>
      </c>
      <c r="O13" s="140">
        <v>6</v>
      </c>
      <c r="P13" s="140">
        <v>0</v>
      </c>
      <c r="Q13" s="140">
        <v>0</v>
      </c>
      <c r="R13" s="140">
        <v>0</v>
      </c>
      <c r="S13" s="140">
        <v>6</v>
      </c>
      <c r="T13" s="140">
        <v>11</v>
      </c>
      <c r="U13" s="140">
        <v>0</v>
      </c>
      <c r="V13" s="140">
        <f t="shared" si="4"/>
        <v>23</v>
      </c>
      <c r="X13" s="98">
        <v>0</v>
      </c>
      <c r="Y13" s="98">
        <v>0</v>
      </c>
      <c r="Z13" s="98">
        <v>0</v>
      </c>
      <c r="AA13" s="98">
        <v>0</v>
      </c>
      <c r="AB13" s="98">
        <v>0</v>
      </c>
      <c r="AC13" s="98">
        <v>0</v>
      </c>
      <c r="AD13" s="98">
        <v>0</v>
      </c>
      <c r="AE13" s="98">
        <v>0</v>
      </c>
      <c r="AF13" s="98">
        <f t="shared" si="5"/>
        <v>0</v>
      </c>
      <c r="AH13" s="98">
        <v>13</v>
      </c>
      <c r="AJ13" s="98">
        <v>0</v>
      </c>
      <c r="AK13" s="98">
        <v>0</v>
      </c>
      <c r="AL13" s="380">
        <v>0</v>
      </c>
      <c r="AN13" s="214">
        <f t="shared" si="6"/>
        <v>82873.8</v>
      </c>
      <c r="AO13" s="214">
        <f t="shared" si="7"/>
        <v>0</v>
      </c>
      <c r="AP13" s="214">
        <f t="shared" si="8"/>
        <v>14482.8</v>
      </c>
      <c r="AQ13" s="214">
        <f t="shared" si="9"/>
        <v>0</v>
      </c>
      <c r="AR13" s="214">
        <f t="shared" si="10"/>
        <v>0</v>
      </c>
      <c r="AS13" s="214">
        <f t="shared" si="11"/>
        <v>0</v>
      </c>
      <c r="AT13" s="214">
        <f t="shared" si="12"/>
        <v>24138</v>
      </c>
      <c r="AU13" s="214">
        <f t="shared" si="13"/>
        <v>44253</v>
      </c>
      <c r="AV13" s="214">
        <f t="shared" si="14"/>
        <v>0</v>
      </c>
      <c r="AW13" s="215">
        <f t="shared" si="15"/>
        <v>82873.8</v>
      </c>
    </row>
    <row r="14" spans="1:49" ht="15" customHeight="1">
      <c r="A14" s="140" t="s">
        <v>214</v>
      </c>
      <c r="B14" s="211" t="s">
        <v>187</v>
      </c>
      <c r="C14" s="140" t="str">
        <f t="shared" si="2"/>
        <v>Atlas Preparatory Academy, Inc.-MPCP</v>
      </c>
      <c r="D14" s="140">
        <v>0</v>
      </c>
      <c r="E14" s="140">
        <v>32</v>
      </c>
      <c r="F14" s="140">
        <v>0</v>
      </c>
      <c r="G14" s="140">
        <v>0</v>
      </c>
      <c r="H14" s="140">
        <v>0</v>
      </c>
      <c r="I14" s="140">
        <v>32</v>
      </c>
      <c r="J14" s="140">
        <v>338</v>
      </c>
      <c r="K14" s="140">
        <v>205</v>
      </c>
      <c r="L14" s="140">
        <f t="shared" si="3"/>
        <v>607</v>
      </c>
      <c r="N14" s="140">
        <v>0</v>
      </c>
      <c r="O14" s="140">
        <v>32</v>
      </c>
      <c r="P14" s="140">
        <v>0</v>
      </c>
      <c r="Q14" s="140">
        <v>0</v>
      </c>
      <c r="R14" s="140">
        <v>0</v>
      </c>
      <c r="S14" s="140">
        <v>32</v>
      </c>
      <c r="T14" s="140">
        <v>338</v>
      </c>
      <c r="U14" s="140">
        <v>205</v>
      </c>
      <c r="V14" s="140">
        <f t="shared" si="4"/>
        <v>607</v>
      </c>
      <c r="X14" s="98">
        <v>0</v>
      </c>
      <c r="Y14" s="98">
        <v>0</v>
      </c>
      <c r="Z14" s="98">
        <v>0</v>
      </c>
      <c r="AA14" s="98">
        <v>0</v>
      </c>
      <c r="AB14" s="98">
        <v>0</v>
      </c>
      <c r="AC14" s="98">
        <v>0</v>
      </c>
      <c r="AD14" s="98">
        <v>0</v>
      </c>
      <c r="AE14" s="98">
        <v>0</v>
      </c>
      <c r="AF14" s="98">
        <f t="shared" si="5"/>
        <v>0</v>
      </c>
      <c r="AH14" s="98">
        <v>359</v>
      </c>
      <c r="AJ14" s="98">
        <v>0</v>
      </c>
      <c r="AK14" s="98">
        <v>0</v>
      </c>
      <c r="AL14" s="380">
        <v>0</v>
      </c>
      <c r="AN14" s="214">
        <f t="shared" si="6"/>
        <v>2456681.6</v>
      </c>
      <c r="AO14" s="214">
        <f t="shared" si="7"/>
        <v>0</v>
      </c>
      <c r="AP14" s="214">
        <f t="shared" si="8"/>
        <v>77241.6</v>
      </c>
      <c r="AQ14" s="214">
        <f t="shared" si="9"/>
        <v>0</v>
      </c>
      <c r="AR14" s="214">
        <f t="shared" si="10"/>
        <v>0</v>
      </c>
      <c r="AS14" s="214">
        <f t="shared" si="11"/>
        <v>0</v>
      </c>
      <c r="AT14" s="214">
        <f t="shared" si="12"/>
        <v>128736</v>
      </c>
      <c r="AU14" s="214">
        <f t="shared" si="13"/>
        <v>1359774</v>
      </c>
      <c r="AV14" s="214">
        <f t="shared" si="14"/>
        <v>890930</v>
      </c>
      <c r="AW14" s="215">
        <f t="shared" si="15"/>
        <v>2456681.6</v>
      </c>
    </row>
    <row r="15" spans="1:49" ht="15" customHeight="1">
      <c r="A15" s="140" t="s">
        <v>98</v>
      </c>
      <c r="B15" s="211" t="s">
        <v>187</v>
      </c>
      <c r="C15" s="140" t="str">
        <f t="shared" si="2"/>
        <v>Atonement Lutheran School-MPCP</v>
      </c>
      <c r="D15" s="140">
        <v>0</v>
      </c>
      <c r="E15" s="140">
        <v>36</v>
      </c>
      <c r="F15" s="140">
        <v>0</v>
      </c>
      <c r="G15" s="140">
        <v>0</v>
      </c>
      <c r="H15" s="140">
        <v>0</v>
      </c>
      <c r="I15" s="140">
        <v>40</v>
      </c>
      <c r="J15" s="140">
        <v>328</v>
      </c>
      <c r="K15" s="140">
        <v>0</v>
      </c>
      <c r="L15" s="140">
        <f t="shared" si="3"/>
        <v>404</v>
      </c>
      <c r="N15" s="140">
        <v>0</v>
      </c>
      <c r="O15" s="140">
        <v>33</v>
      </c>
      <c r="P15" s="140">
        <v>0</v>
      </c>
      <c r="Q15" s="140">
        <v>0</v>
      </c>
      <c r="R15" s="140">
        <v>0</v>
      </c>
      <c r="S15" s="140">
        <v>39</v>
      </c>
      <c r="T15" s="140">
        <v>324</v>
      </c>
      <c r="U15" s="140">
        <v>0</v>
      </c>
      <c r="V15" s="140">
        <f t="shared" si="4"/>
        <v>396</v>
      </c>
      <c r="X15" s="98">
        <v>0</v>
      </c>
      <c r="Y15" s="98">
        <v>1</v>
      </c>
      <c r="Z15" s="98">
        <v>0</v>
      </c>
      <c r="AA15" s="98">
        <v>0</v>
      </c>
      <c r="AB15" s="98">
        <v>0</v>
      </c>
      <c r="AC15" s="98">
        <v>6</v>
      </c>
      <c r="AD15" s="98">
        <v>7</v>
      </c>
      <c r="AE15" s="98">
        <v>0</v>
      </c>
      <c r="AF15" s="98">
        <f t="shared" si="5"/>
        <v>14</v>
      </c>
      <c r="AH15" s="98">
        <v>268</v>
      </c>
      <c r="AJ15" s="98">
        <v>127</v>
      </c>
      <c r="AK15" s="98">
        <v>0</v>
      </c>
      <c r="AL15" s="380">
        <v>43086.36999999998</v>
      </c>
      <c r="AN15" s="214">
        <f t="shared" si="6"/>
        <v>1540004.4</v>
      </c>
      <c r="AO15" s="214">
        <f t="shared" si="7"/>
        <v>0</v>
      </c>
      <c r="AP15" s="214">
        <f t="shared" si="8"/>
        <v>79655.4</v>
      </c>
      <c r="AQ15" s="214">
        <f t="shared" si="9"/>
        <v>0</v>
      </c>
      <c r="AR15" s="214">
        <f t="shared" si="10"/>
        <v>0</v>
      </c>
      <c r="AS15" s="214">
        <f t="shared" si="11"/>
        <v>0</v>
      </c>
      <c r="AT15" s="214">
        <f t="shared" si="12"/>
        <v>156897</v>
      </c>
      <c r="AU15" s="214">
        <f t="shared" si="13"/>
        <v>1303452</v>
      </c>
      <c r="AV15" s="214">
        <f t="shared" si="14"/>
        <v>0</v>
      </c>
      <c r="AW15" s="215">
        <f t="shared" si="15"/>
        <v>1540004.4</v>
      </c>
    </row>
    <row r="16" spans="1:49" ht="15" customHeight="1">
      <c r="A16" s="140" t="s">
        <v>98</v>
      </c>
      <c r="B16" s="211" t="s">
        <v>96</v>
      </c>
      <c r="C16" s="140" t="str">
        <f t="shared" si="2"/>
        <v>Atonement Lutheran School-WPCP</v>
      </c>
      <c r="D16" s="140">
        <v>0</v>
      </c>
      <c r="E16" s="140">
        <v>36</v>
      </c>
      <c r="F16" s="140">
        <v>0</v>
      </c>
      <c r="G16" s="140">
        <v>0</v>
      </c>
      <c r="H16" s="140">
        <v>0</v>
      </c>
      <c r="I16" s="140">
        <v>40</v>
      </c>
      <c r="J16" s="140">
        <v>328</v>
      </c>
      <c r="K16" s="140">
        <v>0</v>
      </c>
      <c r="L16" s="140">
        <f t="shared" si="3"/>
        <v>404</v>
      </c>
      <c r="N16" s="140">
        <v>0</v>
      </c>
      <c r="O16" s="140">
        <v>2</v>
      </c>
      <c r="P16" s="140">
        <v>0</v>
      </c>
      <c r="Q16" s="140">
        <v>0</v>
      </c>
      <c r="R16" s="140">
        <v>0</v>
      </c>
      <c r="S16" s="140">
        <v>0</v>
      </c>
      <c r="T16" s="140">
        <v>2</v>
      </c>
      <c r="U16" s="140">
        <v>0</v>
      </c>
      <c r="V16" s="140">
        <f t="shared" si="4"/>
        <v>4</v>
      </c>
      <c r="X16" s="98">
        <v>0</v>
      </c>
      <c r="Y16" s="98">
        <v>0</v>
      </c>
      <c r="Z16" s="98">
        <v>0</v>
      </c>
      <c r="AA16" s="98">
        <v>0</v>
      </c>
      <c r="AB16" s="98">
        <v>0</v>
      </c>
      <c r="AC16" s="98">
        <v>0</v>
      </c>
      <c r="AD16" s="98">
        <v>1</v>
      </c>
      <c r="AE16" s="98">
        <v>0</v>
      </c>
      <c r="AF16" s="98">
        <f t="shared" si="5"/>
        <v>1</v>
      </c>
      <c r="AH16" s="98">
        <v>2</v>
      </c>
      <c r="AJ16" s="98">
        <v>0</v>
      </c>
      <c r="AK16" s="98">
        <v>0</v>
      </c>
      <c r="AL16" s="380">
        <v>0</v>
      </c>
      <c r="AN16" s="214">
        <f t="shared" si="6"/>
        <v>12873.6</v>
      </c>
      <c r="AO16" s="214">
        <f t="shared" si="7"/>
        <v>0</v>
      </c>
      <c r="AP16" s="214">
        <f t="shared" si="8"/>
        <v>4827.6</v>
      </c>
      <c r="AQ16" s="214">
        <f t="shared" si="9"/>
        <v>0</v>
      </c>
      <c r="AR16" s="214">
        <f t="shared" si="10"/>
        <v>0</v>
      </c>
      <c r="AS16" s="214">
        <f t="shared" si="11"/>
        <v>0</v>
      </c>
      <c r="AT16" s="214">
        <f t="shared" si="12"/>
        <v>0</v>
      </c>
      <c r="AU16" s="214">
        <f t="shared" si="13"/>
        <v>8046</v>
      </c>
      <c r="AV16" s="214">
        <f t="shared" si="14"/>
        <v>0</v>
      </c>
      <c r="AW16" s="215">
        <f t="shared" si="15"/>
        <v>12873.6</v>
      </c>
    </row>
    <row r="17" spans="1:49" ht="15" customHeight="1">
      <c r="A17" s="140" t="s">
        <v>569</v>
      </c>
      <c r="B17" s="211" t="s">
        <v>187</v>
      </c>
      <c r="C17" s="140" t="str">
        <f t="shared" si="2"/>
        <v>Bader Hillel High, Inc.-MPCP</v>
      </c>
      <c r="D17" s="140">
        <v>0</v>
      </c>
      <c r="E17" s="140">
        <v>0</v>
      </c>
      <c r="F17" s="140">
        <v>0</v>
      </c>
      <c r="G17" s="140">
        <v>0</v>
      </c>
      <c r="H17" s="140">
        <v>0</v>
      </c>
      <c r="I17" s="140">
        <v>0</v>
      </c>
      <c r="J17" s="140">
        <v>0</v>
      </c>
      <c r="K17" s="140">
        <v>42</v>
      </c>
      <c r="L17" s="140">
        <f t="shared" si="3"/>
        <v>42</v>
      </c>
      <c r="N17" s="140">
        <v>0</v>
      </c>
      <c r="O17" s="140">
        <v>0</v>
      </c>
      <c r="P17" s="140">
        <v>0</v>
      </c>
      <c r="Q17" s="140">
        <v>0</v>
      </c>
      <c r="R17" s="140">
        <v>0</v>
      </c>
      <c r="S17" s="140">
        <v>0</v>
      </c>
      <c r="T17" s="140">
        <v>0</v>
      </c>
      <c r="U17" s="140">
        <v>25</v>
      </c>
      <c r="V17" s="140">
        <f t="shared" si="4"/>
        <v>25</v>
      </c>
      <c r="X17" s="98">
        <v>0</v>
      </c>
      <c r="Y17" s="98">
        <v>0</v>
      </c>
      <c r="Z17" s="98">
        <v>0</v>
      </c>
      <c r="AA17" s="98">
        <v>0</v>
      </c>
      <c r="AB17" s="98">
        <v>0</v>
      </c>
      <c r="AC17" s="98">
        <v>0</v>
      </c>
      <c r="AD17" s="98">
        <v>0</v>
      </c>
      <c r="AE17" s="98">
        <v>0</v>
      </c>
      <c r="AF17" s="98">
        <f t="shared" si="5"/>
        <v>0</v>
      </c>
      <c r="AH17" s="98">
        <v>15</v>
      </c>
      <c r="AJ17" s="98">
        <v>0</v>
      </c>
      <c r="AK17" s="98">
        <v>0</v>
      </c>
      <c r="AL17" s="380">
        <v>0</v>
      </c>
      <c r="AN17" s="214">
        <f t="shared" si="6"/>
        <v>108650</v>
      </c>
      <c r="AO17" s="214">
        <f t="shared" si="7"/>
        <v>0</v>
      </c>
      <c r="AP17" s="214">
        <f t="shared" si="8"/>
        <v>0</v>
      </c>
      <c r="AQ17" s="214">
        <f t="shared" si="9"/>
        <v>0</v>
      </c>
      <c r="AR17" s="214">
        <f t="shared" si="10"/>
        <v>0</v>
      </c>
      <c r="AS17" s="214">
        <f t="shared" si="11"/>
        <v>0</v>
      </c>
      <c r="AT17" s="214">
        <f t="shared" si="12"/>
        <v>0</v>
      </c>
      <c r="AU17" s="214">
        <f t="shared" si="13"/>
        <v>0</v>
      </c>
      <c r="AV17" s="214">
        <f t="shared" si="14"/>
        <v>108650</v>
      </c>
      <c r="AW17" s="215">
        <f t="shared" si="15"/>
        <v>108650</v>
      </c>
    </row>
    <row r="18" spans="1:49" ht="15" customHeight="1">
      <c r="A18" s="140" t="s">
        <v>569</v>
      </c>
      <c r="B18" s="211" t="s">
        <v>96</v>
      </c>
      <c r="C18" s="140" t="str">
        <f t="shared" si="2"/>
        <v>Bader Hillel High, Inc.-WPCP</v>
      </c>
      <c r="D18" s="140">
        <v>0</v>
      </c>
      <c r="E18" s="140">
        <v>0</v>
      </c>
      <c r="F18" s="140">
        <v>0</v>
      </c>
      <c r="G18" s="140">
        <v>0</v>
      </c>
      <c r="H18" s="140">
        <v>0</v>
      </c>
      <c r="I18" s="140">
        <v>0</v>
      </c>
      <c r="J18" s="140">
        <v>0</v>
      </c>
      <c r="K18" s="140">
        <v>42</v>
      </c>
      <c r="L18" s="140">
        <f t="shared" si="3"/>
        <v>42</v>
      </c>
      <c r="N18" s="140">
        <v>0</v>
      </c>
      <c r="O18" s="140">
        <v>0</v>
      </c>
      <c r="P18" s="140">
        <v>0</v>
      </c>
      <c r="Q18" s="140">
        <v>0</v>
      </c>
      <c r="R18" s="140">
        <v>0</v>
      </c>
      <c r="S18" s="140">
        <v>0</v>
      </c>
      <c r="T18" s="140">
        <v>0</v>
      </c>
      <c r="U18" s="140">
        <v>4</v>
      </c>
      <c r="V18" s="140">
        <f t="shared" si="4"/>
        <v>4</v>
      </c>
      <c r="X18" s="98">
        <v>0</v>
      </c>
      <c r="Y18" s="98">
        <v>0</v>
      </c>
      <c r="Z18" s="98">
        <v>0</v>
      </c>
      <c r="AA18" s="98">
        <v>0</v>
      </c>
      <c r="AB18" s="98">
        <v>0</v>
      </c>
      <c r="AC18" s="98">
        <v>0</v>
      </c>
      <c r="AD18" s="98">
        <v>0</v>
      </c>
      <c r="AE18" s="98">
        <v>0</v>
      </c>
      <c r="AF18" s="98">
        <f t="shared" si="5"/>
        <v>0</v>
      </c>
      <c r="AH18" s="98">
        <v>1</v>
      </c>
      <c r="AJ18" s="98">
        <v>0</v>
      </c>
      <c r="AK18" s="98">
        <v>0</v>
      </c>
      <c r="AL18" s="380">
        <v>0</v>
      </c>
      <c r="AN18" s="214">
        <f t="shared" si="6"/>
        <v>17384</v>
      </c>
      <c r="AO18" s="214">
        <f t="shared" si="7"/>
        <v>0</v>
      </c>
      <c r="AP18" s="214">
        <f t="shared" si="8"/>
        <v>0</v>
      </c>
      <c r="AQ18" s="214">
        <f t="shared" si="9"/>
        <v>0</v>
      </c>
      <c r="AR18" s="214">
        <f t="shared" si="10"/>
        <v>0</v>
      </c>
      <c r="AS18" s="214">
        <f t="shared" si="11"/>
        <v>0</v>
      </c>
      <c r="AT18" s="214">
        <f t="shared" si="12"/>
        <v>0</v>
      </c>
      <c r="AU18" s="214">
        <f t="shared" si="13"/>
        <v>0</v>
      </c>
      <c r="AV18" s="214">
        <f t="shared" si="14"/>
        <v>17384</v>
      </c>
      <c r="AW18" s="215">
        <f t="shared" si="15"/>
        <v>17384</v>
      </c>
    </row>
    <row r="19" spans="1:49" ht="15" customHeight="1">
      <c r="A19" s="140" t="s">
        <v>336</v>
      </c>
      <c r="B19" s="211" t="s">
        <v>187</v>
      </c>
      <c r="C19" s="140" t="str">
        <f t="shared" si="2"/>
        <v>Badger State Baptist School-MPCP</v>
      </c>
      <c r="D19" s="140">
        <v>5</v>
      </c>
      <c r="E19" s="140">
        <v>0</v>
      </c>
      <c r="F19" s="140">
        <v>0</v>
      </c>
      <c r="G19" s="140">
        <v>0</v>
      </c>
      <c r="H19" s="140">
        <v>0</v>
      </c>
      <c r="I19" s="140">
        <v>4</v>
      </c>
      <c r="J19" s="140">
        <v>83</v>
      </c>
      <c r="K19" s="140">
        <v>15</v>
      </c>
      <c r="L19" s="140">
        <f t="shared" si="3"/>
        <v>107</v>
      </c>
      <c r="N19" s="140">
        <v>1</v>
      </c>
      <c r="O19" s="140">
        <v>0</v>
      </c>
      <c r="P19" s="140">
        <v>0</v>
      </c>
      <c r="Q19" s="140">
        <v>0</v>
      </c>
      <c r="R19" s="140">
        <v>0</v>
      </c>
      <c r="S19" s="140">
        <v>2</v>
      </c>
      <c r="T19" s="140">
        <v>35</v>
      </c>
      <c r="U19" s="140">
        <v>6</v>
      </c>
      <c r="V19" s="140">
        <f t="shared" si="4"/>
        <v>44</v>
      </c>
      <c r="X19" s="98">
        <v>0</v>
      </c>
      <c r="Y19" s="98">
        <v>0</v>
      </c>
      <c r="Z19" s="98">
        <v>0</v>
      </c>
      <c r="AA19" s="98">
        <v>0</v>
      </c>
      <c r="AB19" s="98">
        <v>0</v>
      </c>
      <c r="AC19" s="98">
        <v>0</v>
      </c>
      <c r="AD19" s="98">
        <v>0</v>
      </c>
      <c r="AE19" s="98">
        <v>0</v>
      </c>
      <c r="AF19" s="98">
        <f t="shared" si="5"/>
        <v>0</v>
      </c>
      <c r="AH19" s="98">
        <v>21</v>
      </c>
      <c r="AJ19" s="98">
        <v>0</v>
      </c>
      <c r="AK19" s="98">
        <v>0</v>
      </c>
      <c r="AL19" s="380">
        <v>0</v>
      </c>
      <c r="AN19" s="214">
        <f t="shared" si="6"/>
        <v>176938.5</v>
      </c>
      <c r="AO19" s="214">
        <f t="shared" si="7"/>
        <v>2011.5</v>
      </c>
      <c r="AP19" s="214">
        <f t="shared" si="8"/>
        <v>0</v>
      </c>
      <c r="AQ19" s="214">
        <f t="shared" si="9"/>
        <v>0</v>
      </c>
      <c r="AR19" s="214">
        <f t="shared" si="10"/>
        <v>0</v>
      </c>
      <c r="AS19" s="214">
        <f t="shared" si="11"/>
        <v>0</v>
      </c>
      <c r="AT19" s="214">
        <f t="shared" si="12"/>
        <v>8046</v>
      </c>
      <c r="AU19" s="214">
        <f t="shared" si="13"/>
        <v>140805</v>
      </c>
      <c r="AV19" s="214">
        <f t="shared" si="14"/>
        <v>26076</v>
      </c>
      <c r="AW19" s="215">
        <f t="shared" si="15"/>
        <v>176938.5</v>
      </c>
    </row>
    <row r="20" spans="1:49" ht="15" customHeight="1">
      <c r="A20" s="140" t="s">
        <v>336</v>
      </c>
      <c r="B20" s="211" t="s">
        <v>188</v>
      </c>
      <c r="C20" s="140" t="str">
        <f t="shared" si="2"/>
        <v>Badger State Baptist School-RPCP</v>
      </c>
      <c r="D20" s="140">
        <v>5</v>
      </c>
      <c r="E20" s="140">
        <v>0</v>
      </c>
      <c r="F20" s="140">
        <v>0</v>
      </c>
      <c r="G20" s="140">
        <v>0</v>
      </c>
      <c r="H20" s="140">
        <v>0</v>
      </c>
      <c r="I20" s="140">
        <v>4</v>
      </c>
      <c r="J20" s="140">
        <v>83</v>
      </c>
      <c r="K20" s="140">
        <v>15</v>
      </c>
      <c r="L20" s="140">
        <f t="shared" si="3"/>
        <v>107</v>
      </c>
      <c r="N20" s="140">
        <v>1</v>
      </c>
      <c r="O20" s="140">
        <v>0</v>
      </c>
      <c r="P20" s="140">
        <v>0</v>
      </c>
      <c r="Q20" s="140">
        <v>0</v>
      </c>
      <c r="R20" s="140">
        <v>0</v>
      </c>
      <c r="S20" s="140">
        <v>0</v>
      </c>
      <c r="T20" s="140">
        <v>7</v>
      </c>
      <c r="U20" s="140">
        <v>3</v>
      </c>
      <c r="V20" s="140">
        <f t="shared" si="4"/>
        <v>11</v>
      </c>
      <c r="X20" s="98">
        <v>0</v>
      </c>
      <c r="Y20" s="98">
        <v>0</v>
      </c>
      <c r="Z20" s="98">
        <v>0</v>
      </c>
      <c r="AA20" s="98">
        <v>0</v>
      </c>
      <c r="AB20" s="98">
        <v>0</v>
      </c>
      <c r="AC20" s="98">
        <v>0</v>
      </c>
      <c r="AD20" s="98">
        <v>0</v>
      </c>
      <c r="AE20" s="98">
        <v>0</v>
      </c>
      <c r="AF20" s="98">
        <f t="shared" si="5"/>
        <v>0</v>
      </c>
      <c r="AH20" s="98">
        <v>6</v>
      </c>
      <c r="AJ20" s="98">
        <v>0</v>
      </c>
      <c r="AK20" s="98">
        <v>0</v>
      </c>
      <c r="AL20" s="380">
        <v>0</v>
      </c>
      <c r="AN20" s="214">
        <f t="shared" si="6"/>
        <v>43210.5</v>
      </c>
      <c r="AO20" s="214">
        <f t="shared" si="7"/>
        <v>2011.5</v>
      </c>
      <c r="AP20" s="214">
        <f t="shared" si="8"/>
        <v>0</v>
      </c>
      <c r="AQ20" s="214">
        <f t="shared" si="9"/>
        <v>0</v>
      </c>
      <c r="AR20" s="214">
        <f t="shared" si="10"/>
        <v>0</v>
      </c>
      <c r="AS20" s="214">
        <f t="shared" si="11"/>
        <v>0</v>
      </c>
      <c r="AT20" s="214">
        <f t="shared" si="12"/>
        <v>0</v>
      </c>
      <c r="AU20" s="214">
        <f t="shared" si="13"/>
        <v>28161</v>
      </c>
      <c r="AV20" s="214">
        <f t="shared" si="14"/>
        <v>13038</v>
      </c>
      <c r="AW20" s="215">
        <f t="shared" si="15"/>
        <v>43210.5</v>
      </c>
    </row>
    <row r="21" spans="1:49" ht="15" customHeight="1">
      <c r="A21" s="140" t="s">
        <v>336</v>
      </c>
      <c r="B21" s="211" t="s">
        <v>96</v>
      </c>
      <c r="C21" s="140" t="str">
        <f t="shared" si="2"/>
        <v>Badger State Baptist School-WPCP</v>
      </c>
      <c r="D21" s="140">
        <v>5</v>
      </c>
      <c r="E21" s="140">
        <v>0</v>
      </c>
      <c r="F21" s="140">
        <v>0</v>
      </c>
      <c r="G21" s="140">
        <v>0</v>
      </c>
      <c r="H21" s="140">
        <v>0</v>
      </c>
      <c r="I21" s="140">
        <v>4</v>
      </c>
      <c r="J21" s="140">
        <v>83</v>
      </c>
      <c r="K21" s="140">
        <v>15</v>
      </c>
      <c r="L21" s="140">
        <f t="shared" si="3"/>
        <v>107</v>
      </c>
      <c r="N21" s="140">
        <v>1</v>
      </c>
      <c r="O21" s="140">
        <v>0</v>
      </c>
      <c r="P21" s="140">
        <v>0</v>
      </c>
      <c r="Q21" s="140">
        <v>0</v>
      </c>
      <c r="R21" s="140">
        <v>0</v>
      </c>
      <c r="S21" s="140">
        <v>0</v>
      </c>
      <c r="T21" s="140">
        <v>5</v>
      </c>
      <c r="U21" s="140">
        <v>0</v>
      </c>
      <c r="V21" s="140">
        <f t="shared" si="4"/>
        <v>6</v>
      </c>
      <c r="X21" s="98">
        <v>0</v>
      </c>
      <c r="Y21" s="98">
        <v>0</v>
      </c>
      <c r="Z21" s="98">
        <v>0</v>
      </c>
      <c r="AA21" s="98">
        <v>0</v>
      </c>
      <c r="AB21" s="98">
        <v>0</v>
      </c>
      <c r="AC21" s="98">
        <v>0</v>
      </c>
      <c r="AD21" s="98">
        <v>0</v>
      </c>
      <c r="AE21" s="98">
        <v>0</v>
      </c>
      <c r="AF21" s="98">
        <f t="shared" si="5"/>
        <v>0</v>
      </c>
      <c r="AH21" s="98">
        <v>4</v>
      </c>
      <c r="AJ21" s="98">
        <v>0</v>
      </c>
      <c r="AK21" s="98">
        <v>0</v>
      </c>
      <c r="AL21" s="380">
        <v>0</v>
      </c>
      <c r="AN21" s="214">
        <f t="shared" si="6"/>
        <v>22126.5</v>
      </c>
      <c r="AO21" s="214">
        <f t="shared" si="7"/>
        <v>2011.5</v>
      </c>
      <c r="AP21" s="214">
        <f t="shared" si="8"/>
        <v>0</v>
      </c>
      <c r="AQ21" s="214">
        <f t="shared" si="9"/>
        <v>0</v>
      </c>
      <c r="AR21" s="214">
        <f t="shared" si="10"/>
        <v>0</v>
      </c>
      <c r="AS21" s="214">
        <f t="shared" si="11"/>
        <v>0</v>
      </c>
      <c r="AT21" s="214">
        <f t="shared" si="12"/>
        <v>0</v>
      </c>
      <c r="AU21" s="214">
        <f t="shared" si="13"/>
        <v>20115</v>
      </c>
      <c r="AV21" s="214">
        <f t="shared" si="14"/>
        <v>0</v>
      </c>
      <c r="AW21" s="215">
        <f t="shared" si="15"/>
        <v>22126.5</v>
      </c>
    </row>
    <row r="22" spans="1:49" ht="15" customHeight="1">
      <c r="A22" s="140" t="s">
        <v>307</v>
      </c>
      <c r="B22" s="211" t="s">
        <v>96</v>
      </c>
      <c r="C22" s="140" t="str">
        <f t="shared" si="2"/>
        <v>Bay City Christian School-WPCP</v>
      </c>
      <c r="D22" s="140">
        <v>9</v>
      </c>
      <c r="E22" s="140">
        <v>0</v>
      </c>
      <c r="F22" s="140">
        <v>19</v>
      </c>
      <c r="G22" s="140">
        <v>0</v>
      </c>
      <c r="H22" s="140">
        <v>0</v>
      </c>
      <c r="I22" s="140">
        <v>0</v>
      </c>
      <c r="J22" s="140">
        <v>140</v>
      </c>
      <c r="K22" s="140">
        <v>38</v>
      </c>
      <c r="L22" s="140">
        <f t="shared" si="3"/>
        <v>206</v>
      </c>
      <c r="N22" s="140">
        <v>7</v>
      </c>
      <c r="O22" s="140">
        <v>0</v>
      </c>
      <c r="P22" s="140">
        <v>17</v>
      </c>
      <c r="Q22" s="140">
        <v>0</v>
      </c>
      <c r="R22" s="140">
        <v>0</v>
      </c>
      <c r="S22" s="140">
        <v>0</v>
      </c>
      <c r="T22" s="140">
        <v>95</v>
      </c>
      <c r="U22" s="140">
        <v>19</v>
      </c>
      <c r="V22" s="140">
        <f t="shared" si="4"/>
        <v>138</v>
      </c>
      <c r="X22" s="98">
        <v>0</v>
      </c>
      <c r="Y22" s="98">
        <v>0</v>
      </c>
      <c r="Z22" s="98">
        <v>0</v>
      </c>
      <c r="AA22" s="98">
        <v>0</v>
      </c>
      <c r="AB22" s="98">
        <v>0</v>
      </c>
      <c r="AC22" s="98">
        <v>0</v>
      </c>
      <c r="AD22" s="98">
        <v>0</v>
      </c>
      <c r="AE22" s="98">
        <v>0</v>
      </c>
      <c r="AF22" s="98">
        <f t="shared" si="5"/>
        <v>0</v>
      </c>
      <c r="AH22" s="98">
        <v>66</v>
      </c>
      <c r="AJ22" s="98">
        <v>0</v>
      </c>
      <c r="AK22" s="98">
        <v>0</v>
      </c>
      <c r="AL22" s="380">
        <v>0</v>
      </c>
      <c r="AN22" s="214">
        <f t="shared" si="6"/>
        <v>513035</v>
      </c>
      <c r="AO22" s="214">
        <f t="shared" si="7"/>
        <v>14080.5</v>
      </c>
      <c r="AP22" s="214">
        <f t="shared" si="8"/>
        <v>0</v>
      </c>
      <c r="AQ22" s="214">
        <f t="shared" si="9"/>
        <v>34195.5</v>
      </c>
      <c r="AR22" s="214">
        <f t="shared" si="10"/>
        <v>0</v>
      </c>
      <c r="AS22" s="214">
        <f t="shared" si="11"/>
        <v>0</v>
      </c>
      <c r="AT22" s="214">
        <f t="shared" si="12"/>
        <v>0</v>
      </c>
      <c r="AU22" s="214">
        <f t="shared" si="13"/>
        <v>382185</v>
      </c>
      <c r="AV22" s="214">
        <f t="shared" si="14"/>
        <v>82574</v>
      </c>
      <c r="AW22" s="215">
        <f t="shared" si="15"/>
        <v>513035</v>
      </c>
    </row>
    <row r="23" spans="1:49" ht="15" customHeight="1">
      <c r="A23" s="140" t="s">
        <v>308</v>
      </c>
      <c r="B23" s="211" t="s">
        <v>187</v>
      </c>
      <c r="C23" s="140" t="str">
        <f t="shared" si="2"/>
        <v>Beautiful Savior Lutheran School-MPCP</v>
      </c>
      <c r="D23" s="140">
        <v>17</v>
      </c>
      <c r="E23" s="140">
        <v>0</v>
      </c>
      <c r="F23" s="140">
        <v>0</v>
      </c>
      <c r="G23" s="140">
        <v>0</v>
      </c>
      <c r="H23" s="140">
        <v>0</v>
      </c>
      <c r="I23" s="140">
        <v>9</v>
      </c>
      <c r="J23" s="140">
        <v>51</v>
      </c>
      <c r="K23" s="140">
        <v>0</v>
      </c>
      <c r="L23" s="140">
        <f t="shared" si="3"/>
        <v>77</v>
      </c>
      <c r="N23" s="140">
        <v>0</v>
      </c>
      <c r="O23" s="140">
        <v>0</v>
      </c>
      <c r="P23" s="140">
        <v>0</v>
      </c>
      <c r="Q23" s="140">
        <v>0</v>
      </c>
      <c r="R23" s="140">
        <v>0</v>
      </c>
      <c r="S23" s="140">
        <v>0</v>
      </c>
      <c r="T23" s="140">
        <v>0</v>
      </c>
      <c r="U23" s="140">
        <v>0</v>
      </c>
      <c r="V23" s="140">
        <f t="shared" si="4"/>
        <v>0</v>
      </c>
      <c r="X23" s="98">
        <v>0</v>
      </c>
      <c r="Y23" s="98">
        <v>0</v>
      </c>
      <c r="Z23" s="98">
        <v>0</v>
      </c>
      <c r="AA23" s="98">
        <v>0</v>
      </c>
      <c r="AB23" s="98">
        <v>0</v>
      </c>
      <c r="AC23" s="98">
        <v>0</v>
      </c>
      <c r="AD23" s="98">
        <v>0</v>
      </c>
      <c r="AE23" s="98">
        <v>0</v>
      </c>
      <c r="AF23" s="98">
        <f t="shared" si="5"/>
        <v>0</v>
      </c>
      <c r="AH23" s="98">
        <v>0</v>
      </c>
      <c r="AJ23" s="98">
        <v>0</v>
      </c>
      <c r="AK23" s="98">
        <v>0</v>
      </c>
      <c r="AL23" s="380">
        <v>0</v>
      </c>
      <c r="AN23" s="214">
        <f t="shared" si="6"/>
        <v>0</v>
      </c>
      <c r="AO23" s="214">
        <f t="shared" si="7"/>
        <v>0</v>
      </c>
      <c r="AP23" s="214">
        <f t="shared" si="8"/>
        <v>0</v>
      </c>
      <c r="AQ23" s="214">
        <f t="shared" si="9"/>
        <v>0</v>
      </c>
      <c r="AR23" s="214">
        <f t="shared" si="10"/>
        <v>0</v>
      </c>
      <c r="AS23" s="214">
        <f t="shared" si="11"/>
        <v>0</v>
      </c>
      <c r="AT23" s="214">
        <f t="shared" si="12"/>
        <v>0</v>
      </c>
      <c r="AU23" s="214">
        <f t="shared" si="13"/>
        <v>0</v>
      </c>
      <c r="AV23" s="214">
        <f t="shared" si="14"/>
        <v>0</v>
      </c>
      <c r="AW23" s="215">
        <f t="shared" si="15"/>
        <v>0</v>
      </c>
    </row>
    <row r="24" spans="1:49" ht="15" customHeight="1">
      <c r="A24" s="140" t="s">
        <v>308</v>
      </c>
      <c r="B24" s="211" t="s">
        <v>96</v>
      </c>
      <c r="C24" s="140" t="str">
        <f t="shared" si="2"/>
        <v>Beautiful Savior Lutheran School-WPCP</v>
      </c>
      <c r="D24" s="140">
        <v>17</v>
      </c>
      <c r="E24" s="140">
        <v>0</v>
      </c>
      <c r="F24" s="140">
        <v>0</v>
      </c>
      <c r="G24" s="140">
        <v>0</v>
      </c>
      <c r="H24" s="140">
        <v>0</v>
      </c>
      <c r="I24" s="140">
        <v>9</v>
      </c>
      <c r="J24" s="140">
        <v>51</v>
      </c>
      <c r="K24" s="140">
        <v>0</v>
      </c>
      <c r="L24" s="140">
        <f t="shared" si="3"/>
        <v>77</v>
      </c>
      <c r="N24" s="140">
        <v>7</v>
      </c>
      <c r="O24" s="140">
        <v>0</v>
      </c>
      <c r="P24" s="140">
        <v>0</v>
      </c>
      <c r="Q24" s="140">
        <v>0</v>
      </c>
      <c r="R24" s="140">
        <v>0</v>
      </c>
      <c r="S24" s="140">
        <v>0</v>
      </c>
      <c r="T24" s="140">
        <v>15</v>
      </c>
      <c r="U24" s="140">
        <v>0</v>
      </c>
      <c r="V24" s="140">
        <f t="shared" si="4"/>
        <v>22</v>
      </c>
      <c r="X24" s="98">
        <v>0</v>
      </c>
      <c r="Y24" s="98">
        <v>0</v>
      </c>
      <c r="Z24" s="98">
        <v>0</v>
      </c>
      <c r="AA24" s="98">
        <v>0</v>
      </c>
      <c r="AB24" s="98">
        <v>0</v>
      </c>
      <c r="AC24" s="98">
        <v>0</v>
      </c>
      <c r="AD24" s="98">
        <v>0</v>
      </c>
      <c r="AE24" s="98">
        <v>0</v>
      </c>
      <c r="AF24" s="98">
        <f t="shared" si="5"/>
        <v>0</v>
      </c>
      <c r="AH24" s="98">
        <v>17</v>
      </c>
      <c r="AJ24" s="98">
        <v>0</v>
      </c>
      <c r="AK24" s="98">
        <v>0</v>
      </c>
      <c r="AL24" s="380">
        <v>0</v>
      </c>
      <c r="AN24" s="214">
        <f t="shared" si="6"/>
        <v>74425.5</v>
      </c>
      <c r="AO24" s="214">
        <f t="shared" si="7"/>
        <v>14080.5</v>
      </c>
      <c r="AP24" s="214">
        <f t="shared" si="8"/>
        <v>0</v>
      </c>
      <c r="AQ24" s="214">
        <f t="shared" si="9"/>
        <v>0</v>
      </c>
      <c r="AR24" s="214">
        <f t="shared" si="10"/>
        <v>0</v>
      </c>
      <c r="AS24" s="214">
        <f t="shared" si="11"/>
        <v>0</v>
      </c>
      <c r="AT24" s="214">
        <f t="shared" si="12"/>
        <v>0</v>
      </c>
      <c r="AU24" s="214">
        <f t="shared" si="13"/>
        <v>60345</v>
      </c>
      <c r="AV24" s="214">
        <f t="shared" si="14"/>
        <v>0</v>
      </c>
      <c r="AW24" s="215">
        <f t="shared" si="15"/>
        <v>74425.5</v>
      </c>
    </row>
    <row r="25" spans="1:49" ht="15" customHeight="1">
      <c r="A25" s="140" t="s">
        <v>99</v>
      </c>
      <c r="B25" s="211" t="s">
        <v>187</v>
      </c>
      <c r="C25" s="140" t="str">
        <f t="shared" si="2"/>
        <v>Believers in Christ Christian Academy-MPCP</v>
      </c>
      <c r="D25" s="140">
        <v>0</v>
      </c>
      <c r="E25" s="140">
        <v>19</v>
      </c>
      <c r="F25" s="140">
        <v>0</v>
      </c>
      <c r="G25" s="140">
        <v>0</v>
      </c>
      <c r="H25" s="140">
        <v>0</v>
      </c>
      <c r="I25" s="140">
        <v>19</v>
      </c>
      <c r="J25" s="140">
        <v>173</v>
      </c>
      <c r="K25" s="140">
        <v>19</v>
      </c>
      <c r="L25" s="140">
        <f t="shared" si="3"/>
        <v>230</v>
      </c>
      <c r="N25" s="140">
        <v>0</v>
      </c>
      <c r="O25" s="140">
        <v>19</v>
      </c>
      <c r="P25" s="140">
        <v>0</v>
      </c>
      <c r="Q25" s="140">
        <v>0</v>
      </c>
      <c r="R25" s="140">
        <v>0</v>
      </c>
      <c r="S25" s="140">
        <v>19</v>
      </c>
      <c r="T25" s="140">
        <v>172</v>
      </c>
      <c r="U25" s="140">
        <v>19</v>
      </c>
      <c r="V25" s="140">
        <f t="shared" si="4"/>
        <v>229</v>
      </c>
      <c r="X25" s="98">
        <v>0</v>
      </c>
      <c r="Y25" s="98">
        <v>0</v>
      </c>
      <c r="Z25" s="98">
        <v>0</v>
      </c>
      <c r="AA25" s="98">
        <v>0</v>
      </c>
      <c r="AB25" s="98">
        <v>0</v>
      </c>
      <c r="AC25" s="98">
        <v>0</v>
      </c>
      <c r="AD25" s="98">
        <v>0</v>
      </c>
      <c r="AE25" s="98">
        <v>1</v>
      </c>
      <c r="AF25" s="98">
        <f t="shared" si="5"/>
        <v>1</v>
      </c>
      <c r="AH25" s="98">
        <v>141</v>
      </c>
      <c r="AJ25" s="98">
        <v>0</v>
      </c>
      <c r="AK25" s="98">
        <v>0</v>
      </c>
      <c r="AL25" s="380">
        <v>0</v>
      </c>
      <c r="AN25" s="214">
        <f t="shared" si="6"/>
        <v>896829.2</v>
      </c>
      <c r="AO25" s="214">
        <f t="shared" si="7"/>
        <v>0</v>
      </c>
      <c r="AP25" s="214">
        <f t="shared" si="8"/>
        <v>45862.2</v>
      </c>
      <c r="AQ25" s="214">
        <f t="shared" si="9"/>
        <v>0</v>
      </c>
      <c r="AR25" s="214">
        <f t="shared" si="10"/>
        <v>0</v>
      </c>
      <c r="AS25" s="214">
        <f t="shared" si="11"/>
        <v>0</v>
      </c>
      <c r="AT25" s="214">
        <f t="shared" si="12"/>
        <v>76437</v>
      </c>
      <c r="AU25" s="214">
        <f t="shared" si="13"/>
        <v>691956</v>
      </c>
      <c r="AV25" s="214">
        <f t="shared" si="14"/>
        <v>82574</v>
      </c>
      <c r="AW25" s="215">
        <f t="shared" si="15"/>
        <v>896829.2</v>
      </c>
    </row>
    <row r="26" spans="1:49" ht="15" customHeight="1">
      <c r="A26" s="140" t="s">
        <v>570</v>
      </c>
      <c r="B26" s="211" t="s">
        <v>188</v>
      </c>
      <c r="C26" s="140" t="str">
        <f t="shared" si="2"/>
        <v>Bethany Lutheran School-RPCP</v>
      </c>
      <c r="D26" s="140">
        <v>0</v>
      </c>
      <c r="E26" s="140">
        <v>0</v>
      </c>
      <c r="F26" s="140">
        <v>0</v>
      </c>
      <c r="G26" s="140">
        <v>0</v>
      </c>
      <c r="H26" s="140">
        <v>0</v>
      </c>
      <c r="I26" s="140">
        <v>8</v>
      </c>
      <c r="J26" s="140">
        <v>71</v>
      </c>
      <c r="K26" s="140">
        <v>0</v>
      </c>
      <c r="L26" s="140">
        <f t="shared" si="3"/>
        <v>79</v>
      </c>
      <c r="N26" s="140">
        <v>0</v>
      </c>
      <c r="O26" s="140">
        <v>0</v>
      </c>
      <c r="P26" s="140">
        <v>0</v>
      </c>
      <c r="Q26" s="140">
        <v>0</v>
      </c>
      <c r="R26" s="140">
        <v>0</v>
      </c>
      <c r="S26" s="140">
        <v>0</v>
      </c>
      <c r="T26" s="140">
        <v>0</v>
      </c>
      <c r="U26" s="140">
        <v>0</v>
      </c>
      <c r="V26" s="140">
        <f t="shared" si="4"/>
        <v>0</v>
      </c>
      <c r="X26" s="98">
        <v>0</v>
      </c>
      <c r="Y26" s="98">
        <v>0</v>
      </c>
      <c r="Z26" s="98">
        <v>0</v>
      </c>
      <c r="AA26" s="98">
        <v>0</v>
      </c>
      <c r="AB26" s="98">
        <v>0</v>
      </c>
      <c r="AC26" s="98">
        <v>0</v>
      </c>
      <c r="AD26" s="98">
        <v>0</v>
      </c>
      <c r="AE26" s="98">
        <v>0</v>
      </c>
      <c r="AF26" s="98">
        <f t="shared" si="5"/>
        <v>0</v>
      </c>
      <c r="AH26" s="98">
        <v>0</v>
      </c>
      <c r="AJ26" s="98">
        <v>0</v>
      </c>
      <c r="AK26" s="98">
        <v>0</v>
      </c>
      <c r="AL26" s="380">
        <v>0</v>
      </c>
      <c r="AN26" s="214">
        <f t="shared" si="6"/>
        <v>0</v>
      </c>
      <c r="AO26" s="214">
        <f t="shared" si="7"/>
        <v>0</v>
      </c>
      <c r="AP26" s="214">
        <f t="shared" si="8"/>
        <v>0</v>
      </c>
      <c r="AQ26" s="214">
        <f t="shared" si="9"/>
        <v>0</v>
      </c>
      <c r="AR26" s="214">
        <f t="shared" si="10"/>
        <v>0</v>
      </c>
      <c r="AS26" s="214">
        <f t="shared" si="11"/>
        <v>0</v>
      </c>
      <c r="AT26" s="214">
        <f t="shared" si="12"/>
        <v>0</v>
      </c>
      <c r="AU26" s="214">
        <f t="shared" si="13"/>
        <v>0</v>
      </c>
      <c r="AV26" s="214">
        <f t="shared" si="14"/>
        <v>0</v>
      </c>
      <c r="AW26" s="215">
        <f t="shared" si="15"/>
        <v>0</v>
      </c>
    </row>
    <row r="27" spans="1:49" ht="15" customHeight="1">
      <c r="A27" s="140" t="s">
        <v>570</v>
      </c>
      <c r="B27" s="211" t="s">
        <v>96</v>
      </c>
      <c r="C27" s="140" t="str">
        <f t="shared" si="2"/>
        <v>Bethany Lutheran School-WPCP</v>
      </c>
      <c r="D27" s="140">
        <v>0</v>
      </c>
      <c r="E27" s="140">
        <v>0</v>
      </c>
      <c r="F27" s="140">
        <v>0</v>
      </c>
      <c r="G27" s="140">
        <v>0</v>
      </c>
      <c r="H27" s="140">
        <v>0</v>
      </c>
      <c r="I27" s="140">
        <v>8</v>
      </c>
      <c r="J27" s="140">
        <v>71</v>
      </c>
      <c r="K27" s="140">
        <v>0</v>
      </c>
      <c r="L27" s="140">
        <f t="shared" si="3"/>
        <v>79</v>
      </c>
      <c r="N27" s="140">
        <v>0</v>
      </c>
      <c r="O27" s="140">
        <v>0</v>
      </c>
      <c r="P27" s="140">
        <v>0</v>
      </c>
      <c r="Q27" s="140">
        <v>0</v>
      </c>
      <c r="R27" s="140">
        <v>0</v>
      </c>
      <c r="S27" s="140">
        <v>4</v>
      </c>
      <c r="T27" s="140">
        <v>20</v>
      </c>
      <c r="U27" s="140">
        <v>0</v>
      </c>
      <c r="V27" s="140">
        <f t="shared" si="4"/>
        <v>24</v>
      </c>
      <c r="X27" s="98">
        <v>0</v>
      </c>
      <c r="Y27" s="98">
        <v>0</v>
      </c>
      <c r="Z27" s="98">
        <v>0</v>
      </c>
      <c r="AA27" s="98">
        <v>0</v>
      </c>
      <c r="AB27" s="98">
        <v>0</v>
      </c>
      <c r="AC27" s="98">
        <v>0</v>
      </c>
      <c r="AD27" s="98">
        <v>0</v>
      </c>
      <c r="AE27" s="98">
        <v>0</v>
      </c>
      <c r="AF27" s="98">
        <f t="shared" si="5"/>
        <v>0</v>
      </c>
      <c r="AH27" s="98">
        <v>14</v>
      </c>
      <c r="AJ27" s="98">
        <v>0</v>
      </c>
      <c r="AK27" s="98">
        <v>0</v>
      </c>
      <c r="AL27" s="380">
        <v>0</v>
      </c>
      <c r="AN27" s="214">
        <f t="shared" si="6"/>
        <v>96552</v>
      </c>
      <c r="AO27" s="214">
        <f t="shared" si="7"/>
        <v>0</v>
      </c>
      <c r="AP27" s="214">
        <f t="shared" si="8"/>
        <v>0</v>
      </c>
      <c r="AQ27" s="214">
        <f t="shared" si="9"/>
        <v>0</v>
      </c>
      <c r="AR27" s="214">
        <f t="shared" si="10"/>
        <v>0</v>
      </c>
      <c r="AS27" s="214">
        <f t="shared" si="11"/>
        <v>0</v>
      </c>
      <c r="AT27" s="214">
        <f t="shared" si="12"/>
        <v>16092</v>
      </c>
      <c r="AU27" s="214">
        <f t="shared" si="13"/>
        <v>80460</v>
      </c>
      <c r="AV27" s="214">
        <f t="shared" si="14"/>
        <v>0</v>
      </c>
      <c r="AW27" s="215">
        <f t="shared" si="15"/>
        <v>96552</v>
      </c>
    </row>
    <row r="28" spans="1:49" ht="15" customHeight="1">
      <c r="A28" s="381" t="s">
        <v>623</v>
      </c>
      <c r="B28" s="211" t="s">
        <v>96</v>
      </c>
      <c r="C28" s="140" t="str">
        <f t="shared" si="2"/>
        <v>Bethlehem Lutheran School - Sheboygan-WPCP</v>
      </c>
      <c r="D28" s="140">
        <v>10</v>
      </c>
      <c r="E28" s="140">
        <v>0</v>
      </c>
      <c r="F28" s="140">
        <v>0</v>
      </c>
      <c r="G28" s="140">
        <v>0</v>
      </c>
      <c r="H28" s="140">
        <v>0</v>
      </c>
      <c r="I28" s="140">
        <v>13</v>
      </c>
      <c r="J28" s="140">
        <v>146</v>
      </c>
      <c r="K28" s="140">
        <v>0</v>
      </c>
      <c r="L28" s="140">
        <f t="shared" si="3"/>
        <v>169</v>
      </c>
      <c r="N28" s="140">
        <v>3</v>
      </c>
      <c r="O28" s="140">
        <v>0</v>
      </c>
      <c r="P28" s="140">
        <v>0</v>
      </c>
      <c r="Q28" s="140">
        <v>0</v>
      </c>
      <c r="R28" s="140">
        <v>0</v>
      </c>
      <c r="S28" s="140">
        <v>8</v>
      </c>
      <c r="T28" s="140">
        <v>45</v>
      </c>
      <c r="U28" s="140">
        <v>0</v>
      </c>
      <c r="V28" s="140">
        <f t="shared" si="4"/>
        <v>56</v>
      </c>
      <c r="X28" s="98">
        <v>0</v>
      </c>
      <c r="Y28" s="98">
        <v>0</v>
      </c>
      <c r="Z28" s="98">
        <v>0</v>
      </c>
      <c r="AA28" s="98">
        <v>0</v>
      </c>
      <c r="AB28" s="98">
        <v>0</v>
      </c>
      <c r="AC28" s="98">
        <v>0</v>
      </c>
      <c r="AD28" s="98">
        <v>0</v>
      </c>
      <c r="AE28" s="98">
        <v>0</v>
      </c>
      <c r="AF28" s="98">
        <f t="shared" si="5"/>
        <v>0</v>
      </c>
      <c r="AH28" s="98">
        <v>34</v>
      </c>
      <c r="AJ28" s="98">
        <v>0</v>
      </c>
      <c r="AK28" s="98">
        <v>0</v>
      </c>
      <c r="AL28" s="380">
        <v>0</v>
      </c>
      <c r="AN28" s="214">
        <f t="shared" si="6"/>
        <v>219253.5</v>
      </c>
      <c r="AO28" s="214">
        <f t="shared" si="7"/>
        <v>6034.5</v>
      </c>
      <c r="AP28" s="214">
        <f t="shared" si="8"/>
        <v>0</v>
      </c>
      <c r="AQ28" s="214">
        <f t="shared" si="9"/>
        <v>0</v>
      </c>
      <c r="AR28" s="214">
        <f t="shared" si="10"/>
        <v>0</v>
      </c>
      <c r="AS28" s="214">
        <f t="shared" si="11"/>
        <v>0</v>
      </c>
      <c r="AT28" s="214">
        <f t="shared" si="12"/>
        <v>32184</v>
      </c>
      <c r="AU28" s="214">
        <f t="shared" si="13"/>
        <v>181035</v>
      </c>
      <c r="AV28" s="214">
        <f t="shared" si="14"/>
        <v>0</v>
      </c>
      <c r="AW28" s="215">
        <f t="shared" si="15"/>
        <v>219253.5</v>
      </c>
    </row>
    <row r="29" spans="1:49" ht="15" customHeight="1">
      <c r="A29" s="140" t="s">
        <v>215</v>
      </c>
      <c r="B29" s="211" t="s">
        <v>187</v>
      </c>
      <c r="C29" s="140" t="str">
        <f t="shared" si="2"/>
        <v>Blessed Sacrament Catholic School-MPCP</v>
      </c>
      <c r="D29" s="140">
        <v>0</v>
      </c>
      <c r="E29" s="140">
        <v>9</v>
      </c>
      <c r="F29" s="140">
        <v>0</v>
      </c>
      <c r="G29" s="140">
        <v>0</v>
      </c>
      <c r="H29" s="140">
        <v>0</v>
      </c>
      <c r="I29" s="140">
        <v>16</v>
      </c>
      <c r="J29" s="140">
        <v>138</v>
      </c>
      <c r="K29" s="140">
        <v>0</v>
      </c>
      <c r="L29" s="140">
        <f t="shared" si="3"/>
        <v>163</v>
      </c>
      <c r="N29" s="140">
        <v>0</v>
      </c>
      <c r="O29" s="140">
        <v>9</v>
      </c>
      <c r="P29" s="140">
        <v>0</v>
      </c>
      <c r="Q29" s="140">
        <v>0</v>
      </c>
      <c r="R29" s="140">
        <v>0</v>
      </c>
      <c r="S29" s="140">
        <v>16</v>
      </c>
      <c r="T29" s="140">
        <v>135</v>
      </c>
      <c r="U29" s="140">
        <v>0</v>
      </c>
      <c r="V29" s="140">
        <f t="shared" si="4"/>
        <v>160</v>
      </c>
      <c r="X29" s="98">
        <v>0</v>
      </c>
      <c r="Y29" s="98">
        <v>0</v>
      </c>
      <c r="Z29" s="98">
        <v>0</v>
      </c>
      <c r="AA29" s="98">
        <v>0</v>
      </c>
      <c r="AB29" s="98">
        <v>0</v>
      </c>
      <c r="AC29" s="98">
        <v>0</v>
      </c>
      <c r="AD29" s="98">
        <v>0</v>
      </c>
      <c r="AE29" s="98">
        <v>0</v>
      </c>
      <c r="AF29" s="98">
        <f t="shared" si="5"/>
        <v>0</v>
      </c>
      <c r="AH29" s="98">
        <v>105</v>
      </c>
      <c r="AJ29" s="98">
        <v>0</v>
      </c>
      <c r="AK29" s="98">
        <v>0</v>
      </c>
      <c r="AL29" s="380">
        <v>0</v>
      </c>
      <c r="AN29" s="214">
        <f t="shared" si="6"/>
        <v>629197.2</v>
      </c>
      <c r="AO29" s="214">
        <f t="shared" si="7"/>
        <v>0</v>
      </c>
      <c r="AP29" s="214">
        <f t="shared" si="8"/>
        <v>21724.2</v>
      </c>
      <c r="AQ29" s="214">
        <f t="shared" si="9"/>
        <v>0</v>
      </c>
      <c r="AR29" s="214">
        <f t="shared" si="10"/>
        <v>0</v>
      </c>
      <c r="AS29" s="214">
        <f t="shared" si="11"/>
        <v>0</v>
      </c>
      <c r="AT29" s="214">
        <f t="shared" si="12"/>
        <v>64368</v>
      </c>
      <c r="AU29" s="214">
        <f t="shared" si="13"/>
        <v>543105</v>
      </c>
      <c r="AV29" s="214">
        <f t="shared" si="14"/>
        <v>0</v>
      </c>
      <c r="AW29" s="215">
        <f t="shared" si="15"/>
        <v>629197.2</v>
      </c>
    </row>
    <row r="30" spans="1:49" ht="15" customHeight="1">
      <c r="A30" s="140" t="s">
        <v>100</v>
      </c>
      <c r="B30" s="211" t="s">
        <v>187</v>
      </c>
      <c r="C30" s="140" t="str">
        <f t="shared" si="2"/>
        <v>Blessed Savior Catholic School-MPCP</v>
      </c>
      <c r="D30" s="140">
        <v>45</v>
      </c>
      <c r="E30" s="140">
        <v>0</v>
      </c>
      <c r="F30" s="140">
        <v>0</v>
      </c>
      <c r="G30" s="140">
        <v>0</v>
      </c>
      <c r="H30" s="140">
        <v>0</v>
      </c>
      <c r="I30" s="140">
        <v>60</v>
      </c>
      <c r="J30" s="140">
        <v>397</v>
      </c>
      <c r="K30" s="140">
        <v>0</v>
      </c>
      <c r="L30" s="140">
        <f t="shared" si="3"/>
        <v>502</v>
      </c>
      <c r="N30" s="140">
        <v>45</v>
      </c>
      <c r="O30" s="140">
        <v>0</v>
      </c>
      <c r="P30" s="140">
        <v>0</v>
      </c>
      <c r="Q30" s="140">
        <v>0</v>
      </c>
      <c r="R30" s="140">
        <v>0</v>
      </c>
      <c r="S30" s="140">
        <v>55</v>
      </c>
      <c r="T30" s="140">
        <v>387</v>
      </c>
      <c r="U30" s="140">
        <v>0</v>
      </c>
      <c r="V30" s="140">
        <f t="shared" si="4"/>
        <v>487</v>
      </c>
      <c r="X30" s="98">
        <v>0</v>
      </c>
      <c r="Y30" s="98">
        <v>0</v>
      </c>
      <c r="Z30" s="98">
        <v>0</v>
      </c>
      <c r="AA30" s="98">
        <v>0</v>
      </c>
      <c r="AB30" s="98">
        <v>0</v>
      </c>
      <c r="AC30" s="98">
        <v>0</v>
      </c>
      <c r="AD30" s="98">
        <v>0</v>
      </c>
      <c r="AE30" s="98">
        <v>0</v>
      </c>
      <c r="AF30" s="98">
        <f t="shared" si="5"/>
        <v>0</v>
      </c>
      <c r="AH30" s="98">
        <v>339</v>
      </c>
      <c r="AJ30" s="98">
        <v>54</v>
      </c>
      <c r="AK30" s="98">
        <v>0</v>
      </c>
      <c r="AL30" s="380">
        <v>16283.390000000007</v>
      </c>
      <c r="AN30" s="214">
        <f t="shared" si="6"/>
        <v>1868683.5</v>
      </c>
      <c r="AO30" s="214">
        <f t="shared" si="7"/>
        <v>90517.5</v>
      </c>
      <c r="AP30" s="214">
        <f t="shared" si="8"/>
        <v>0</v>
      </c>
      <c r="AQ30" s="214">
        <f t="shared" si="9"/>
        <v>0</v>
      </c>
      <c r="AR30" s="214">
        <f t="shared" si="10"/>
        <v>0</v>
      </c>
      <c r="AS30" s="214">
        <f t="shared" si="11"/>
        <v>0</v>
      </c>
      <c r="AT30" s="214">
        <f t="shared" si="12"/>
        <v>221265</v>
      </c>
      <c r="AU30" s="214">
        <f t="shared" si="13"/>
        <v>1556901</v>
      </c>
      <c r="AV30" s="214">
        <f t="shared" si="14"/>
        <v>0</v>
      </c>
      <c r="AW30" s="215">
        <f t="shared" si="15"/>
        <v>1868683.5</v>
      </c>
    </row>
    <row r="31" spans="1:49" ht="15" customHeight="1">
      <c r="A31" s="140" t="s">
        <v>100</v>
      </c>
      <c r="B31" s="211" t="s">
        <v>96</v>
      </c>
      <c r="C31" s="140" t="str">
        <f t="shared" si="2"/>
        <v>Blessed Savior Catholic School-WPCP</v>
      </c>
      <c r="D31" s="140">
        <v>45</v>
      </c>
      <c r="E31" s="140">
        <v>0</v>
      </c>
      <c r="F31" s="140">
        <v>0</v>
      </c>
      <c r="G31" s="140">
        <v>0</v>
      </c>
      <c r="H31" s="140">
        <v>0</v>
      </c>
      <c r="I31" s="140">
        <v>60</v>
      </c>
      <c r="J31" s="140">
        <v>397</v>
      </c>
      <c r="K31" s="140">
        <v>0</v>
      </c>
      <c r="L31" s="140">
        <f t="shared" si="3"/>
        <v>502</v>
      </c>
      <c r="N31" s="140">
        <v>0</v>
      </c>
      <c r="O31" s="140">
        <v>0</v>
      </c>
      <c r="P31" s="140">
        <v>0</v>
      </c>
      <c r="Q31" s="140">
        <v>0</v>
      </c>
      <c r="R31" s="140">
        <v>0</v>
      </c>
      <c r="S31" s="140">
        <v>3</v>
      </c>
      <c r="T31" s="140">
        <v>5</v>
      </c>
      <c r="U31" s="140">
        <v>0</v>
      </c>
      <c r="V31" s="140">
        <f t="shared" si="4"/>
        <v>8</v>
      </c>
      <c r="X31" s="98">
        <v>0</v>
      </c>
      <c r="Y31" s="98">
        <v>0</v>
      </c>
      <c r="Z31" s="98">
        <v>0</v>
      </c>
      <c r="AA31" s="98">
        <v>0</v>
      </c>
      <c r="AB31" s="98">
        <v>0</v>
      </c>
      <c r="AC31" s="98">
        <v>0</v>
      </c>
      <c r="AD31" s="98">
        <v>0</v>
      </c>
      <c r="AE31" s="98">
        <v>0</v>
      </c>
      <c r="AF31" s="98">
        <f t="shared" si="5"/>
        <v>0</v>
      </c>
      <c r="AH31" s="98">
        <v>5</v>
      </c>
      <c r="AJ31" s="98">
        <v>1</v>
      </c>
      <c r="AK31" s="98">
        <v>0</v>
      </c>
      <c r="AL31" s="380">
        <v>387.7</v>
      </c>
      <c r="AN31" s="214">
        <f t="shared" si="6"/>
        <v>32184</v>
      </c>
      <c r="AO31" s="214">
        <f t="shared" si="7"/>
        <v>0</v>
      </c>
      <c r="AP31" s="214">
        <f t="shared" si="8"/>
        <v>0</v>
      </c>
      <c r="AQ31" s="214">
        <f t="shared" si="9"/>
        <v>0</v>
      </c>
      <c r="AR31" s="214">
        <f t="shared" si="10"/>
        <v>0</v>
      </c>
      <c r="AS31" s="214">
        <f t="shared" si="11"/>
        <v>0</v>
      </c>
      <c r="AT31" s="214">
        <f t="shared" si="12"/>
        <v>12069</v>
      </c>
      <c r="AU31" s="214">
        <f t="shared" si="13"/>
        <v>20115</v>
      </c>
      <c r="AV31" s="214">
        <f t="shared" si="14"/>
        <v>0</v>
      </c>
      <c r="AW31" s="215">
        <f t="shared" si="15"/>
        <v>32184</v>
      </c>
    </row>
    <row r="32" spans="1:49" ht="15" customHeight="1">
      <c r="A32" s="140" t="s">
        <v>533</v>
      </c>
      <c r="B32" s="211" t="s">
        <v>96</v>
      </c>
      <c r="C32" s="140" t="str">
        <f t="shared" si="2"/>
        <v>Burlington Catholic School-WPCP</v>
      </c>
      <c r="D32" s="140">
        <v>18</v>
      </c>
      <c r="E32" s="140">
        <v>0</v>
      </c>
      <c r="F32" s="140">
        <v>0</v>
      </c>
      <c r="G32" s="140">
        <v>0</v>
      </c>
      <c r="H32" s="140">
        <v>0</v>
      </c>
      <c r="I32" s="140">
        <v>43</v>
      </c>
      <c r="J32" s="140">
        <v>344</v>
      </c>
      <c r="K32" s="140">
        <v>0</v>
      </c>
      <c r="L32" s="140">
        <f t="shared" si="3"/>
        <v>405</v>
      </c>
      <c r="N32" s="140">
        <v>6</v>
      </c>
      <c r="O32" s="140">
        <v>0</v>
      </c>
      <c r="P32" s="140">
        <v>0</v>
      </c>
      <c r="Q32" s="140">
        <v>0</v>
      </c>
      <c r="R32" s="140">
        <v>0</v>
      </c>
      <c r="S32" s="140">
        <v>9</v>
      </c>
      <c r="T32" s="140">
        <v>39</v>
      </c>
      <c r="U32" s="140">
        <v>0</v>
      </c>
      <c r="V32" s="140">
        <f t="shared" si="4"/>
        <v>54</v>
      </c>
      <c r="X32" s="98">
        <v>0</v>
      </c>
      <c r="Y32" s="98">
        <v>0</v>
      </c>
      <c r="Z32" s="98">
        <v>0</v>
      </c>
      <c r="AA32" s="98">
        <v>0</v>
      </c>
      <c r="AB32" s="98">
        <v>0</v>
      </c>
      <c r="AC32" s="98">
        <v>0</v>
      </c>
      <c r="AD32" s="98">
        <v>0</v>
      </c>
      <c r="AE32" s="98">
        <v>0</v>
      </c>
      <c r="AF32" s="98">
        <f t="shared" si="5"/>
        <v>0</v>
      </c>
      <c r="AH32" s="98">
        <v>39</v>
      </c>
      <c r="AJ32" s="98">
        <v>0</v>
      </c>
      <c r="AK32" s="98">
        <v>0</v>
      </c>
      <c r="AL32" s="380">
        <v>0</v>
      </c>
      <c r="AN32" s="214">
        <f t="shared" si="6"/>
        <v>205173</v>
      </c>
      <c r="AO32" s="214">
        <f t="shared" si="7"/>
        <v>12069</v>
      </c>
      <c r="AP32" s="214">
        <f t="shared" si="8"/>
        <v>0</v>
      </c>
      <c r="AQ32" s="214">
        <f t="shared" si="9"/>
        <v>0</v>
      </c>
      <c r="AR32" s="214">
        <f t="shared" si="10"/>
        <v>0</v>
      </c>
      <c r="AS32" s="214">
        <f t="shared" si="11"/>
        <v>0</v>
      </c>
      <c r="AT32" s="214">
        <f t="shared" si="12"/>
        <v>36207</v>
      </c>
      <c r="AU32" s="214">
        <f t="shared" si="13"/>
        <v>156897</v>
      </c>
      <c r="AV32" s="214">
        <f t="shared" si="14"/>
        <v>0</v>
      </c>
      <c r="AW32" s="215">
        <f t="shared" si="15"/>
        <v>205173</v>
      </c>
    </row>
    <row r="33" spans="1:49" ht="15" customHeight="1">
      <c r="A33" s="140" t="s">
        <v>337</v>
      </c>
      <c r="B33" s="211" t="s">
        <v>96</v>
      </c>
      <c r="C33" s="140" t="str">
        <f t="shared" si="2"/>
        <v>Calvary Baptist Christian School-WPCP</v>
      </c>
      <c r="D33" s="140">
        <v>14</v>
      </c>
      <c r="E33" s="140">
        <v>0</v>
      </c>
      <c r="F33" s="140">
        <v>4</v>
      </c>
      <c r="G33" s="140">
        <v>0</v>
      </c>
      <c r="H33" s="140">
        <v>0</v>
      </c>
      <c r="I33" s="140">
        <v>11</v>
      </c>
      <c r="J33" s="140">
        <v>119</v>
      </c>
      <c r="K33" s="140">
        <v>0</v>
      </c>
      <c r="L33" s="140">
        <f t="shared" si="3"/>
        <v>148</v>
      </c>
      <c r="N33" s="140">
        <v>8</v>
      </c>
      <c r="O33" s="140">
        <v>0</v>
      </c>
      <c r="P33" s="140">
        <v>2</v>
      </c>
      <c r="Q33" s="140">
        <v>0</v>
      </c>
      <c r="R33" s="140">
        <v>0</v>
      </c>
      <c r="S33" s="140">
        <v>7</v>
      </c>
      <c r="T33" s="140">
        <v>46</v>
      </c>
      <c r="U33" s="140">
        <v>0</v>
      </c>
      <c r="V33" s="140">
        <f t="shared" si="4"/>
        <v>63</v>
      </c>
      <c r="X33" s="98">
        <v>1</v>
      </c>
      <c r="Y33" s="98">
        <v>0</v>
      </c>
      <c r="Z33" s="98">
        <v>2</v>
      </c>
      <c r="AA33" s="98">
        <v>0</v>
      </c>
      <c r="AB33" s="98">
        <v>0</v>
      </c>
      <c r="AC33" s="98">
        <v>1</v>
      </c>
      <c r="AD33" s="98">
        <v>5</v>
      </c>
      <c r="AE33" s="98">
        <v>0</v>
      </c>
      <c r="AF33" s="98">
        <f t="shared" si="5"/>
        <v>9</v>
      </c>
      <c r="AH33" s="98">
        <v>27</v>
      </c>
      <c r="AJ33" s="98">
        <v>0</v>
      </c>
      <c r="AK33" s="98">
        <v>0</v>
      </c>
      <c r="AL33" s="380">
        <v>0</v>
      </c>
      <c r="AN33" s="214">
        <f t="shared" si="6"/>
        <v>233334</v>
      </c>
      <c r="AO33" s="214">
        <f t="shared" si="7"/>
        <v>16092</v>
      </c>
      <c r="AP33" s="214">
        <f t="shared" si="8"/>
        <v>0</v>
      </c>
      <c r="AQ33" s="214">
        <f t="shared" si="9"/>
        <v>4023</v>
      </c>
      <c r="AR33" s="214">
        <f t="shared" si="10"/>
        <v>0</v>
      </c>
      <c r="AS33" s="214">
        <f t="shared" si="11"/>
        <v>0</v>
      </c>
      <c r="AT33" s="214">
        <f t="shared" si="12"/>
        <v>28161</v>
      </c>
      <c r="AU33" s="214">
        <f t="shared" si="13"/>
        <v>185058</v>
      </c>
      <c r="AV33" s="214">
        <f t="shared" si="14"/>
        <v>0</v>
      </c>
      <c r="AW33" s="215">
        <f t="shared" si="15"/>
        <v>233334</v>
      </c>
    </row>
    <row r="34" spans="1:49" ht="15" customHeight="1">
      <c r="A34" s="140" t="s">
        <v>216</v>
      </c>
      <c r="B34" s="211" t="s">
        <v>187</v>
      </c>
      <c r="C34" s="140" t="str">
        <f t="shared" si="2"/>
        <v>Carter's Christian Academy, Inc.-MPCP</v>
      </c>
      <c r="D34" s="140">
        <v>35</v>
      </c>
      <c r="E34" s="140">
        <v>0</v>
      </c>
      <c r="F34" s="140">
        <v>0</v>
      </c>
      <c r="G34" s="140">
        <v>0</v>
      </c>
      <c r="H34" s="140">
        <v>0</v>
      </c>
      <c r="I34" s="140">
        <v>36</v>
      </c>
      <c r="J34" s="140">
        <v>245</v>
      </c>
      <c r="K34" s="140">
        <v>44</v>
      </c>
      <c r="L34" s="140">
        <f t="shared" si="3"/>
        <v>360</v>
      </c>
      <c r="N34" s="140">
        <v>35</v>
      </c>
      <c r="O34" s="140">
        <v>0</v>
      </c>
      <c r="P34" s="140">
        <v>0</v>
      </c>
      <c r="Q34" s="140">
        <v>0</v>
      </c>
      <c r="R34" s="140">
        <v>0</v>
      </c>
      <c r="S34" s="140">
        <v>34</v>
      </c>
      <c r="T34" s="140">
        <v>242</v>
      </c>
      <c r="U34" s="140">
        <v>44</v>
      </c>
      <c r="V34" s="140">
        <f t="shared" si="4"/>
        <v>355</v>
      </c>
      <c r="X34" s="98">
        <v>0</v>
      </c>
      <c r="Y34" s="98">
        <v>0</v>
      </c>
      <c r="Z34" s="98">
        <v>0</v>
      </c>
      <c r="AA34" s="98">
        <v>0</v>
      </c>
      <c r="AB34" s="98">
        <v>0</v>
      </c>
      <c r="AC34" s="98">
        <v>0</v>
      </c>
      <c r="AD34" s="98">
        <v>0</v>
      </c>
      <c r="AE34" s="98">
        <v>0</v>
      </c>
      <c r="AF34" s="98">
        <f t="shared" si="5"/>
        <v>0</v>
      </c>
      <c r="AH34" s="98">
        <v>176</v>
      </c>
      <c r="AJ34" s="98">
        <v>75</v>
      </c>
      <c r="AK34" s="98">
        <v>17</v>
      </c>
      <c r="AL34" s="380">
        <v>31407.88000000002</v>
      </c>
      <c r="AN34" s="214">
        <f t="shared" si="6"/>
        <v>1371974.5</v>
      </c>
      <c r="AO34" s="214">
        <f t="shared" si="7"/>
        <v>70402.5</v>
      </c>
      <c r="AP34" s="214">
        <f t="shared" si="8"/>
        <v>0</v>
      </c>
      <c r="AQ34" s="214">
        <f t="shared" si="9"/>
        <v>0</v>
      </c>
      <c r="AR34" s="214">
        <f t="shared" si="10"/>
        <v>0</v>
      </c>
      <c r="AS34" s="214">
        <f t="shared" si="11"/>
        <v>0</v>
      </c>
      <c r="AT34" s="214">
        <f t="shared" si="12"/>
        <v>136782</v>
      </c>
      <c r="AU34" s="214">
        <f t="shared" si="13"/>
        <v>973566</v>
      </c>
      <c r="AV34" s="214">
        <f t="shared" si="14"/>
        <v>191224</v>
      </c>
      <c r="AW34" s="215">
        <f t="shared" si="15"/>
        <v>1371974.5</v>
      </c>
    </row>
    <row r="35" spans="1:49" ht="15" customHeight="1">
      <c r="A35" s="140" t="s">
        <v>437</v>
      </c>
      <c r="B35" s="211" t="s">
        <v>188</v>
      </c>
      <c r="C35" s="140" t="str">
        <f t="shared" si="2"/>
        <v>Catholic Central High School - Burlington-RPCP</v>
      </c>
      <c r="D35" s="140">
        <v>0</v>
      </c>
      <c r="E35" s="140">
        <v>0</v>
      </c>
      <c r="F35" s="140">
        <v>0</v>
      </c>
      <c r="G35" s="140">
        <v>0</v>
      </c>
      <c r="H35" s="140">
        <v>0</v>
      </c>
      <c r="I35" s="140">
        <v>0</v>
      </c>
      <c r="J35" s="140">
        <v>0</v>
      </c>
      <c r="K35" s="140">
        <v>136</v>
      </c>
      <c r="L35" s="140">
        <f t="shared" si="3"/>
        <v>136</v>
      </c>
      <c r="N35" s="140">
        <v>0</v>
      </c>
      <c r="O35" s="140">
        <v>0</v>
      </c>
      <c r="P35" s="140">
        <v>0</v>
      </c>
      <c r="Q35" s="140">
        <v>0</v>
      </c>
      <c r="R35" s="140">
        <v>0</v>
      </c>
      <c r="S35" s="140">
        <v>0</v>
      </c>
      <c r="T35" s="140">
        <v>0</v>
      </c>
      <c r="U35" s="140">
        <v>0</v>
      </c>
      <c r="V35" s="140">
        <f t="shared" si="4"/>
        <v>0</v>
      </c>
      <c r="X35" s="98">
        <v>0</v>
      </c>
      <c r="Y35" s="98">
        <v>0</v>
      </c>
      <c r="Z35" s="98">
        <v>0</v>
      </c>
      <c r="AA35" s="98">
        <v>0</v>
      </c>
      <c r="AB35" s="98">
        <v>0</v>
      </c>
      <c r="AC35" s="98">
        <v>0</v>
      </c>
      <c r="AD35" s="98">
        <v>0</v>
      </c>
      <c r="AE35" s="98">
        <v>0</v>
      </c>
      <c r="AF35" s="98">
        <f t="shared" si="5"/>
        <v>0</v>
      </c>
      <c r="AH35" s="98">
        <v>0</v>
      </c>
      <c r="AJ35" s="98">
        <v>0</v>
      </c>
      <c r="AK35" s="98">
        <v>0</v>
      </c>
      <c r="AL35" s="380">
        <v>0</v>
      </c>
      <c r="AN35" s="214">
        <f t="shared" si="6"/>
        <v>0</v>
      </c>
      <c r="AO35" s="214">
        <f t="shared" si="7"/>
        <v>0</v>
      </c>
      <c r="AP35" s="214">
        <f t="shared" si="8"/>
        <v>0</v>
      </c>
      <c r="AQ35" s="214">
        <f t="shared" si="9"/>
        <v>0</v>
      </c>
      <c r="AR35" s="214">
        <f t="shared" si="10"/>
        <v>0</v>
      </c>
      <c r="AS35" s="214">
        <f t="shared" si="11"/>
        <v>0</v>
      </c>
      <c r="AT35" s="214">
        <f t="shared" si="12"/>
        <v>0</v>
      </c>
      <c r="AU35" s="214">
        <f t="shared" si="13"/>
        <v>0</v>
      </c>
      <c r="AV35" s="214">
        <f t="shared" si="14"/>
        <v>0</v>
      </c>
      <c r="AW35" s="215">
        <f t="shared" si="15"/>
        <v>0</v>
      </c>
    </row>
    <row r="36" spans="1:49" ht="15" customHeight="1">
      <c r="A36" s="140" t="s">
        <v>437</v>
      </c>
      <c r="B36" s="211" t="s">
        <v>96</v>
      </c>
      <c r="C36" s="140" t="str">
        <f t="shared" si="2"/>
        <v>Catholic Central High School - Burlington-WPCP</v>
      </c>
      <c r="D36" s="140">
        <v>0</v>
      </c>
      <c r="E36" s="140">
        <v>0</v>
      </c>
      <c r="F36" s="140">
        <v>0</v>
      </c>
      <c r="G36" s="140">
        <v>0</v>
      </c>
      <c r="H36" s="140">
        <v>0</v>
      </c>
      <c r="I36" s="140">
        <v>0</v>
      </c>
      <c r="J36" s="140">
        <v>0</v>
      </c>
      <c r="K36" s="140">
        <v>136</v>
      </c>
      <c r="L36" s="140">
        <f t="shared" si="3"/>
        <v>136</v>
      </c>
      <c r="N36" s="140">
        <v>0</v>
      </c>
      <c r="O36" s="140">
        <v>0</v>
      </c>
      <c r="P36" s="140">
        <v>0</v>
      </c>
      <c r="Q36" s="140">
        <v>0</v>
      </c>
      <c r="R36" s="140">
        <v>0</v>
      </c>
      <c r="S36" s="140">
        <v>0</v>
      </c>
      <c r="T36" s="140">
        <v>0</v>
      </c>
      <c r="U36" s="140">
        <v>23</v>
      </c>
      <c r="V36" s="140">
        <f t="shared" si="4"/>
        <v>23</v>
      </c>
      <c r="X36" s="98">
        <v>0</v>
      </c>
      <c r="Y36" s="98">
        <v>0</v>
      </c>
      <c r="Z36" s="98">
        <v>0</v>
      </c>
      <c r="AA36" s="98">
        <v>0</v>
      </c>
      <c r="AB36" s="98">
        <v>0</v>
      </c>
      <c r="AC36" s="98">
        <v>0</v>
      </c>
      <c r="AD36" s="98">
        <v>0</v>
      </c>
      <c r="AE36" s="98">
        <v>0</v>
      </c>
      <c r="AF36" s="98">
        <f t="shared" si="5"/>
        <v>0</v>
      </c>
      <c r="AH36" s="98">
        <v>21</v>
      </c>
      <c r="AJ36" s="98">
        <v>0</v>
      </c>
      <c r="AK36" s="98">
        <v>0</v>
      </c>
      <c r="AL36" s="380">
        <v>0</v>
      </c>
      <c r="AN36" s="214">
        <f t="shared" si="6"/>
        <v>99958</v>
      </c>
      <c r="AO36" s="214">
        <f t="shared" si="7"/>
        <v>0</v>
      </c>
      <c r="AP36" s="214">
        <f t="shared" si="8"/>
        <v>0</v>
      </c>
      <c r="AQ36" s="214">
        <f t="shared" si="9"/>
        <v>0</v>
      </c>
      <c r="AR36" s="214">
        <f t="shared" si="10"/>
        <v>0</v>
      </c>
      <c r="AS36" s="214">
        <f t="shared" si="11"/>
        <v>0</v>
      </c>
      <c r="AT36" s="214">
        <f t="shared" si="12"/>
        <v>0</v>
      </c>
      <c r="AU36" s="214">
        <f t="shared" si="13"/>
        <v>0</v>
      </c>
      <c r="AV36" s="214">
        <f t="shared" si="14"/>
        <v>99958</v>
      </c>
      <c r="AW36" s="215">
        <f t="shared" si="15"/>
        <v>99958</v>
      </c>
    </row>
    <row r="37" spans="1:49" ht="15" customHeight="1">
      <c r="A37" s="140" t="s">
        <v>101</v>
      </c>
      <c r="B37" s="211" t="s">
        <v>187</v>
      </c>
      <c r="C37" s="140" t="str">
        <f t="shared" si="2"/>
        <v>Catholic East Elementary-MPCP</v>
      </c>
      <c r="D37" s="140">
        <v>0</v>
      </c>
      <c r="E37" s="140">
        <v>22</v>
      </c>
      <c r="F37" s="140">
        <v>0</v>
      </c>
      <c r="G37" s="140">
        <v>0</v>
      </c>
      <c r="H37" s="140">
        <v>0</v>
      </c>
      <c r="I37" s="140">
        <v>25</v>
      </c>
      <c r="J37" s="140">
        <v>191</v>
      </c>
      <c r="K37" s="140">
        <v>0</v>
      </c>
      <c r="L37" s="140">
        <f t="shared" si="3"/>
        <v>238</v>
      </c>
      <c r="N37" s="140">
        <v>0</v>
      </c>
      <c r="O37" s="140">
        <v>13</v>
      </c>
      <c r="P37" s="140">
        <v>0</v>
      </c>
      <c r="Q37" s="140">
        <v>0</v>
      </c>
      <c r="R37" s="140">
        <v>0</v>
      </c>
      <c r="S37" s="140">
        <v>19</v>
      </c>
      <c r="T37" s="140">
        <v>155</v>
      </c>
      <c r="U37" s="140">
        <v>0</v>
      </c>
      <c r="V37" s="140">
        <f t="shared" si="4"/>
        <v>187</v>
      </c>
      <c r="X37" s="98">
        <v>0</v>
      </c>
      <c r="Y37" s="98">
        <v>0</v>
      </c>
      <c r="Z37" s="98">
        <v>0</v>
      </c>
      <c r="AA37" s="98">
        <v>0</v>
      </c>
      <c r="AB37" s="98">
        <v>0</v>
      </c>
      <c r="AC37" s="98">
        <v>0</v>
      </c>
      <c r="AD37" s="98">
        <v>0</v>
      </c>
      <c r="AE37" s="98">
        <v>0</v>
      </c>
      <c r="AF37" s="98">
        <f t="shared" si="5"/>
        <v>0</v>
      </c>
      <c r="AH37" s="98">
        <v>135</v>
      </c>
      <c r="AJ37" s="98">
        <v>46</v>
      </c>
      <c r="AK37" s="98">
        <v>0</v>
      </c>
      <c r="AL37" s="380">
        <v>16180.010000000011</v>
      </c>
      <c r="AN37" s="214">
        <f t="shared" si="6"/>
        <v>731381.4</v>
      </c>
      <c r="AO37" s="214">
        <f t="shared" si="7"/>
        <v>0</v>
      </c>
      <c r="AP37" s="214">
        <f t="shared" si="8"/>
        <v>31379.4</v>
      </c>
      <c r="AQ37" s="214">
        <f t="shared" si="9"/>
        <v>0</v>
      </c>
      <c r="AR37" s="214">
        <f t="shared" si="10"/>
        <v>0</v>
      </c>
      <c r="AS37" s="214">
        <f t="shared" si="11"/>
        <v>0</v>
      </c>
      <c r="AT37" s="214">
        <f t="shared" si="12"/>
        <v>76437</v>
      </c>
      <c r="AU37" s="214">
        <f t="shared" si="13"/>
        <v>623565</v>
      </c>
      <c r="AV37" s="214">
        <f t="shared" si="14"/>
        <v>0</v>
      </c>
      <c r="AW37" s="215">
        <f t="shared" si="15"/>
        <v>731381.4</v>
      </c>
    </row>
    <row r="38" spans="1:49" ht="15" customHeight="1">
      <c r="A38" s="140" t="s">
        <v>101</v>
      </c>
      <c r="B38" s="211" t="s">
        <v>96</v>
      </c>
      <c r="C38" s="140" t="str">
        <f t="shared" si="2"/>
        <v>Catholic East Elementary-WPCP</v>
      </c>
      <c r="D38" s="140">
        <v>0</v>
      </c>
      <c r="E38" s="140">
        <v>22</v>
      </c>
      <c r="F38" s="140">
        <v>0</v>
      </c>
      <c r="G38" s="140">
        <v>0</v>
      </c>
      <c r="H38" s="140">
        <v>0</v>
      </c>
      <c r="I38" s="140">
        <v>25</v>
      </c>
      <c r="J38" s="140">
        <v>191</v>
      </c>
      <c r="K38" s="140">
        <v>0</v>
      </c>
      <c r="L38" s="140">
        <f t="shared" si="3"/>
        <v>238</v>
      </c>
      <c r="N38" s="140">
        <v>0</v>
      </c>
      <c r="O38" s="140">
        <v>1</v>
      </c>
      <c r="P38" s="140">
        <v>0</v>
      </c>
      <c r="Q38" s="140">
        <v>0</v>
      </c>
      <c r="R38" s="140">
        <v>0</v>
      </c>
      <c r="S38" s="140">
        <v>1</v>
      </c>
      <c r="T38" s="140">
        <v>5</v>
      </c>
      <c r="U38" s="140">
        <v>0</v>
      </c>
      <c r="V38" s="140">
        <f t="shared" si="4"/>
        <v>7</v>
      </c>
      <c r="X38" s="98">
        <v>0</v>
      </c>
      <c r="Y38" s="98">
        <v>0</v>
      </c>
      <c r="Z38" s="98">
        <v>0</v>
      </c>
      <c r="AA38" s="98">
        <v>0</v>
      </c>
      <c r="AB38" s="98">
        <v>0</v>
      </c>
      <c r="AC38" s="98">
        <v>0</v>
      </c>
      <c r="AD38" s="98">
        <v>0</v>
      </c>
      <c r="AE38" s="98">
        <v>0</v>
      </c>
      <c r="AF38" s="98">
        <f t="shared" si="5"/>
        <v>0</v>
      </c>
      <c r="AH38" s="98">
        <v>5</v>
      </c>
      <c r="AJ38" s="98">
        <v>2</v>
      </c>
      <c r="AK38" s="98">
        <v>0</v>
      </c>
      <c r="AL38" s="380">
        <v>775.4</v>
      </c>
      <c r="AN38" s="214">
        <f t="shared" si="6"/>
        <v>26551.8</v>
      </c>
      <c r="AO38" s="214">
        <f t="shared" si="7"/>
        <v>0</v>
      </c>
      <c r="AP38" s="214">
        <f t="shared" si="8"/>
        <v>2413.8</v>
      </c>
      <c r="AQ38" s="214">
        <f t="shared" si="9"/>
        <v>0</v>
      </c>
      <c r="AR38" s="214">
        <f t="shared" si="10"/>
        <v>0</v>
      </c>
      <c r="AS38" s="214">
        <f t="shared" si="11"/>
        <v>0</v>
      </c>
      <c r="AT38" s="214">
        <f t="shared" si="12"/>
        <v>4023</v>
      </c>
      <c r="AU38" s="214">
        <f t="shared" si="13"/>
        <v>20115</v>
      </c>
      <c r="AV38" s="214">
        <f t="shared" si="14"/>
        <v>0</v>
      </c>
      <c r="AW38" s="215">
        <f t="shared" si="15"/>
        <v>26551.8</v>
      </c>
    </row>
    <row r="39" spans="1:49" ht="15" customHeight="1">
      <c r="A39" s="140" t="s">
        <v>381</v>
      </c>
      <c r="B39" s="211" t="s">
        <v>96</v>
      </c>
      <c r="C39" s="140" t="str">
        <f t="shared" si="2"/>
        <v>Catholic Memorial High School of Waukesha, Inc.-WPCP</v>
      </c>
      <c r="D39" s="140">
        <v>0</v>
      </c>
      <c r="E39" s="140">
        <v>0</v>
      </c>
      <c r="F39" s="140">
        <v>0</v>
      </c>
      <c r="G39" s="140">
        <v>0</v>
      </c>
      <c r="H39" s="140">
        <v>0</v>
      </c>
      <c r="I39" s="140">
        <v>0</v>
      </c>
      <c r="J39" s="140">
        <v>0</v>
      </c>
      <c r="K39" s="140">
        <v>589</v>
      </c>
      <c r="L39" s="140">
        <f t="shared" si="3"/>
        <v>589</v>
      </c>
      <c r="N39" s="140">
        <v>0</v>
      </c>
      <c r="O39" s="140">
        <v>0</v>
      </c>
      <c r="P39" s="140">
        <v>0</v>
      </c>
      <c r="Q39" s="140">
        <v>0</v>
      </c>
      <c r="R39" s="140">
        <v>0</v>
      </c>
      <c r="S39" s="140">
        <v>0</v>
      </c>
      <c r="T39" s="140">
        <v>0</v>
      </c>
      <c r="U39" s="140">
        <v>63</v>
      </c>
      <c r="V39" s="140">
        <f t="shared" si="4"/>
        <v>63</v>
      </c>
      <c r="X39" s="98">
        <v>0</v>
      </c>
      <c r="Y39" s="98">
        <v>0</v>
      </c>
      <c r="Z39" s="98">
        <v>0</v>
      </c>
      <c r="AA39" s="98">
        <v>0</v>
      </c>
      <c r="AB39" s="98">
        <v>0</v>
      </c>
      <c r="AC39" s="98">
        <v>0</v>
      </c>
      <c r="AD39" s="98">
        <v>0</v>
      </c>
      <c r="AE39" s="98">
        <v>0</v>
      </c>
      <c r="AF39" s="98">
        <f t="shared" si="5"/>
        <v>0</v>
      </c>
      <c r="AH39" s="98">
        <v>55</v>
      </c>
      <c r="AJ39" s="98">
        <v>0</v>
      </c>
      <c r="AK39" s="98">
        <v>0</v>
      </c>
      <c r="AL39" s="380">
        <v>0</v>
      </c>
      <c r="AN39" s="214">
        <f t="shared" si="6"/>
        <v>273798</v>
      </c>
      <c r="AO39" s="214">
        <f t="shared" si="7"/>
        <v>0</v>
      </c>
      <c r="AP39" s="214">
        <f t="shared" si="8"/>
        <v>0</v>
      </c>
      <c r="AQ39" s="214">
        <f t="shared" si="9"/>
        <v>0</v>
      </c>
      <c r="AR39" s="214">
        <f t="shared" si="10"/>
        <v>0</v>
      </c>
      <c r="AS39" s="214">
        <f t="shared" si="11"/>
        <v>0</v>
      </c>
      <c r="AT39" s="214">
        <f t="shared" si="12"/>
        <v>0</v>
      </c>
      <c r="AU39" s="214">
        <f t="shared" si="13"/>
        <v>0</v>
      </c>
      <c r="AV39" s="214">
        <f t="shared" si="14"/>
        <v>273798</v>
      </c>
      <c r="AW39" s="215">
        <f t="shared" si="15"/>
        <v>273798</v>
      </c>
    </row>
    <row r="40" spans="1:49" ht="15" customHeight="1">
      <c r="A40" s="140" t="s">
        <v>438</v>
      </c>
      <c r="B40" s="211" t="s">
        <v>96</v>
      </c>
      <c r="C40" s="140" t="str">
        <f t="shared" si="2"/>
        <v>Celebration Lutheran School-WPCP</v>
      </c>
      <c r="D40" s="140">
        <v>11</v>
      </c>
      <c r="E40" s="140">
        <v>0</v>
      </c>
      <c r="F40" s="140">
        <v>0</v>
      </c>
      <c r="G40" s="140">
        <v>0</v>
      </c>
      <c r="H40" s="140">
        <v>0</v>
      </c>
      <c r="I40" s="140">
        <v>3</v>
      </c>
      <c r="J40" s="140">
        <v>47</v>
      </c>
      <c r="K40" s="140">
        <v>0</v>
      </c>
      <c r="L40" s="140">
        <f t="shared" si="3"/>
        <v>61</v>
      </c>
      <c r="N40" s="140">
        <v>3</v>
      </c>
      <c r="O40" s="140">
        <v>0</v>
      </c>
      <c r="P40" s="140">
        <v>0</v>
      </c>
      <c r="Q40" s="140">
        <v>0</v>
      </c>
      <c r="R40" s="140">
        <v>0</v>
      </c>
      <c r="S40" s="140">
        <v>1</v>
      </c>
      <c r="T40" s="140">
        <v>12</v>
      </c>
      <c r="U40" s="140">
        <v>0</v>
      </c>
      <c r="V40" s="140">
        <f t="shared" si="4"/>
        <v>16</v>
      </c>
      <c r="X40" s="98">
        <v>0</v>
      </c>
      <c r="Y40" s="98">
        <v>0</v>
      </c>
      <c r="Z40" s="98">
        <v>0</v>
      </c>
      <c r="AA40" s="98">
        <v>0</v>
      </c>
      <c r="AB40" s="98">
        <v>0</v>
      </c>
      <c r="AC40" s="98">
        <v>0</v>
      </c>
      <c r="AD40" s="98">
        <v>0</v>
      </c>
      <c r="AE40" s="98">
        <v>0</v>
      </c>
      <c r="AF40" s="98">
        <f t="shared" si="5"/>
        <v>0</v>
      </c>
      <c r="AH40" s="98">
        <v>11</v>
      </c>
      <c r="AJ40" s="98">
        <v>0</v>
      </c>
      <c r="AK40" s="98">
        <v>0</v>
      </c>
      <c r="AL40" s="380">
        <v>0</v>
      </c>
      <c r="AN40" s="214">
        <f t="shared" si="6"/>
        <v>58333.5</v>
      </c>
      <c r="AO40" s="214">
        <f t="shared" si="7"/>
        <v>6034.5</v>
      </c>
      <c r="AP40" s="214">
        <f t="shared" si="8"/>
        <v>0</v>
      </c>
      <c r="AQ40" s="214">
        <f t="shared" si="9"/>
        <v>0</v>
      </c>
      <c r="AR40" s="214">
        <f t="shared" si="10"/>
        <v>0</v>
      </c>
      <c r="AS40" s="214">
        <f t="shared" si="11"/>
        <v>0</v>
      </c>
      <c r="AT40" s="214">
        <f t="shared" si="12"/>
        <v>4023</v>
      </c>
      <c r="AU40" s="214">
        <f t="shared" si="13"/>
        <v>48276</v>
      </c>
      <c r="AV40" s="214">
        <f t="shared" si="14"/>
        <v>0</v>
      </c>
      <c r="AW40" s="215">
        <f t="shared" si="15"/>
        <v>58333.5</v>
      </c>
    </row>
    <row r="41" spans="1:49" ht="15" customHeight="1">
      <c r="A41" s="140" t="s">
        <v>169</v>
      </c>
      <c r="B41" s="211" t="s">
        <v>96</v>
      </c>
      <c r="C41" s="140" t="str">
        <f t="shared" si="2"/>
        <v>Central Wisconsin Christian School-WPCP</v>
      </c>
      <c r="D41" s="140">
        <v>0</v>
      </c>
      <c r="E41" s="140">
        <v>0</v>
      </c>
      <c r="F41" s="140">
        <v>0</v>
      </c>
      <c r="G41" s="140">
        <v>22</v>
      </c>
      <c r="H41" s="140">
        <v>0</v>
      </c>
      <c r="I41" s="140">
        <v>0</v>
      </c>
      <c r="J41" s="140">
        <v>199</v>
      </c>
      <c r="K41" s="140">
        <v>101</v>
      </c>
      <c r="L41" s="140">
        <f t="shared" si="3"/>
        <v>322</v>
      </c>
      <c r="N41" s="140">
        <v>0</v>
      </c>
      <c r="O41" s="140">
        <v>0</v>
      </c>
      <c r="P41" s="140">
        <v>0</v>
      </c>
      <c r="Q41" s="140">
        <v>8</v>
      </c>
      <c r="R41" s="140">
        <v>0</v>
      </c>
      <c r="S41" s="140">
        <v>0</v>
      </c>
      <c r="T41" s="140">
        <v>55</v>
      </c>
      <c r="U41" s="140">
        <v>31</v>
      </c>
      <c r="V41" s="140">
        <f t="shared" si="4"/>
        <v>94</v>
      </c>
      <c r="X41" s="98">
        <v>0</v>
      </c>
      <c r="Y41" s="98">
        <v>0</v>
      </c>
      <c r="Z41" s="98">
        <v>0</v>
      </c>
      <c r="AA41" s="98">
        <v>0</v>
      </c>
      <c r="AB41" s="98">
        <v>0</v>
      </c>
      <c r="AC41" s="98">
        <v>0</v>
      </c>
      <c r="AD41" s="98">
        <v>0</v>
      </c>
      <c r="AE41" s="98">
        <v>0</v>
      </c>
      <c r="AF41" s="98">
        <f t="shared" si="5"/>
        <v>0</v>
      </c>
      <c r="AH41" s="98">
        <v>51</v>
      </c>
      <c r="AJ41" s="98">
        <v>0</v>
      </c>
      <c r="AK41" s="98">
        <v>0</v>
      </c>
      <c r="AL41" s="380">
        <v>0</v>
      </c>
      <c r="AN41" s="214">
        <f t="shared" si="6"/>
        <v>375301.4</v>
      </c>
      <c r="AO41" s="214">
        <f t="shared" si="7"/>
        <v>0</v>
      </c>
      <c r="AP41" s="214">
        <f t="shared" si="8"/>
        <v>0</v>
      </c>
      <c r="AQ41" s="214">
        <f t="shared" si="9"/>
        <v>0</v>
      </c>
      <c r="AR41" s="214">
        <f t="shared" si="10"/>
        <v>19310.4</v>
      </c>
      <c r="AS41" s="214">
        <f t="shared" si="11"/>
        <v>0</v>
      </c>
      <c r="AT41" s="214">
        <f t="shared" si="12"/>
        <v>0</v>
      </c>
      <c r="AU41" s="214">
        <f t="shared" si="13"/>
        <v>221265</v>
      </c>
      <c r="AV41" s="214">
        <f t="shared" si="14"/>
        <v>134726</v>
      </c>
      <c r="AW41" s="215">
        <f t="shared" si="15"/>
        <v>375301.4</v>
      </c>
    </row>
    <row r="42" spans="1:49" ht="15" customHeight="1">
      <c r="A42" s="140" t="s">
        <v>168</v>
      </c>
      <c r="B42" s="211" t="s">
        <v>187</v>
      </c>
      <c r="C42" s="140" t="str">
        <f t="shared" si="2"/>
        <v>CERT School-MPCP</v>
      </c>
      <c r="D42" s="140">
        <v>0</v>
      </c>
      <c r="E42" s="140">
        <v>0</v>
      </c>
      <c r="F42" s="140">
        <v>0</v>
      </c>
      <c r="G42" s="140">
        <v>0</v>
      </c>
      <c r="H42" s="140">
        <v>0</v>
      </c>
      <c r="I42" s="140">
        <v>0</v>
      </c>
      <c r="J42" s="140">
        <v>0</v>
      </c>
      <c r="K42" s="140">
        <v>32</v>
      </c>
      <c r="L42" s="140">
        <f t="shared" si="3"/>
        <v>32</v>
      </c>
      <c r="N42" s="140">
        <v>0</v>
      </c>
      <c r="O42" s="140">
        <v>0</v>
      </c>
      <c r="P42" s="140">
        <v>0</v>
      </c>
      <c r="Q42" s="140">
        <v>0</v>
      </c>
      <c r="R42" s="140">
        <v>0</v>
      </c>
      <c r="S42" s="140">
        <v>0</v>
      </c>
      <c r="T42" s="140">
        <v>0</v>
      </c>
      <c r="U42" s="140">
        <v>23</v>
      </c>
      <c r="V42" s="140">
        <f t="shared" si="4"/>
        <v>23</v>
      </c>
      <c r="X42" s="98">
        <v>0</v>
      </c>
      <c r="Y42" s="98">
        <v>0</v>
      </c>
      <c r="Z42" s="98">
        <v>0</v>
      </c>
      <c r="AA42" s="98">
        <v>0</v>
      </c>
      <c r="AB42" s="98">
        <v>0</v>
      </c>
      <c r="AC42" s="98">
        <v>0</v>
      </c>
      <c r="AD42" s="98">
        <v>0</v>
      </c>
      <c r="AE42" s="98">
        <v>0</v>
      </c>
      <c r="AF42" s="98">
        <f t="shared" si="5"/>
        <v>0</v>
      </c>
      <c r="AH42" s="98">
        <v>22</v>
      </c>
      <c r="AJ42" s="98">
        <v>0</v>
      </c>
      <c r="AK42" s="98">
        <v>5</v>
      </c>
      <c r="AL42" s="380">
        <v>1904</v>
      </c>
      <c r="AN42" s="214">
        <f t="shared" si="6"/>
        <v>99958</v>
      </c>
      <c r="AO42" s="214">
        <f t="shared" si="7"/>
        <v>0</v>
      </c>
      <c r="AP42" s="214">
        <f t="shared" si="8"/>
        <v>0</v>
      </c>
      <c r="AQ42" s="214">
        <f t="shared" si="9"/>
        <v>0</v>
      </c>
      <c r="AR42" s="214">
        <f t="shared" si="10"/>
        <v>0</v>
      </c>
      <c r="AS42" s="214">
        <f t="shared" si="11"/>
        <v>0</v>
      </c>
      <c r="AT42" s="214">
        <f t="shared" si="12"/>
        <v>0</v>
      </c>
      <c r="AU42" s="214">
        <f t="shared" si="13"/>
        <v>0</v>
      </c>
      <c r="AV42" s="214">
        <f t="shared" si="14"/>
        <v>99958</v>
      </c>
      <c r="AW42" s="215">
        <f t="shared" si="15"/>
        <v>99958</v>
      </c>
    </row>
    <row r="43" spans="1:49" ht="15" customHeight="1">
      <c r="A43" s="140" t="s">
        <v>168</v>
      </c>
      <c r="B43" s="211" t="s">
        <v>188</v>
      </c>
      <c r="C43" s="140" t="str">
        <f t="shared" si="2"/>
        <v>CERT School-RPCP</v>
      </c>
      <c r="D43" s="140">
        <v>0</v>
      </c>
      <c r="E43" s="140">
        <v>0</v>
      </c>
      <c r="F43" s="140">
        <v>0</v>
      </c>
      <c r="G43" s="140">
        <v>0</v>
      </c>
      <c r="H43" s="140">
        <v>0</v>
      </c>
      <c r="I43" s="140">
        <v>0</v>
      </c>
      <c r="J43" s="140">
        <v>0</v>
      </c>
      <c r="K43" s="140">
        <v>32</v>
      </c>
      <c r="L43" s="140">
        <f t="shared" si="3"/>
        <v>32</v>
      </c>
      <c r="N43" s="140">
        <v>0</v>
      </c>
      <c r="O43" s="140">
        <v>0</v>
      </c>
      <c r="P43" s="140">
        <v>0</v>
      </c>
      <c r="Q43" s="140">
        <v>0</v>
      </c>
      <c r="R43" s="140">
        <v>0</v>
      </c>
      <c r="S43" s="140">
        <v>0</v>
      </c>
      <c r="T43" s="140">
        <v>0</v>
      </c>
      <c r="U43" s="140">
        <v>9</v>
      </c>
      <c r="V43" s="140">
        <f t="shared" si="4"/>
        <v>9</v>
      </c>
      <c r="X43" s="98">
        <v>0</v>
      </c>
      <c r="Y43" s="98">
        <v>0</v>
      </c>
      <c r="Z43" s="98">
        <v>0</v>
      </c>
      <c r="AA43" s="98">
        <v>0</v>
      </c>
      <c r="AB43" s="98">
        <v>0</v>
      </c>
      <c r="AC43" s="98">
        <v>0</v>
      </c>
      <c r="AD43" s="98">
        <v>0</v>
      </c>
      <c r="AE43" s="98">
        <v>0</v>
      </c>
      <c r="AF43" s="98">
        <f t="shared" si="5"/>
        <v>0</v>
      </c>
      <c r="AH43" s="98">
        <v>9</v>
      </c>
      <c r="AJ43" s="98">
        <v>0</v>
      </c>
      <c r="AK43" s="98">
        <v>0</v>
      </c>
      <c r="AL43" s="380">
        <v>0</v>
      </c>
      <c r="AN43" s="214">
        <f t="shared" si="6"/>
        <v>39114</v>
      </c>
      <c r="AO43" s="214">
        <f t="shared" si="7"/>
        <v>0</v>
      </c>
      <c r="AP43" s="214">
        <f t="shared" si="8"/>
        <v>0</v>
      </c>
      <c r="AQ43" s="214">
        <f t="shared" si="9"/>
        <v>0</v>
      </c>
      <c r="AR43" s="214">
        <f t="shared" si="10"/>
        <v>0</v>
      </c>
      <c r="AS43" s="214">
        <f t="shared" si="11"/>
        <v>0</v>
      </c>
      <c r="AT43" s="214">
        <f t="shared" si="12"/>
        <v>0</v>
      </c>
      <c r="AU43" s="214">
        <f t="shared" si="13"/>
        <v>0</v>
      </c>
      <c r="AV43" s="214">
        <f t="shared" si="14"/>
        <v>39114</v>
      </c>
      <c r="AW43" s="215">
        <f t="shared" si="15"/>
        <v>39114</v>
      </c>
    </row>
    <row r="44" spans="1:49" ht="15" customHeight="1">
      <c r="A44" s="140" t="s">
        <v>571</v>
      </c>
      <c r="B44" s="211" t="s">
        <v>96</v>
      </c>
      <c r="C44" s="140" t="str">
        <f t="shared" si="2"/>
        <v>Chesterton Academy of Milwaukee, Inc.-WPCP</v>
      </c>
      <c r="D44" s="140">
        <v>0</v>
      </c>
      <c r="E44" s="140">
        <v>0</v>
      </c>
      <c r="F44" s="140">
        <v>0</v>
      </c>
      <c r="G44" s="140">
        <v>0</v>
      </c>
      <c r="H44" s="140">
        <v>0</v>
      </c>
      <c r="I44" s="140">
        <v>0</v>
      </c>
      <c r="J44" s="140">
        <v>0</v>
      </c>
      <c r="K44" s="140">
        <v>35</v>
      </c>
      <c r="L44" s="140">
        <f t="shared" si="3"/>
        <v>35</v>
      </c>
      <c r="N44" s="140">
        <v>0</v>
      </c>
      <c r="O44" s="140">
        <v>0</v>
      </c>
      <c r="P44" s="140">
        <v>0</v>
      </c>
      <c r="Q44" s="140">
        <v>0</v>
      </c>
      <c r="R44" s="140">
        <v>0</v>
      </c>
      <c r="S44" s="140">
        <v>0</v>
      </c>
      <c r="T44" s="140">
        <v>0</v>
      </c>
      <c r="U44" s="140">
        <v>6</v>
      </c>
      <c r="V44" s="140">
        <f t="shared" si="4"/>
        <v>6</v>
      </c>
      <c r="X44" s="98">
        <v>0</v>
      </c>
      <c r="Y44" s="98">
        <v>0</v>
      </c>
      <c r="Z44" s="98">
        <v>0</v>
      </c>
      <c r="AA44" s="98">
        <v>0</v>
      </c>
      <c r="AB44" s="98">
        <v>0</v>
      </c>
      <c r="AC44" s="98">
        <v>0</v>
      </c>
      <c r="AD44" s="98">
        <v>0</v>
      </c>
      <c r="AE44" s="98">
        <v>2</v>
      </c>
      <c r="AF44" s="98">
        <f t="shared" si="5"/>
        <v>2</v>
      </c>
      <c r="AH44" s="98">
        <v>5</v>
      </c>
      <c r="AJ44" s="98">
        <v>0</v>
      </c>
      <c r="AK44" s="98">
        <v>0</v>
      </c>
      <c r="AL44" s="380">
        <v>0</v>
      </c>
      <c r="AN44" s="214">
        <f t="shared" si="6"/>
        <v>26076</v>
      </c>
      <c r="AO44" s="214">
        <f t="shared" si="7"/>
        <v>0</v>
      </c>
      <c r="AP44" s="214">
        <f t="shared" si="8"/>
        <v>0</v>
      </c>
      <c r="AQ44" s="214">
        <f t="shared" si="9"/>
        <v>0</v>
      </c>
      <c r="AR44" s="214">
        <f t="shared" si="10"/>
        <v>0</v>
      </c>
      <c r="AS44" s="214">
        <f t="shared" si="11"/>
        <v>0</v>
      </c>
      <c r="AT44" s="214">
        <f t="shared" si="12"/>
        <v>0</v>
      </c>
      <c r="AU44" s="214">
        <f t="shared" si="13"/>
        <v>0</v>
      </c>
      <c r="AV44" s="214">
        <f t="shared" si="14"/>
        <v>26076</v>
      </c>
      <c r="AW44" s="215">
        <f t="shared" si="15"/>
        <v>26076</v>
      </c>
    </row>
    <row r="45" spans="1:49" ht="15" customHeight="1">
      <c r="A45" s="140" t="s">
        <v>338</v>
      </c>
      <c r="B45" s="211" t="s">
        <v>96</v>
      </c>
      <c r="C45" s="140" t="str">
        <f t="shared" si="2"/>
        <v>Chilton Area Catholic School-WPCP</v>
      </c>
      <c r="D45" s="140">
        <v>20</v>
      </c>
      <c r="E45" s="140">
        <v>0</v>
      </c>
      <c r="F45" s="140">
        <v>0</v>
      </c>
      <c r="G45" s="140">
        <v>0</v>
      </c>
      <c r="H45" s="140">
        <v>0</v>
      </c>
      <c r="I45" s="140">
        <v>8</v>
      </c>
      <c r="J45" s="140">
        <v>67</v>
      </c>
      <c r="K45" s="140">
        <v>0</v>
      </c>
      <c r="L45" s="140">
        <f t="shared" si="3"/>
        <v>95</v>
      </c>
      <c r="N45" s="140">
        <v>6</v>
      </c>
      <c r="O45" s="140">
        <v>0</v>
      </c>
      <c r="P45" s="140">
        <v>0</v>
      </c>
      <c r="Q45" s="140">
        <v>0</v>
      </c>
      <c r="R45" s="140">
        <v>0</v>
      </c>
      <c r="S45" s="140">
        <v>1</v>
      </c>
      <c r="T45" s="140">
        <v>13</v>
      </c>
      <c r="U45" s="140">
        <v>0</v>
      </c>
      <c r="V45" s="140">
        <f t="shared" si="4"/>
        <v>20</v>
      </c>
      <c r="X45" s="98">
        <v>0</v>
      </c>
      <c r="Y45" s="98">
        <v>0</v>
      </c>
      <c r="Z45" s="98">
        <v>0</v>
      </c>
      <c r="AA45" s="98">
        <v>0</v>
      </c>
      <c r="AB45" s="98">
        <v>0</v>
      </c>
      <c r="AC45" s="98">
        <v>0</v>
      </c>
      <c r="AD45" s="98">
        <v>0</v>
      </c>
      <c r="AE45" s="98">
        <v>0</v>
      </c>
      <c r="AF45" s="98">
        <f t="shared" si="5"/>
        <v>0</v>
      </c>
      <c r="AH45" s="98">
        <v>13</v>
      </c>
      <c r="AJ45" s="98">
        <v>0</v>
      </c>
      <c r="AK45" s="98">
        <v>0</v>
      </c>
      <c r="AL45" s="380">
        <v>0</v>
      </c>
      <c r="AN45" s="214">
        <f t="shared" si="6"/>
        <v>68391</v>
      </c>
      <c r="AO45" s="214">
        <f t="shared" si="7"/>
        <v>12069</v>
      </c>
      <c r="AP45" s="214">
        <f t="shared" si="8"/>
        <v>0</v>
      </c>
      <c r="AQ45" s="214">
        <f t="shared" si="9"/>
        <v>0</v>
      </c>
      <c r="AR45" s="214">
        <f t="shared" si="10"/>
        <v>0</v>
      </c>
      <c r="AS45" s="214">
        <f t="shared" si="11"/>
        <v>0</v>
      </c>
      <c r="AT45" s="214">
        <f t="shared" si="12"/>
        <v>4023</v>
      </c>
      <c r="AU45" s="214">
        <f t="shared" si="13"/>
        <v>52299</v>
      </c>
      <c r="AV45" s="214">
        <f t="shared" si="14"/>
        <v>0</v>
      </c>
      <c r="AW45" s="215">
        <f t="shared" si="15"/>
        <v>68391</v>
      </c>
    </row>
    <row r="46" spans="1:49" ht="15" customHeight="1">
      <c r="A46" s="140" t="s">
        <v>572</v>
      </c>
      <c r="B46" s="211" t="s">
        <v>96</v>
      </c>
      <c r="C46" s="140" t="str">
        <f t="shared" si="2"/>
        <v>Christ Child Academy-WPCP</v>
      </c>
      <c r="D46" s="140">
        <v>9</v>
      </c>
      <c r="E46" s="140">
        <v>0</v>
      </c>
      <c r="F46" s="140">
        <v>0</v>
      </c>
      <c r="G46" s="140">
        <v>0</v>
      </c>
      <c r="H46" s="140">
        <v>0</v>
      </c>
      <c r="I46" s="140">
        <v>14</v>
      </c>
      <c r="J46" s="140">
        <v>111</v>
      </c>
      <c r="K46" s="140">
        <v>0</v>
      </c>
      <c r="L46" s="140">
        <f t="shared" si="3"/>
        <v>134</v>
      </c>
      <c r="N46" s="140">
        <v>1</v>
      </c>
      <c r="O46" s="140">
        <v>0</v>
      </c>
      <c r="P46" s="140">
        <v>0</v>
      </c>
      <c r="Q46" s="140">
        <v>0</v>
      </c>
      <c r="R46" s="140">
        <v>0</v>
      </c>
      <c r="S46" s="140">
        <v>3</v>
      </c>
      <c r="T46" s="140">
        <v>25</v>
      </c>
      <c r="U46" s="140">
        <v>0</v>
      </c>
      <c r="V46" s="140">
        <f t="shared" si="4"/>
        <v>29</v>
      </c>
      <c r="X46" s="98">
        <v>0</v>
      </c>
      <c r="Y46" s="98">
        <v>0</v>
      </c>
      <c r="Z46" s="98">
        <v>0</v>
      </c>
      <c r="AA46" s="98">
        <v>0</v>
      </c>
      <c r="AB46" s="98">
        <v>0</v>
      </c>
      <c r="AC46" s="98">
        <v>0</v>
      </c>
      <c r="AD46" s="98">
        <v>0</v>
      </c>
      <c r="AE46" s="98">
        <v>0</v>
      </c>
      <c r="AF46" s="98">
        <f t="shared" si="5"/>
        <v>0</v>
      </c>
      <c r="AH46" s="98">
        <v>17</v>
      </c>
      <c r="AJ46" s="98">
        <v>0</v>
      </c>
      <c r="AK46" s="98">
        <v>0</v>
      </c>
      <c r="AL46" s="380">
        <v>0</v>
      </c>
      <c r="AN46" s="214">
        <f t="shared" si="6"/>
        <v>114655.5</v>
      </c>
      <c r="AO46" s="214">
        <f t="shared" si="7"/>
        <v>2011.5</v>
      </c>
      <c r="AP46" s="214">
        <f t="shared" si="8"/>
        <v>0</v>
      </c>
      <c r="AQ46" s="214">
        <f t="shared" si="9"/>
        <v>0</v>
      </c>
      <c r="AR46" s="214">
        <f t="shared" si="10"/>
        <v>0</v>
      </c>
      <c r="AS46" s="214">
        <f t="shared" si="11"/>
        <v>0</v>
      </c>
      <c r="AT46" s="214">
        <f t="shared" si="12"/>
        <v>12069</v>
      </c>
      <c r="AU46" s="214">
        <f t="shared" si="13"/>
        <v>100575</v>
      </c>
      <c r="AV46" s="214">
        <f t="shared" si="14"/>
        <v>0</v>
      </c>
      <c r="AW46" s="215">
        <f t="shared" si="15"/>
        <v>114655.5</v>
      </c>
    </row>
    <row r="47" spans="1:49" ht="15" customHeight="1">
      <c r="A47" s="140" t="s">
        <v>439</v>
      </c>
      <c r="B47" s="211" t="s">
        <v>187</v>
      </c>
      <c r="C47" s="140" t="str">
        <f t="shared" si="2"/>
        <v>Christ St. Peter Lutheran School-MPCP</v>
      </c>
      <c r="D47" s="140">
        <v>19</v>
      </c>
      <c r="E47" s="140">
        <v>0</v>
      </c>
      <c r="F47" s="140">
        <v>0</v>
      </c>
      <c r="G47" s="140">
        <v>0</v>
      </c>
      <c r="H47" s="140">
        <v>0</v>
      </c>
      <c r="I47" s="140">
        <v>18</v>
      </c>
      <c r="J47" s="140">
        <v>184</v>
      </c>
      <c r="K47" s="140">
        <v>0</v>
      </c>
      <c r="L47" s="140">
        <f t="shared" si="3"/>
        <v>221</v>
      </c>
      <c r="N47" s="140">
        <v>17</v>
      </c>
      <c r="O47" s="140">
        <v>0</v>
      </c>
      <c r="P47" s="140">
        <v>0</v>
      </c>
      <c r="Q47" s="140">
        <v>0</v>
      </c>
      <c r="R47" s="140">
        <v>0</v>
      </c>
      <c r="S47" s="140">
        <v>18</v>
      </c>
      <c r="T47" s="140">
        <v>169</v>
      </c>
      <c r="U47" s="140">
        <v>0</v>
      </c>
      <c r="V47" s="140">
        <f t="shared" si="4"/>
        <v>204</v>
      </c>
      <c r="X47" s="98">
        <v>0</v>
      </c>
      <c r="Y47" s="98">
        <v>0</v>
      </c>
      <c r="Z47" s="98">
        <v>0</v>
      </c>
      <c r="AA47" s="98">
        <v>0</v>
      </c>
      <c r="AB47" s="98">
        <v>0</v>
      </c>
      <c r="AC47" s="98">
        <v>0</v>
      </c>
      <c r="AD47" s="98">
        <v>0</v>
      </c>
      <c r="AE47" s="98">
        <v>0</v>
      </c>
      <c r="AF47" s="98">
        <f t="shared" si="5"/>
        <v>0</v>
      </c>
      <c r="AH47" s="98">
        <v>125</v>
      </c>
      <c r="AJ47" s="98">
        <v>0</v>
      </c>
      <c r="AK47" s="98">
        <v>0</v>
      </c>
      <c r="AL47" s="380">
        <v>0</v>
      </c>
      <c r="AN47" s="214">
        <f t="shared" si="6"/>
        <v>786496.5</v>
      </c>
      <c r="AO47" s="214">
        <f t="shared" si="7"/>
        <v>34195.5</v>
      </c>
      <c r="AP47" s="214">
        <f t="shared" si="8"/>
        <v>0</v>
      </c>
      <c r="AQ47" s="214">
        <f t="shared" si="9"/>
        <v>0</v>
      </c>
      <c r="AR47" s="214">
        <f t="shared" si="10"/>
        <v>0</v>
      </c>
      <c r="AS47" s="214">
        <f t="shared" si="11"/>
        <v>0</v>
      </c>
      <c r="AT47" s="214">
        <f t="shared" si="12"/>
        <v>72414</v>
      </c>
      <c r="AU47" s="214">
        <f t="shared" si="13"/>
        <v>679887</v>
      </c>
      <c r="AV47" s="214">
        <f t="shared" si="14"/>
        <v>0</v>
      </c>
      <c r="AW47" s="215">
        <f t="shared" si="15"/>
        <v>786496.5</v>
      </c>
    </row>
    <row r="48" spans="1:49" ht="15" customHeight="1">
      <c r="A48" s="140" t="s">
        <v>439</v>
      </c>
      <c r="B48" s="211" t="s">
        <v>96</v>
      </c>
      <c r="C48" s="140" t="str">
        <f t="shared" si="2"/>
        <v>Christ St. Peter Lutheran School-WPCP</v>
      </c>
      <c r="D48" s="140">
        <v>19</v>
      </c>
      <c r="E48" s="140">
        <v>0</v>
      </c>
      <c r="F48" s="140">
        <v>0</v>
      </c>
      <c r="G48" s="140">
        <v>0</v>
      </c>
      <c r="H48" s="140">
        <v>0</v>
      </c>
      <c r="I48" s="140">
        <v>18</v>
      </c>
      <c r="J48" s="140">
        <v>184</v>
      </c>
      <c r="K48" s="140">
        <v>0</v>
      </c>
      <c r="L48" s="140">
        <f t="shared" si="3"/>
        <v>221</v>
      </c>
      <c r="N48" s="140">
        <v>0</v>
      </c>
      <c r="O48" s="140">
        <v>0</v>
      </c>
      <c r="P48" s="140">
        <v>0</v>
      </c>
      <c r="Q48" s="140">
        <v>0</v>
      </c>
      <c r="R48" s="140">
        <v>0</v>
      </c>
      <c r="S48" s="140">
        <v>0</v>
      </c>
      <c r="T48" s="140">
        <v>8</v>
      </c>
      <c r="U48" s="140">
        <v>0</v>
      </c>
      <c r="V48" s="140">
        <f t="shared" si="4"/>
        <v>8</v>
      </c>
      <c r="X48" s="98">
        <v>0</v>
      </c>
      <c r="Y48" s="98">
        <v>0</v>
      </c>
      <c r="Z48" s="98">
        <v>0</v>
      </c>
      <c r="AA48" s="98">
        <v>0</v>
      </c>
      <c r="AB48" s="98">
        <v>0</v>
      </c>
      <c r="AC48" s="98">
        <v>0</v>
      </c>
      <c r="AD48" s="98">
        <v>0</v>
      </c>
      <c r="AE48" s="98">
        <v>0</v>
      </c>
      <c r="AF48" s="98">
        <f t="shared" si="5"/>
        <v>0</v>
      </c>
      <c r="AH48" s="98">
        <v>4</v>
      </c>
      <c r="AJ48" s="98">
        <v>0</v>
      </c>
      <c r="AK48" s="98">
        <v>0</v>
      </c>
      <c r="AL48" s="380">
        <v>0</v>
      </c>
      <c r="AN48" s="214">
        <f t="shared" si="6"/>
        <v>32184</v>
      </c>
      <c r="AO48" s="214">
        <f t="shared" si="7"/>
        <v>0</v>
      </c>
      <c r="AP48" s="214">
        <f t="shared" si="8"/>
        <v>0</v>
      </c>
      <c r="AQ48" s="214">
        <f t="shared" si="9"/>
        <v>0</v>
      </c>
      <c r="AR48" s="214">
        <f t="shared" si="10"/>
        <v>0</v>
      </c>
      <c r="AS48" s="214">
        <f t="shared" si="11"/>
        <v>0</v>
      </c>
      <c r="AT48" s="214">
        <f t="shared" si="12"/>
        <v>0</v>
      </c>
      <c r="AU48" s="214">
        <f t="shared" si="13"/>
        <v>32184</v>
      </c>
      <c r="AV48" s="214">
        <f t="shared" si="14"/>
        <v>0</v>
      </c>
      <c r="AW48" s="215">
        <f t="shared" si="15"/>
        <v>32184</v>
      </c>
    </row>
    <row r="49" spans="1:49" ht="15" customHeight="1">
      <c r="A49" s="140" t="s">
        <v>217</v>
      </c>
      <c r="B49" s="211" t="s">
        <v>187</v>
      </c>
      <c r="C49" s="140" t="str">
        <f t="shared" si="2"/>
        <v>Christian Faith Academy of Higher Learning-MPCP</v>
      </c>
      <c r="D49" s="140">
        <v>0</v>
      </c>
      <c r="E49" s="140">
        <v>3</v>
      </c>
      <c r="F49" s="140">
        <v>0</v>
      </c>
      <c r="G49" s="140">
        <v>0</v>
      </c>
      <c r="H49" s="140">
        <v>0</v>
      </c>
      <c r="I49" s="140">
        <v>7</v>
      </c>
      <c r="J49" s="140">
        <v>59</v>
      </c>
      <c r="K49" s="140">
        <v>0</v>
      </c>
      <c r="L49" s="140">
        <f t="shared" si="3"/>
        <v>69</v>
      </c>
      <c r="N49" s="140">
        <v>0</v>
      </c>
      <c r="O49" s="140">
        <v>3</v>
      </c>
      <c r="P49" s="140">
        <v>0</v>
      </c>
      <c r="Q49" s="140">
        <v>0</v>
      </c>
      <c r="R49" s="140">
        <v>0</v>
      </c>
      <c r="S49" s="140">
        <v>7</v>
      </c>
      <c r="T49" s="140">
        <v>59</v>
      </c>
      <c r="U49" s="140">
        <v>0</v>
      </c>
      <c r="V49" s="140">
        <f t="shared" si="4"/>
        <v>69</v>
      </c>
      <c r="X49" s="98">
        <v>0</v>
      </c>
      <c r="Y49" s="98">
        <v>0</v>
      </c>
      <c r="Z49" s="98">
        <v>0</v>
      </c>
      <c r="AA49" s="98">
        <v>0</v>
      </c>
      <c r="AB49" s="98">
        <v>0</v>
      </c>
      <c r="AC49" s="98">
        <v>0</v>
      </c>
      <c r="AD49" s="98">
        <v>0</v>
      </c>
      <c r="AE49" s="98">
        <v>0</v>
      </c>
      <c r="AF49" s="98">
        <f t="shared" si="5"/>
        <v>0</v>
      </c>
      <c r="AH49" s="98">
        <v>38</v>
      </c>
      <c r="AJ49" s="98">
        <v>0</v>
      </c>
      <c r="AK49" s="98">
        <v>0</v>
      </c>
      <c r="AL49" s="380">
        <v>0</v>
      </c>
      <c r="AN49" s="214">
        <f t="shared" si="6"/>
        <v>272759.4</v>
      </c>
      <c r="AO49" s="214">
        <f t="shared" si="7"/>
        <v>0</v>
      </c>
      <c r="AP49" s="214">
        <f t="shared" si="8"/>
        <v>7241.4</v>
      </c>
      <c r="AQ49" s="214">
        <f t="shared" si="9"/>
        <v>0</v>
      </c>
      <c r="AR49" s="214">
        <f t="shared" si="10"/>
        <v>0</v>
      </c>
      <c r="AS49" s="214">
        <f t="shared" si="11"/>
        <v>0</v>
      </c>
      <c r="AT49" s="214">
        <f t="shared" si="12"/>
        <v>28161</v>
      </c>
      <c r="AU49" s="214">
        <f t="shared" si="13"/>
        <v>237357</v>
      </c>
      <c r="AV49" s="214">
        <f t="shared" si="14"/>
        <v>0</v>
      </c>
      <c r="AW49" s="215">
        <f t="shared" si="15"/>
        <v>272759.4</v>
      </c>
    </row>
    <row r="50" spans="1:49" ht="15" customHeight="1">
      <c r="A50" s="140" t="s">
        <v>102</v>
      </c>
      <c r="B50" s="211" t="s">
        <v>187</v>
      </c>
      <c r="C50" s="140" t="str">
        <f t="shared" si="2"/>
        <v>Clara Mohammed School-MPCP</v>
      </c>
      <c r="D50" s="140">
        <v>0</v>
      </c>
      <c r="E50" s="140">
        <v>0</v>
      </c>
      <c r="F50" s="140">
        <v>0</v>
      </c>
      <c r="G50" s="140">
        <v>0</v>
      </c>
      <c r="H50" s="140">
        <v>0</v>
      </c>
      <c r="I50" s="140">
        <v>16</v>
      </c>
      <c r="J50" s="140">
        <v>153</v>
      </c>
      <c r="K50" s="140">
        <v>31</v>
      </c>
      <c r="L50" s="140">
        <f t="shared" si="3"/>
        <v>200</v>
      </c>
      <c r="N50" s="140">
        <v>0</v>
      </c>
      <c r="O50" s="140">
        <v>0</v>
      </c>
      <c r="P50" s="140">
        <v>0</v>
      </c>
      <c r="Q50" s="140">
        <v>0</v>
      </c>
      <c r="R50" s="140">
        <v>0</v>
      </c>
      <c r="S50" s="140">
        <v>16</v>
      </c>
      <c r="T50" s="140">
        <v>153</v>
      </c>
      <c r="U50" s="140">
        <v>31</v>
      </c>
      <c r="V50" s="140">
        <f t="shared" si="4"/>
        <v>200</v>
      </c>
      <c r="X50" s="98">
        <v>0</v>
      </c>
      <c r="Y50" s="98">
        <v>0</v>
      </c>
      <c r="Z50" s="98">
        <v>0</v>
      </c>
      <c r="AA50" s="98">
        <v>0</v>
      </c>
      <c r="AB50" s="98">
        <v>0</v>
      </c>
      <c r="AC50" s="98">
        <v>0</v>
      </c>
      <c r="AD50" s="98">
        <v>0</v>
      </c>
      <c r="AE50" s="98">
        <v>0</v>
      </c>
      <c r="AF50" s="98">
        <f t="shared" si="5"/>
        <v>0</v>
      </c>
      <c r="AH50" s="98">
        <v>94</v>
      </c>
      <c r="AJ50" s="98">
        <v>0</v>
      </c>
      <c r="AK50" s="98">
        <v>0</v>
      </c>
      <c r="AL50" s="380">
        <v>0</v>
      </c>
      <c r="AN50" s="214">
        <f t="shared" si="6"/>
        <v>814613</v>
      </c>
      <c r="AO50" s="214">
        <f t="shared" si="7"/>
        <v>0</v>
      </c>
      <c r="AP50" s="214">
        <f t="shared" si="8"/>
        <v>0</v>
      </c>
      <c r="AQ50" s="214">
        <f t="shared" si="9"/>
        <v>0</v>
      </c>
      <c r="AR50" s="214">
        <f t="shared" si="10"/>
        <v>0</v>
      </c>
      <c r="AS50" s="214">
        <f t="shared" si="11"/>
        <v>0</v>
      </c>
      <c r="AT50" s="214">
        <f t="shared" si="12"/>
        <v>64368</v>
      </c>
      <c r="AU50" s="214">
        <f t="shared" si="13"/>
        <v>615519</v>
      </c>
      <c r="AV50" s="214">
        <f t="shared" si="14"/>
        <v>134726</v>
      </c>
      <c r="AW50" s="215">
        <f t="shared" si="15"/>
        <v>814613</v>
      </c>
    </row>
    <row r="51" spans="1:49" ht="15" customHeight="1">
      <c r="A51" s="140" t="s">
        <v>103</v>
      </c>
      <c r="B51" s="211" t="s">
        <v>96</v>
      </c>
      <c r="C51" s="140" t="str">
        <f t="shared" si="2"/>
        <v>Columbus Catholic Schools-WPCP</v>
      </c>
      <c r="D51" s="140">
        <v>48</v>
      </c>
      <c r="E51" s="140">
        <v>0</v>
      </c>
      <c r="F51" s="140">
        <v>0</v>
      </c>
      <c r="G51" s="140">
        <v>0</v>
      </c>
      <c r="H51" s="140">
        <v>0</v>
      </c>
      <c r="I51" s="140">
        <v>34</v>
      </c>
      <c r="J51" s="140">
        <v>287</v>
      </c>
      <c r="K51" s="140">
        <v>133</v>
      </c>
      <c r="L51" s="140">
        <f t="shared" si="3"/>
        <v>502</v>
      </c>
      <c r="N51" s="140">
        <v>12</v>
      </c>
      <c r="O51" s="140">
        <v>0</v>
      </c>
      <c r="P51" s="140">
        <v>0</v>
      </c>
      <c r="Q51" s="140">
        <v>0</v>
      </c>
      <c r="R51" s="140">
        <v>0</v>
      </c>
      <c r="S51" s="140">
        <v>20</v>
      </c>
      <c r="T51" s="140">
        <v>94</v>
      </c>
      <c r="U51" s="140">
        <v>35</v>
      </c>
      <c r="V51" s="140">
        <f t="shared" si="4"/>
        <v>161</v>
      </c>
      <c r="X51" s="98">
        <v>0</v>
      </c>
      <c r="Y51" s="98">
        <v>0</v>
      </c>
      <c r="Z51" s="98">
        <v>0</v>
      </c>
      <c r="AA51" s="98">
        <v>0</v>
      </c>
      <c r="AB51" s="98">
        <v>0</v>
      </c>
      <c r="AC51" s="98">
        <v>0</v>
      </c>
      <c r="AD51" s="98">
        <v>0</v>
      </c>
      <c r="AE51" s="98">
        <v>0</v>
      </c>
      <c r="AF51" s="98">
        <f t="shared" si="5"/>
        <v>0</v>
      </c>
      <c r="AH51" s="98">
        <v>77</v>
      </c>
      <c r="AJ51" s="98">
        <v>0</v>
      </c>
      <c r="AK51" s="98">
        <v>0</v>
      </c>
      <c r="AL51" s="380">
        <v>0</v>
      </c>
      <c r="AN51" s="214">
        <f t="shared" si="6"/>
        <v>634870</v>
      </c>
      <c r="AO51" s="214">
        <f t="shared" si="7"/>
        <v>24138</v>
      </c>
      <c r="AP51" s="214">
        <f t="shared" si="8"/>
        <v>0</v>
      </c>
      <c r="AQ51" s="214">
        <f t="shared" si="9"/>
        <v>0</v>
      </c>
      <c r="AR51" s="214">
        <f t="shared" si="10"/>
        <v>0</v>
      </c>
      <c r="AS51" s="214">
        <f t="shared" si="11"/>
        <v>0</v>
      </c>
      <c r="AT51" s="214">
        <f t="shared" si="12"/>
        <v>80460</v>
      </c>
      <c r="AU51" s="214">
        <f t="shared" si="13"/>
        <v>378162</v>
      </c>
      <c r="AV51" s="214">
        <f t="shared" si="14"/>
        <v>152110</v>
      </c>
      <c r="AW51" s="215">
        <f t="shared" si="15"/>
        <v>634870</v>
      </c>
    </row>
    <row r="52" spans="1:49" ht="15" customHeight="1">
      <c r="A52" s="140" t="s">
        <v>440</v>
      </c>
      <c r="B52" s="211" t="s">
        <v>96</v>
      </c>
      <c r="C52" s="140" t="str">
        <f t="shared" si="2"/>
        <v>Community Christian School of Baraboo-WPCP</v>
      </c>
      <c r="D52" s="140">
        <v>7</v>
      </c>
      <c r="E52" s="140">
        <v>0</v>
      </c>
      <c r="F52" s="140">
        <v>0</v>
      </c>
      <c r="G52" s="140">
        <v>0</v>
      </c>
      <c r="H52" s="140">
        <v>0</v>
      </c>
      <c r="I52" s="140">
        <v>9</v>
      </c>
      <c r="J52" s="140">
        <v>83</v>
      </c>
      <c r="K52" s="140">
        <v>20</v>
      </c>
      <c r="L52" s="140">
        <f t="shared" si="3"/>
        <v>119</v>
      </c>
      <c r="N52" s="140">
        <v>3</v>
      </c>
      <c r="O52" s="140">
        <v>0</v>
      </c>
      <c r="P52" s="140">
        <v>0</v>
      </c>
      <c r="Q52" s="140">
        <v>0</v>
      </c>
      <c r="R52" s="140">
        <v>0</v>
      </c>
      <c r="S52" s="140">
        <v>4</v>
      </c>
      <c r="T52" s="140">
        <v>49</v>
      </c>
      <c r="U52" s="140">
        <v>16</v>
      </c>
      <c r="V52" s="140">
        <f t="shared" si="4"/>
        <v>72</v>
      </c>
      <c r="X52" s="98">
        <v>0</v>
      </c>
      <c r="Y52" s="98">
        <v>0</v>
      </c>
      <c r="Z52" s="98">
        <v>0</v>
      </c>
      <c r="AA52" s="98">
        <v>0</v>
      </c>
      <c r="AB52" s="98">
        <v>0</v>
      </c>
      <c r="AC52" s="98">
        <v>0</v>
      </c>
      <c r="AD52" s="98">
        <v>0</v>
      </c>
      <c r="AE52" s="98">
        <v>0</v>
      </c>
      <c r="AF52" s="98">
        <f t="shared" si="5"/>
        <v>0</v>
      </c>
      <c r="AH52" s="98">
        <v>35</v>
      </c>
      <c r="AJ52" s="98">
        <v>0</v>
      </c>
      <c r="AK52" s="98">
        <v>0</v>
      </c>
      <c r="AL52" s="380">
        <v>0</v>
      </c>
      <c r="AN52" s="214">
        <f t="shared" si="6"/>
        <v>288789.5</v>
      </c>
      <c r="AO52" s="214">
        <f t="shared" si="7"/>
        <v>6034.5</v>
      </c>
      <c r="AP52" s="214">
        <f t="shared" si="8"/>
        <v>0</v>
      </c>
      <c r="AQ52" s="214">
        <f t="shared" si="9"/>
        <v>0</v>
      </c>
      <c r="AR52" s="214">
        <f t="shared" si="10"/>
        <v>0</v>
      </c>
      <c r="AS52" s="214">
        <f t="shared" si="11"/>
        <v>0</v>
      </c>
      <c r="AT52" s="214">
        <f t="shared" si="12"/>
        <v>16092</v>
      </c>
      <c r="AU52" s="214">
        <f t="shared" si="13"/>
        <v>197127</v>
      </c>
      <c r="AV52" s="214">
        <f t="shared" si="14"/>
        <v>69536</v>
      </c>
      <c r="AW52" s="215">
        <f t="shared" si="15"/>
        <v>288789.5</v>
      </c>
    </row>
    <row r="53" spans="1:49" ht="15" customHeight="1">
      <c r="A53" s="140" t="s">
        <v>104</v>
      </c>
      <c r="B53" s="211" t="s">
        <v>188</v>
      </c>
      <c r="C53" s="140" t="str">
        <f t="shared" si="2"/>
        <v>Concordia Lutheran School-RPCP</v>
      </c>
      <c r="D53" s="140">
        <v>24</v>
      </c>
      <c r="E53" s="140">
        <v>0</v>
      </c>
      <c r="F53" s="140">
        <v>0</v>
      </c>
      <c r="G53" s="140">
        <v>0</v>
      </c>
      <c r="H53" s="140">
        <v>0</v>
      </c>
      <c r="I53" s="140">
        <v>25</v>
      </c>
      <c r="J53" s="140">
        <v>185</v>
      </c>
      <c r="K53" s="140">
        <v>0</v>
      </c>
      <c r="L53" s="140">
        <f t="shared" si="3"/>
        <v>234</v>
      </c>
      <c r="N53" s="140">
        <v>15</v>
      </c>
      <c r="O53" s="140">
        <v>0</v>
      </c>
      <c r="P53" s="140">
        <v>0</v>
      </c>
      <c r="Q53" s="140">
        <v>0</v>
      </c>
      <c r="R53" s="140">
        <v>0</v>
      </c>
      <c r="S53" s="140">
        <v>16</v>
      </c>
      <c r="T53" s="140">
        <v>134</v>
      </c>
      <c r="U53" s="140">
        <v>0</v>
      </c>
      <c r="V53" s="140">
        <f t="shared" si="4"/>
        <v>165</v>
      </c>
      <c r="X53" s="98">
        <v>4</v>
      </c>
      <c r="Y53" s="98">
        <v>0</v>
      </c>
      <c r="Z53" s="98">
        <v>0</v>
      </c>
      <c r="AA53" s="98">
        <v>0</v>
      </c>
      <c r="AB53" s="98">
        <v>0</v>
      </c>
      <c r="AC53" s="98">
        <v>1</v>
      </c>
      <c r="AD53" s="98">
        <v>13</v>
      </c>
      <c r="AE53" s="98">
        <v>0</v>
      </c>
      <c r="AF53" s="98">
        <f t="shared" si="5"/>
        <v>18</v>
      </c>
      <c r="AH53" s="98">
        <v>114</v>
      </c>
      <c r="AJ53" s="98">
        <v>0</v>
      </c>
      <c r="AK53" s="98">
        <v>0</v>
      </c>
      <c r="AL53" s="380">
        <v>0</v>
      </c>
      <c r="AN53" s="214">
        <f t="shared" si="6"/>
        <v>633622.5</v>
      </c>
      <c r="AO53" s="214">
        <f t="shared" si="7"/>
        <v>30172.5</v>
      </c>
      <c r="AP53" s="214">
        <f t="shared" si="8"/>
        <v>0</v>
      </c>
      <c r="AQ53" s="214">
        <f t="shared" si="9"/>
        <v>0</v>
      </c>
      <c r="AR53" s="214">
        <f t="shared" si="10"/>
        <v>0</v>
      </c>
      <c r="AS53" s="214">
        <f t="shared" si="11"/>
        <v>0</v>
      </c>
      <c r="AT53" s="214">
        <f t="shared" si="12"/>
        <v>64368</v>
      </c>
      <c r="AU53" s="214">
        <f t="shared" si="13"/>
        <v>539082</v>
      </c>
      <c r="AV53" s="214">
        <f t="shared" si="14"/>
        <v>0</v>
      </c>
      <c r="AW53" s="215">
        <f t="shared" si="15"/>
        <v>633622.5</v>
      </c>
    </row>
    <row r="54" spans="1:49" ht="15" customHeight="1">
      <c r="A54" s="140" t="s">
        <v>573</v>
      </c>
      <c r="B54" s="211" t="s">
        <v>96</v>
      </c>
      <c r="C54" s="140" t="str">
        <f t="shared" si="2"/>
        <v>Coulee Christian School-WPCP</v>
      </c>
      <c r="D54" s="140">
        <v>11</v>
      </c>
      <c r="E54" s="140">
        <v>0</v>
      </c>
      <c r="F54" s="140">
        <v>0</v>
      </c>
      <c r="G54" s="140">
        <v>0</v>
      </c>
      <c r="H54" s="140">
        <v>0</v>
      </c>
      <c r="I54" s="140">
        <v>6</v>
      </c>
      <c r="J54" s="140">
        <v>97</v>
      </c>
      <c r="K54" s="140">
        <v>49</v>
      </c>
      <c r="L54" s="140">
        <f t="shared" si="3"/>
        <v>163</v>
      </c>
      <c r="N54" s="140">
        <v>7</v>
      </c>
      <c r="O54" s="140">
        <v>0</v>
      </c>
      <c r="P54" s="140">
        <v>0</v>
      </c>
      <c r="Q54" s="140">
        <v>0</v>
      </c>
      <c r="R54" s="140">
        <v>0</v>
      </c>
      <c r="S54" s="140">
        <v>4</v>
      </c>
      <c r="T54" s="140">
        <v>39</v>
      </c>
      <c r="U54" s="140">
        <v>7</v>
      </c>
      <c r="V54" s="140">
        <f t="shared" si="4"/>
        <v>57</v>
      </c>
      <c r="X54" s="98">
        <v>0</v>
      </c>
      <c r="Y54" s="98">
        <v>0</v>
      </c>
      <c r="Z54" s="98">
        <v>0</v>
      </c>
      <c r="AA54" s="98">
        <v>0</v>
      </c>
      <c r="AB54" s="98">
        <v>0</v>
      </c>
      <c r="AC54" s="98">
        <v>0</v>
      </c>
      <c r="AD54" s="98">
        <v>0</v>
      </c>
      <c r="AE54" s="98">
        <v>0</v>
      </c>
      <c r="AF54" s="98">
        <f t="shared" si="5"/>
        <v>0</v>
      </c>
      <c r="AH54" s="98">
        <v>29</v>
      </c>
      <c r="AJ54" s="98">
        <v>0</v>
      </c>
      <c r="AK54" s="98">
        <v>0</v>
      </c>
      <c r="AL54" s="380">
        <v>0</v>
      </c>
      <c r="AN54" s="214">
        <f t="shared" si="6"/>
        <v>217491.5</v>
      </c>
      <c r="AO54" s="214">
        <f t="shared" si="7"/>
        <v>14080.5</v>
      </c>
      <c r="AP54" s="214">
        <f t="shared" si="8"/>
        <v>0</v>
      </c>
      <c r="AQ54" s="214">
        <f t="shared" si="9"/>
        <v>0</v>
      </c>
      <c r="AR54" s="214">
        <f t="shared" si="10"/>
        <v>0</v>
      </c>
      <c r="AS54" s="214">
        <f t="shared" si="11"/>
        <v>0</v>
      </c>
      <c r="AT54" s="214">
        <f t="shared" si="12"/>
        <v>16092</v>
      </c>
      <c r="AU54" s="214">
        <f t="shared" si="13"/>
        <v>156897</v>
      </c>
      <c r="AV54" s="214">
        <f t="shared" si="14"/>
        <v>30422</v>
      </c>
      <c r="AW54" s="215">
        <f t="shared" si="15"/>
        <v>217491.5</v>
      </c>
    </row>
    <row r="55" spans="1:49" ht="15" customHeight="1">
      <c r="A55" s="140" t="s">
        <v>170</v>
      </c>
      <c r="B55" s="211" t="s">
        <v>187</v>
      </c>
      <c r="C55" s="140" t="str">
        <f t="shared" si="2"/>
        <v>Cristo Rey Jesuit Milwaukee High School-MPCP</v>
      </c>
      <c r="D55" s="140">
        <v>0</v>
      </c>
      <c r="E55" s="140">
        <v>0</v>
      </c>
      <c r="F55" s="140">
        <v>0</v>
      </c>
      <c r="G55" s="140">
        <v>0</v>
      </c>
      <c r="H55" s="140">
        <v>0</v>
      </c>
      <c r="I55" s="140">
        <v>0</v>
      </c>
      <c r="J55" s="140">
        <v>0</v>
      </c>
      <c r="K55" s="140">
        <v>398</v>
      </c>
      <c r="L55" s="140">
        <f t="shared" si="3"/>
        <v>398</v>
      </c>
      <c r="N55" s="140">
        <v>0</v>
      </c>
      <c r="O55" s="140">
        <v>0</v>
      </c>
      <c r="P55" s="140">
        <v>0</v>
      </c>
      <c r="Q55" s="140">
        <v>0</v>
      </c>
      <c r="R55" s="140">
        <v>0</v>
      </c>
      <c r="S55" s="140">
        <v>0</v>
      </c>
      <c r="T55" s="140">
        <v>0</v>
      </c>
      <c r="U55" s="140">
        <v>368</v>
      </c>
      <c r="V55" s="140">
        <f t="shared" si="4"/>
        <v>368</v>
      </c>
      <c r="X55" s="98">
        <v>0</v>
      </c>
      <c r="Y55" s="98">
        <v>0</v>
      </c>
      <c r="Z55" s="98">
        <v>0</v>
      </c>
      <c r="AA55" s="98">
        <v>0</v>
      </c>
      <c r="AB55" s="98">
        <v>0</v>
      </c>
      <c r="AC55" s="98">
        <v>0</v>
      </c>
      <c r="AD55" s="98">
        <v>0</v>
      </c>
      <c r="AE55" s="98">
        <v>0</v>
      </c>
      <c r="AF55" s="98">
        <f t="shared" si="5"/>
        <v>0</v>
      </c>
      <c r="AH55" s="98">
        <v>340</v>
      </c>
      <c r="AJ55" s="98">
        <v>0</v>
      </c>
      <c r="AK55" s="98">
        <v>256</v>
      </c>
      <c r="AL55" s="380">
        <v>65800</v>
      </c>
      <c r="AN55" s="214">
        <f t="shared" si="6"/>
        <v>1599328</v>
      </c>
      <c r="AO55" s="214">
        <f t="shared" si="7"/>
        <v>0</v>
      </c>
      <c r="AP55" s="214">
        <f t="shared" si="8"/>
        <v>0</v>
      </c>
      <c r="AQ55" s="214">
        <f t="shared" si="9"/>
        <v>0</v>
      </c>
      <c r="AR55" s="214">
        <f t="shared" si="10"/>
        <v>0</v>
      </c>
      <c r="AS55" s="214">
        <f t="shared" si="11"/>
        <v>0</v>
      </c>
      <c r="AT55" s="214">
        <f t="shared" si="12"/>
        <v>0</v>
      </c>
      <c r="AU55" s="214">
        <f t="shared" si="13"/>
        <v>0</v>
      </c>
      <c r="AV55" s="214">
        <f t="shared" si="14"/>
        <v>1599328</v>
      </c>
      <c r="AW55" s="215">
        <f t="shared" si="15"/>
        <v>1599328</v>
      </c>
    </row>
    <row r="56" spans="1:49" ht="15" customHeight="1">
      <c r="A56" s="140" t="s">
        <v>170</v>
      </c>
      <c r="B56" s="211" t="s">
        <v>96</v>
      </c>
      <c r="C56" s="140" t="str">
        <f t="shared" si="2"/>
        <v>Cristo Rey Jesuit Milwaukee High School-WPCP</v>
      </c>
      <c r="D56" s="140">
        <v>0</v>
      </c>
      <c r="E56" s="140">
        <v>0</v>
      </c>
      <c r="F56" s="140">
        <v>0</v>
      </c>
      <c r="G56" s="140">
        <v>0</v>
      </c>
      <c r="H56" s="140">
        <v>0</v>
      </c>
      <c r="I56" s="140">
        <v>0</v>
      </c>
      <c r="J56" s="140">
        <v>0</v>
      </c>
      <c r="K56" s="140">
        <v>398</v>
      </c>
      <c r="L56" s="140">
        <f t="shared" si="3"/>
        <v>398</v>
      </c>
      <c r="N56" s="140">
        <v>0</v>
      </c>
      <c r="O56" s="140">
        <v>0</v>
      </c>
      <c r="P56" s="140">
        <v>0</v>
      </c>
      <c r="Q56" s="140">
        <v>0</v>
      </c>
      <c r="R56" s="140">
        <v>0</v>
      </c>
      <c r="S56" s="140">
        <v>0</v>
      </c>
      <c r="T56" s="140">
        <v>0</v>
      </c>
      <c r="U56" s="140">
        <v>13</v>
      </c>
      <c r="V56" s="140">
        <f t="shared" si="4"/>
        <v>13</v>
      </c>
      <c r="X56" s="98">
        <v>0</v>
      </c>
      <c r="Y56" s="98">
        <v>0</v>
      </c>
      <c r="Z56" s="98">
        <v>0</v>
      </c>
      <c r="AA56" s="98">
        <v>0</v>
      </c>
      <c r="AB56" s="98">
        <v>0</v>
      </c>
      <c r="AC56" s="98">
        <v>0</v>
      </c>
      <c r="AD56" s="98">
        <v>0</v>
      </c>
      <c r="AE56" s="98">
        <v>4</v>
      </c>
      <c r="AF56" s="98">
        <f t="shared" si="5"/>
        <v>4</v>
      </c>
      <c r="AH56" s="98">
        <v>12</v>
      </c>
      <c r="AJ56" s="98">
        <v>0</v>
      </c>
      <c r="AK56" s="98">
        <v>8</v>
      </c>
      <c r="AL56" s="380">
        <v>2660</v>
      </c>
      <c r="AN56" s="214">
        <f t="shared" si="6"/>
        <v>56498</v>
      </c>
      <c r="AO56" s="214">
        <f t="shared" si="7"/>
        <v>0</v>
      </c>
      <c r="AP56" s="214">
        <f t="shared" si="8"/>
        <v>0</v>
      </c>
      <c r="AQ56" s="214">
        <f t="shared" si="9"/>
        <v>0</v>
      </c>
      <c r="AR56" s="214">
        <f t="shared" si="10"/>
        <v>0</v>
      </c>
      <c r="AS56" s="214">
        <f t="shared" si="11"/>
        <v>0</v>
      </c>
      <c r="AT56" s="214">
        <f t="shared" si="12"/>
        <v>0</v>
      </c>
      <c r="AU56" s="214">
        <f t="shared" si="13"/>
        <v>0</v>
      </c>
      <c r="AV56" s="214">
        <f t="shared" si="14"/>
        <v>56498</v>
      </c>
      <c r="AW56" s="215">
        <f t="shared" si="15"/>
        <v>56498</v>
      </c>
    </row>
    <row r="57" spans="1:49" ht="15" customHeight="1">
      <c r="A57" s="140" t="s">
        <v>441</v>
      </c>
      <c r="B57" s="211" t="s">
        <v>187</v>
      </c>
      <c r="C57" s="140" t="str">
        <f t="shared" si="2"/>
        <v>Cross Trainers Academy-MPCP</v>
      </c>
      <c r="D57" s="140">
        <v>0</v>
      </c>
      <c r="E57" s="140">
        <v>19</v>
      </c>
      <c r="F57" s="140">
        <v>0</v>
      </c>
      <c r="G57" s="140">
        <v>0</v>
      </c>
      <c r="H57" s="140">
        <v>0</v>
      </c>
      <c r="I57" s="140">
        <v>31</v>
      </c>
      <c r="J57" s="140">
        <v>257</v>
      </c>
      <c r="K57" s="140">
        <v>60</v>
      </c>
      <c r="L57" s="140">
        <f t="shared" si="3"/>
        <v>367</v>
      </c>
      <c r="N57" s="140">
        <v>0</v>
      </c>
      <c r="O57" s="140">
        <v>19</v>
      </c>
      <c r="P57" s="140">
        <v>0</v>
      </c>
      <c r="Q57" s="140">
        <v>0</v>
      </c>
      <c r="R57" s="140">
        <v>0</v>
      </c>
      <c r="S57" s="140">
        <v>30</v>
      </c>
      <c r="T57" s="140">
        <v>247</v>
      </c>
      <c r="U57" s="140">
        <v>54</v>
      </c>
      <c r="V57" s="140">
        <f t="shared" si="4"/>
        <v>350</v>
      </c>
      <c r="X57" s="98">
        <v>0</v>
      </c>
      <c r="Y57" s="98">
        <v>0</v>
      </c>
      <c r="Z57" s="98">
        <v>0</v>
      </c>
      <c r="AA57" s="98">
        <v>0</v>
      </c>
      <c r="AB57" s="98">
        <v>0</v>
      </c>
      <c r="AC57" s="98">
        <v>0</v>
      </c>
      <c r="AD57" s="98">
        <v>3</v>
      </c>
      <c r="AE57" s="98">
        <v>0</v>
      </c>
      <c r="AF57" s="98">
        <f t="shared" si="5"/>
        <v>3</v>
      </c>
      <c r="AH57" s="98">
        <v>214</v>
      </c>
      <c r="AJ57" s="98">
        <v>0</v>
      </c>
      <c r="AK57" s="98">
        <v>0</v>
      </c>
      <c r="AL57" s="380">
        <v>0</v>
      </c>
      <c r="AN57" s="214">
        <f t="shared" si="6"/>
        <v>1394917.2</v>
      </c>
      <c r="AO57" s="214">
        <f t="shared" si="7"/>
        <v>0</v>
      </c>
      <c r="AP57" s="214">
        <f t="shared" si="8"/>
        <v>45862.2</v>
      </c>
      <c r="AQ57" s="214">
        <f t="shared" si="9"/>
        <v>0</v>
      </c>
      <c r="AR57" s="214">
        <f t="shared" si="10"/>
        <v>0</v>
      </c>
      <c r="AS57" s="214">
        <f t="shared" si="11"/>
        <v>0</v>
      </c>
      <c r="AT57" s="214">
        <f t="shared" si="12"/>
        <v>120690</v>
      </c>
      <c r="AU57" s="214">
        <f t="shared" si="13"/>
        <v>993681</v>
      </c>
      <c r="AV57" s="214">
        <f t="shared" si="14"/>
        <v>234684</v>
      </c>
      <c r="AW57" s="215">
        <f t="shared" si="15"/>
        <v>1394917.2</v>
      </c>
    </row>
    <row r="58" spans="1:49" ht="15" customHeight="1">
      <c r="A58" s="140" t="s">
        <v>574</v>
      </c>
      <c r="B58" s="211" t="s">
        <v>96</v>
      </c>
      <c r="C58" s="140" t="str">
        <f t="shared" si="2"/>
        <v>Crown of Life Christian Academy-WPCP</v>
      </c>
      <c r="D58" s="140">
        <v>20</v>
      </c>
      <c r="E58" s="140">
        <v>0</v>
      </c>
      <c r="F58" s="140">
        <v>0</v>
      </c>
      <c r="G58" s="140">
        <v>0</v>
      </c>
      <c r="H58" s="140">
        <v>0</v>
      </c>
      <c r="I58" s="140">
        <v>13</v>
      </c>
      <c r="J58" s="140">
        <v>81</v>
      </c>
      <c r="K58" s="140">
        <v>0</v>
      </c>
      <c r="L58" s="140">
        <f t="shared" si="3"/>
        <v>114</v>
      </c>
      <c r="N58" s="140">
        <v>5</v>
      </c>
      <c r="O58" s="140">
        <v>0</v>
      </c>
      <c r="P58" s="140">
        <v>0</v>
      </c>
      <c r="Q58" s="140">
        <v>0</v>
      </c>
      <c r="R58" s="140">
        <v>0</v>
      </c>
      <c r="S58" s="140">
        <v>8</v>
      </c>
      <c r="T58" s="140">
        <v>23</v>
      </c>
      <c r="U58" s="140">
        <v>0</v>
      </c>
      <c r="V58" s="140">
        <f t="shared" si="4"/>
        <v>36</v>
      </c>
      <c r="X58" s="98">
        <v>0</v>
      </c>
      <c r="Y58" s="98">
        <v>0</v>
      </c>
      <c r="Z58" s="98">
        <v>0</v>
      </c>
      <c r="AA58" s="98">
        <v>0</v>
      </c>
      <c r="AB58" s="98">
        <v>0</v>
      </c>
      <c r="AC58" s="98">
        <v>0</v>
      </c>
      <c r="AD58" s="98">
        <v>0</v>
      </c>
      <c r="AE58" s="98">
        <v>0</v>
      </c>
      <c r="AF58" s="98">
        <f t="shared" si="5"/>
        <v>0</v>
      </c>
      <c r="AH58" s="98">
        <v>23</v>
      </c>
      <c r="AJ58" s="98">
        <v>0</v>
      </c>
      <c r="AK58" s="98">
        <v>0</v>
      </c>
      <c r="AL58" s="380">
        <v>0</v>
      </c>
      <c r="AN58" s="214">
        <f t="shared" si="6"/>
        <v>134770.5</v>
      </c>
      <c r="AO58" s="214">
        <f t="shared" si="7"/>
        <v>10057.5</v>
      </c>
      <c r="AP58" s="214">
        <f t="shared" si="8"/>
        <v>0</v>
      </c>
      <c r="AQ58" s="214">
        <f t="shared" si="9"/>
        <v>0</v>
      </c>
      <c r="AR58" s="214">
        <f t="shared" si="10"/>
        <v>0</v>
      </c>
      <c r="AS58" s="214">
        <f t="shared" si="11"/>
        <v>0</v>
      </c>
      <c r="AT58" s="214">
        <f t="shared" si="12"/>
        <v>32184</v>
      </c>
      <c r="AU58" s="214">
        <f t="shared" si="13"/>
        <v>92529</v>
      </c>
      <c r="AV58" s="214">
        <f t="shared" si="14"/>
        <v>0</v>
      </c>
      <c r="AW58" s="215">
        <f t="shared" si="15"/>
        <v>134770.5</v>
      </c>
    </row>
    <row r="59" spans="1:49" ht="15" customHeight="1">
      <c r="A59" s="140" t="s">
        <v>105</v>
      </c>
      <c r="B59" s="211" t="s">
        <v>187</v>
      </c>
      <c r="C59" s="140" t="str">
        <f t="shared" si="2"/>
        <v>Destiny High School-MPCP</v>
      </c>
      <c r="D59" s="140">
        <v>0</v>
      </c>
      <c r="E59" s="140">
        <v>0</v>
      </c>
      <c r="F59" s="140">
        <v>0</v>
      </c>
      <c r="G59" s="140">
        <v>0</v>
      </c>
      <c r="H59" s="140">
        <v>0</v>
      </c>
      <c r="I59" s="140">
        <v>0</v>
      </c>
      <c r="J59" s="140">
        <v>0</v>
      </c>
      <c r="K59" s="140">
        <v>253</v>
      </c>
      <c r="L59" s="140">
        <f t="shared" si="3"/>
        <v>253</v>
      </c>
      <c r="N59" s="140">
        <v>0</v>
      </c>
      <c r="O59" s="140">
        <v>0</v>
      </c>
      <c r="P59" s="140">
        <v>0</v>
      </c>
      <c r="Q59" s="140">
        <v>0</v>
      </c>
      <c r="R59" s="140">
        <v>0</v>
      </c>
      <c r="S59" s="140">
        <v>0</v>
      </c>
      <c r="T59" s="140">
        <v>0</v>
      </c>
      <c r="U59" s="140">
        <v>253</v>
      </c>
      <c r="V59" s="140">
        <f t="shared" si="4"/>
        <v>253</v>
      </c>
      <c r="X59" s="98">
        <v>0</v>
      </c>
      <c r="Y59" s="98">
        <v>0</v>
      </c>
      <c r="Z59" s="98">
        <v>0</v>
      </c>
      <c r="AA59" s="98">
        <v>0</v>
      </c>
      <c r="AB59" s="98">
        <v>0</v>
      </c>
      <c r="AC59" s="98">
        <v>0</v>
      </c>
      <c r="AD59" s="98">
        <v>0</v>
      </c>
      <c r="AE59" s="98">
        <v>0</v>
      </c>
      <c r="AF59" s="98">
        <f t="shared" si="5"/>
        <v>0</v>
      </c>
      <c r="AH59" s="98">
        <v>228</v>
      </c>
      <c r="AJ59" s="98">
        <v>0</v>
      </c>
      <c r="AK59" s="98">
        <v>35</v>
      </c>
      <c r="AL59" s="380">
        <v>14700</v>
      </c>
      <c r="AN59" s="214">
        <f t="shared" si="6"/>
        <v>1099538</v>
      </c>
      <c r="AO59" s="214">
        <f t="shared" si="7"/>
        <v>0</v>
      </c>
      <c r="AP59" s="214">
        <f t="shared" si="8"/>
        <v>0</v>
      </c>
      <c r="AQ59" s="214">
        <f t="shared" si="9"/>
        <v>0</v>
      </c>
      <c r="AR59" s="214">
        <f t="shared" si="10"/>
        <v>0</v>
      </c>
      <c r="AS59" s="214">
        <f t="shared" si="11"/>
        <v>0</v>
      </c>
      <c r="AT59" s="214">
        <f t="shared" si="12"/>
        <v>0</v>
      </c>
      <c r="AU59" s="214">
        <f t="shared" si="13"/>
        <v>0</v>
      </c>
      <c r="AV59" s="214">
        <f t="shared" si="14"/>
        <v>1099538</v>
      </c>
      <c r="AW59" s="215">
        <f t="shared" si="15"/>
        <v>1099538</v>
      </c>
    </row>
    <row r="60" spans="1:49" ht="15" customHeight="1">
      <c r="A60" s="140" t="s">
        <v>106</v>
      </c>
      <c r="B60" s="211" t="s">
        <v>187</v>
      </c>
      <c r="C60" s="140" t="str">
        <f t="shared" si="2"/>
        <v>Divine Destiny School-MPCP</v>
      </c>
      <c r="D60" s="140">
        <v>21</v>
      </c>
      <c r="E60" s="140">
        <v>0</v>
      </c>
      <c r="F60" s="140">
        <v>0</v>
      </c>
      <c r="G60" s="140">
        <v>0</v>
      </c>
      <c r="H60" s="140">
        <v>0</v>
      </c>
      <c r="I60" s="140">
        <v>7</v>
      </c>
      <c r="J60" s="140">
        <v>97</v>
      </c>
      <c r="K60" s="140">
        <v>0</v>
      </c>
      <c r="L60" s="140">
        <f t="shared" si="3"/>
        <v>125</v>
      </c>
      <c r="N60" s="140">
        <v>21</v>
      </c>
      <c r="O60" s="140">
        <v>0</v>
      </c>
      <c r="P60" s="140">
        <v>0</v>
      </c>
      <c r="Q60" s="140">
        <v>0</v>
      </c>
      <c r="R60" s="140">
        <v>0</v>
      </c>
      <c r="S60" s="140">
        <v>7</v>
      </c>
      <c r="T60" s="140">
        <v>97</v>
      </c>
      <c r="U60" s="140">
        <v>0</v>
      </c>
      <c r="V60" s="140">
        <f t="shared" si="4"/>
        <v>125</v>
      </c>
      <c r="X60" s="98">
        <v>0</v>
      </c>
      <c r="Y60" s="98">
        <v>0</v>
      </c>
      <c r="Z60" s="98">
        <v>0</v>
      </c>
      <c r="AA60" s="98">
        <v>0</v>
      </c>
      <c r="AB60" s="98">
        <v>0</v>
      </c>
      <c r="AC60" s="98">
        <v>0</v>
      </c>
      <c r="AD60" s="98">
        <v>0</v>
      </c>
      <c r="AE60" s="98">
        <v>0</v>
      </c>
      <c r="AF60" s="98">
        <f t="shared" si="5"/>
        <v>0</v>
      </c>
      <c r="AH60" s="98">
        <v>74</v>
      </c>
      <c r="AJ60" s="98">
        <v>0</v>
      </c>
      <c r="AK60" s="98">
        <v>0</v>
      </c>
      <c r="AL60" s="380">
        <v>0</v>
      </c>
      <c r="AN60" s="214">
        <f t="shared" si="6"/>
        <v>460633.5</v>
      </c>
      <c r="AO60" s="214">
        <f t="shared" si="7"/>
        <v>42241.5</v>
      </c>
      <c r="AP60" s="214">
        <f t="shared" si="8"/>
        <v>0</v>
      </c>
      <c r="AQ60" s="214">
        <f t="shared" si="9"/>
        <v>0</v>
      </c>
      <c r="AR60" s="214">
        <f t="shared" si="10"/>
        <v>0</v>
      </c>
      <c r="AS60" s="214">
        <f t="shared" si="11"/>
        <v>0</v>
      </c>
      <c r="AT60" s="214">
        <f t="shared" si="12"/>
        <v>28161</v>
      </c>
      <c r="AU60" s="214">
        <f t="shared" si="13"/>
        <v>390231</v>
      </c>
      <c r="AV60" s="214">
        <f t="shared" si="14"/>
        <v>0</v>
      </c>
      <c r="AW60" s="215">
        <f t="shared" si="15"/>
        <v>460633.5</v>
      </c>
    </row>
    <row r="61" spans="1:49" ht="15" customHeight="1">
      <c r="A61" s="140" t="s">
        <v>107</v>
      </c>
      <c r="B61" s="211" t="s">
        <v>187</v>
      </c>
      <c r="C61" s="140" t="str">
        <f t="shared" si="2"/>
        <v>Divine Mercy School-MPCP</v>
      </c>
      <c r="D61" s="140">
        <v>0</v>
      </c>
      <c r="E61" s="140">
        <v>23</v>
      </c>
      <c r="F61" s="140">
        <v>0</v>
      </c>
      <c r="G61" s="140">
        <v>0</v>
      </c>
      <c r="H61" s="140">
        <v>0</v>
      </c>
      <c r="I61" s="140">
        <v>15</v>
      </c>
      <c r="J61" s="140">
        <v>137</v>
      </c>
      <c r="K61" s="140">
        <v>0</v>
      </c>
      <c r="L61" s="140">
        <f t="shared" si="3"/>
        <v>175</v>
      </c>
      <c r="N61" s="140">
        <v>0</v>
      </c>
      <c r="O61" s="140">
        <v>2</v>
      </c>
      <c r="P61" s="140">
        <v>0</v>
      </c>
      <c r="Q61" s="140">
        <v>0</v>
      </c>
      <c r="R61" s="140">
        <v>0</v>
      </c>
      <c r="S61" s="140">
        <v>0</v>
      </c>
      <c r="T61" s="140">
        <v>31</v>
      </c>
      <c r="U61" s="140">
        <v>0</v>
      </c>
      <c r="V61" s="140">
        <f t="shared" si="4"/>
        <v>33</v>
      </c>
      <c r="X61" s="98">
        <v>0</v>
      </c>
      <c r="Y61" s="98">
        <v>0</v>
      </c>
      <c r="Z61" s="98">
        <v>0</v>
      </c>
      <c r="AA61" s="98">
        <v>0</v>
      </c>
      <c r="AB61" s="98">
        <v>0</v>
      </c>
      <c r="AC61" s="98">
        <v>0</v>
      </c>
      <c r="AD61" s="98">
        <v>0</v>
      </c>
      <c r="AE61" s="98">
        <v>0</v>
      </c>
      <c r="AF61" s="98">
        <f t="shared" si="5"/>
        <v>0</v>
      </c>
      <c r="AH61" s="98">
        <v>20</v>
      </c>
      <c r="AJ61" s="98">
        <v>0</v>
      </c>
      <c r="AK61" s="98">
        <v>0</v>
      </c>
      <c r="AL61" s="380">
        <v>0</v>
      </c>
      <c r="AN61" s="214">
        <f t="shared" si="6"/>
        <v>129540.6</v>
      </c>
      <c r="AO61" s="214">
        <f t="shared" si="7"/>
        <v>0</v>
      </c>
      <c r="AP61" s="214">
        <f t="shared" si="8"/>
        <v>4827.6</v>
      </c>
      <c r="AQ61" s="214">
        <f t="shared" si="9"/>
        <v>0</v>
      </c>
      <c r="AR61" s="214">
        <f t="shared" si="10"/>
        <v>0</v>
      </c>
      <c r="AS61" s="214">
        <f t="shared" si="11"/>
        <v>0</v>
      </c>
      <c r="AT61" s="214">
        <f t="shared" si="12"/>
        <v>0</v>
      </c>
      <c r="AU61" s="214">
        <f t="shared" si="13"/>
        <v>124713</v>
      </c>
      <c r="AV61" s="214">
        <f t="shared" si="14"/>
        <v>0</v>
      </c>
      <c r="AW61" s="215">
        <f t="shared" si="15"/>
        <v>129540.6</v>
      </c>
    </row>
    <row r="62" spans="1:49" ht="15" customHeight="1">
      <c r="A62" s="140" t="s">
        <v>107</v>
      </c>
      <c r="B62" s="211" t="s">
        <v>96</v>
      </c>
      <c r="C62" s="140" t="str">
        <f t="shared" si="2"/>
        <v>Divine Mercy School-WPCP</v>
      </c>
      <c r="D62" s="140">
        <v>0</v>
      </c>
      <c r="E62" s="140">
        <v>23</v>
      </c>
      <c r="F62" s="140">
        <v>0</v>
      </c>
      <c r="G62" s="140">
        <v>0</v>
      </c>
      <c r="H62" s="140">
        <v>0</v>
      </c>
      <c r="I62" s="140">
        <v>15</v>
      </c>
      <c r="J62" s="140">
        <v>137</v>
      </c>
      <c r="K62" s="140">
        <v>0</v>
      </c>
      <c r="L62" s="140">
        <f t="shared" si="3"/>
        <v>175</v>
      </c>
      <c r="N62" s="140">
        <v>0</v>
      </c>
      <c r="O62" s="140">
        <v>7</v>
      </c>
      <c r="P62" s="140">
        <v>0</v>
      </c>
      <c r="Q62" s="140">
        <v>0</v>
      </c>
      <c r="R62" s="140">
        <v>0</v>
      </c>
      <c r="S62" s="140">
        <v>5</v>
      </c>
      <c r="T62" s="140">
        <v>26</v>
      </c>
      <c r="U62" s="140">
        <v>0</v>
      </c>
      <c r="V62" s="140">
        <f t="shared" si="4"/>
        <v>38</v>
      </c>
      <c r="X62" s="98">
        <v>0</v>
      </c>
      <c r="Y62" s="98">
        <v>0</v>
      </c>
      <c r="Z62" s="98">
        <v>0</v>
      </c>
      <c r="AA62" s="98">
        <v>0</v>
      </c>
      <c r="AB62" s="98">
        <v>0</v>
      </c>
      <c r="AC62" s="98">
        <v>0</v>
      </c>
      <c r="AD62" s="98">
        <v>0</v>
      </c>
      <c r="AE62" s="98">
        <v>0</v>
      </c>
      <c r="AF62" s="98">
        <f t="shared" si="5"/>
        <v>0</v>
      </c>
      <c r="AH62" s="98">
        <v>24</v>
      </c>
      <c r="AJ62" s="98">
        <v>0</v>
      </c>
      <c r="AK62" s="98">
        <v>0</v>
      </c>
      <c r="AL62" s="380">
        <v>0</v>
      </c>
      <c r="AN62" s="214">
        <f t="shared" si="6"/>
        <v>141609.6</v>
      </c>
      <c r="AO62" s="214">
        <f t="shared" si="7"/>
        <v>0</v>
      </c>
      <c r="AP62" s="214">
        <f t="shared" si="8"/>
        <v>16896.6</v>
      </c>
      <c r="AQ62" s="214">
        <f t="shared" si="9"/>
        <v>0</v>
      </c>
      <c r="AR62" s="214">
        <f t="shared" si="10"/>
        <v>0</v>
      </c>
      <c r="AS62" s="214">
        <f t="shared" si="11"/>
        <v>0</v>
      </c>
      <c r="AT62" s="214">
        <f t="shared" si="12"/>
        <v>20115</v>
      </c>
      <c r="AU62" s="214">
        <f t="shared" si="13"/>
        <v>104598</v>
      </c>
      <c r="AV62" s="214">
        <f t="shared" si="14"/>
        <v>0</v>
      </c>
      <c r="AW62" s="215">
        <f t="shared" si="15"/>
        <v>141609.6</v>
      </c>
    </row>
    <row r="63" spans="1:49" ht="15" customHeight="1">
      <c r="A63" s="140" t="s">
        <v>309</v>
      </c>
      <c r="B63" s="211" t="s">
        <v>96</v>
      </c>
      <c r="C63" s="140" t="str">
        <f t="shared" si="2"/>
        <v>Divine Redeemer Lutheran School-WPCP</v>
      </c>
      <c r="D63" s="140">
        <v>37</v>
      </c>
      <c r="E63" s="140">
        <v>0</v>
      </c>
      <c r="F63" s="140">
        <v>0</v>
      </c>
      <c r="G63" s="140">
        <v>0</v>
      </c>
      <c r="H63" s="140">
        <v>0</v>
      </c>
      <c r="I63" s="140">
        <v>19</v>
      </c>
      <c r="J63" s="140">
        <v>227</v>
      </c>
      <c r="K63" s="140">
        <v>0</v>
      </c>
      <c r="L63" s="140">
        <f t="shared" si="3"/>
        <v>283</v>
      </c>
      <c r="N63" s="140">
        <v>11</v>
      </c>
      <c r="O63" s="140">
        <v>0</v>
      </c>
      <c r="P63" s="140">
        <v>0</v>
      </c>
      <c r="Q63" s="140">
        <v>0</v>
      </c>
      <c r="R63" s="140">
        <v>0</v>
      </c>
      <c r="S63" s="140">
        <v>2</v>
      </c>
      <c r="T63" s="140">
        <v>28</v>
      </c>
      <c r="U63" s="140">
        <v>0</v>
      </c>
      <c r="V63" s="140">
        <f t="shared" si="4"/>
        <v>41</v>
      </c>
      <c r="X63" s="98">
        <v>0</v>
      </c>
      <c r="Y63" s="98">
        <v>0</v>
      </c>
      <c r="Z63" s="98">
        <v>0</v>
      </c>
      <c r="AA63" s="98">
        <v>0</v>
      </c>
      <c r="AB63" s="98">
        <v>0</v>
      </c>
      <c r="AC63" s="98">
        <v>0</v>
      </c>
      <c r="AD63" s="98">
        <v>0</v>
      </c>
      <c r="AE63" s="98">
        <v>0</v>
      </c>
      <c r="AF63" s="98">
        <f t="shared" si="5"/>
        <v>0</v>
      </c>
      <c r="AH63" s="98">
        <v>26</v>
      </c>
      <c r="AJ63" s="98">
        <v>0</v>
      </c>
      <c r="AK63" s="98">
        <v>0</v>
      </c>
      <c r="AL63" s="380">
        <v>0</v>
      </c>
      <c r="AN63" s="214">
        <f t="shared" si="6"/>
        <v>142816.5</v>
      </c>
      <c r="AO63" s="214">
        <f t="shared" si="7"/>
        <v>22126.5</v>
      </c>
      <c r="AP63" s="214">
        <f t="shared" si="8"/>
        <v>0</v>
      </c>
      <c r="AQ63" s="214">
        <f t="shared" si="9"/>
        <v>0</v>
      </c>
      <c r="AR63" s="214">
        <f t="shared" si="10"/>
        <v>0</v>
      </c>
      <c r="AS63" s="214">
        <f t="shared" si="11"/>
        <v>0</v>
      </c>
      <c r="AT63" s="214">
        <f t="shared" si="12"/>
        <v>8046</v>
      </c>
      <c r="AU63" s="214">
        <f t="shared" si="13"/>
        <v>112644</v>
      </c>
      <c r="AV63" s="214">
        <f t="shared" si="14"/>
        <v>0</v>
      </c>
      <c r="AW63" s="215">
        <f t="shared" si="15"/>
        <v>142816.5</v>
      </c>
    </row>
    <row r="64" spans="1:49" ht="15" customHeight="1">
      <c r="A64" s="140" t="s">
        <v>339</v>
      </c>
      <c r="B64" s="211" t="s">
        <v>96</v>
      </c>
      <c r="C64" s="140" t="str">
        <f t="shared" si="2"/>
        <v>Divine Savior Catholic School-WPCP</v>
      </c>
      <c r="D64" s="140">
        <v>10</v>
      </c>
      <c r="E64" s="140">
        <v>0</v>
      </c>
      <c r="F64" s="140">
        <v>0</v>
      </c>
      <c r="G64" s="140">
        <v>0</v>
      </c>
      <c r="H64" s="140">
        <v>0</v>
      </c>
      <c r="I64" s="140">
        <v>10</v>
      </c>
      <c r="J64" s="140">
        <v>59</v>
      </c>
      <c r="K64" s="140">
        <v>0</v>
      </c>
      <c r="L64" s="140">
        <f t="shared" si="3"/>
        <v>79</v>
      </c>
      <c r="N64" s="140">
        <v>4</v>
      </c>
      <c r="O64" s="140">
        <v>0</v>
      </c>
      <c r="P64" s="140">
        <v>0</v>
      </c>
      <c r="Q64" s="140">
        <v>0</v>
      </c>
      <c r="R64" s="140">
        <v>0</v>
      </c>
      <c r="S64" s="140">
        <v>2</v>
      </c>
      <c r="T64" s="140">
        <v>10</v>
      </c>
      <c r="U64" s="140">
        <v>0</v>
      </c>
      <c r="V64" s="140">
        <f t="shared" si="4"/>
        <v>16</v>
      </c>
      <c r="X64" s="98">
        <v>0</v>
      </c>
      <c r="Y64" s="98">
        <v>0</v>
      </c>
      <c r="Z64" s="98">
        <v>0</v>
      </c>
      <c r="AA64" s="98">
        <v>0</v>
      </c>
      <c r="AB64" s="98">
        <v>0</v>
      </c>
      <c r="AC64" s="98">
        <v>0</v>
      </c>
      <c r="AD64" s="98">
        <v>0</v>
      </c>
      <c r="AE64" s="98">
        <v>0</v>
      </c>
      <c r="AF64" s="98">
        <f t="shared" si="5"/>
        <v>0</v>
      </c>
      <c r="AH64" s="98">
        <v>9</v>
      </c>
      <c r="AJ64" s="98">
        <v>0</v>
      </c>
      <c r="AK64" s="98">
        <v>0</v>
      </c>
      <c r="AL64" s="380">
        <v>0</v>
      </c>
      <c r="AN64" s="214">
        <f t="shared" si="6"/>
        <v>56322</v>
      </c>
      <c r="AO64" s="214">
        <f t="shared" si="7"/>
        <v>8046</v>
      </c>
      <c r="AP64" s="214">
        <f t="shared" si="8"/>
        <v>0</v>
      </c>
      <c r="AQ64" s="214">
        <f t="shared" si="9"/>
        <v>0</v>
      </c>
      <c r="AR64" s="214">
        <f t="shared" si="10"/>
        <v>0</v>
      </c>
      <c r="AS64" s="214">
        <f t="shared" si="11"/>
        <v>0</v>
      </c>
      <c r="AT64" s="214">
        <f t="shared" si="12"/>
        <v>8046</v>
      </c>
      <c r="AU64" s="214">
        <f t="shared" si="13"/>
        <v>40230</v>
      </c>
      <c r="AV64" s="214">
        <f t="shared" si="14"/>
        <v>0</v>
      </c>
      <c r="AW64" s="215">
        <f t="shared" si="15"/>
        <v>56322</v>
      </c>
    </row>
    <row r="65" spans="1:49" ht="15" customHeight="1">
      <c r="A65" s="140" t="s">
        <v>218</v>
      </c>
      <c r="B65" s="211" t="s">
        <v>187</v>
      </c>
      <c r="C65" s="140" t="str">
        <f t="shared" si="2"/>
        <v>Divine Savior Holy Angels High School-MPCP</v>
      </c>
      <c r="D65" s="140">
        <v>0</v>
      </c>
      <c r="E65" s="140">
        <v>0</v>
      </c>
      <c r="F65" s="140">
        <v>0</v>
      </c>
      <c r="G65" s="140">
        <v>0</v>
      </c>
      <c r="H65" s="140">
        <v>0</v>
      </c>
      <c r="I65" s="140">
        <v>0</v>
      </c>
      <c r="J65" s="140">
        <v>0</v>
      </c>
      <c r="K65" s="140">
        <v>696</v>
      </c>
      <c r="L65" s="140">
        <f t="shared" si="3"/>
        <v>696</v>
      </c>
      <c r="N65" s="140">
        <v>0</v>
      </c>
      <c r="O65" s="140">
        <v>0</v>
      </c>
      <c r="P65" s="140">
        <v>0</v>
      </c>
      <c r="Q65" s="140">
        <v>0</v>
      </c>
      <c r="R65" s="140">
        <v>0</v>
      </c>
      <c r="S65" s="140">
        <v>0</v>
      </c>
      <c r="T65" s="140">
        <v>0</v>
      </c>
      <c r="U65" s="140">
        <v>117</v>
      </c>
      <c r="V65" s="140">
        <f t="shared" si="4"/>
        <v>117</v>
      </c>
      <c r="X65" s="98">
        <v>0</v>
      </c>
      <c r="Y65" s="98">
        <v>0</v>
      </c>
      <c r="Z65" s="98">
        <v>0</v>
      </c>
      <c r="AA65" s="98">
        <v>0</v>
      </c>
      <c r="AB65" s="98">
        <v>0</v>
      </c>
      <c r="AC65" s="98">
        <v>0</v>
      </c>
      <c r="AD65" s="98">
        <v>0</v>
      </c>
      <c r="AE65" s="98">
        <v>40</v>
      </c>
      <c r="AF65" s="98">
        <f t="shared" si="5"/>
        <v>40</v>
      </c>
      <c r="AH65" s="98">
        <v>107</v>
      </c>
      <c r="AJ65" s="98">
        <v>0</v>
      </c>
      <c r="AK65" s="98">
        <v>0</v>
      </c>
      <c r="AL65" s="380">
        <v>0</v>
      </c>
      <c r="AN65" s="214">
        <f t="shared" si="6"/>
        <v>508482</v>
      </c>
      <c r="AO65" s="214">
        <f t="shared" si="7"/>
        <v>0</v>
      </c>
      <c r="AP65" s="214">
        <f t="shared" si="8"/>
        <v>0</v>
      </c>
      <c r="AQ65" s="214">
        <f t="shared" si="9"/>
        <v>0</v>
      </c>
      <c r="AR65" s="214">
        <f t="shared" si="10"/>
        <v>0</v>
      </c>
      <c r="AS65" s="214">
        <f t="shared" si="11"/>
        <v>0</v>
      </c>
      <c r="AT65" s="214">
        <f t="shared" si="12"/>
        <v>0</v>
      </c>
      <c r="AU65" s="214">
        <f t="shared" si="13"/>
        <v>0</v>
      </c>
      <c r="AV65" s="214">
        <f t="shared" si="14"/>
        <v>508482</v>
      </c>
      <c r="AW65" s="215">
        <f t="shared" si="15"/>
        <v>508482</v>
      </c>
    </row>
    <row r="66" spans="1:49" ht="15" customHeight="1">
      <c r="A66" s="140" t="s">
        <v>108</v>
      </c>
      <c r="B66" s="211" t="s">
        <v>187</v>
      </c>
      <c r="C66" s="140" t="str">
        <f t="shared" si="2"/>
        <v>Dominican High School-MPCP</v>
      </c>
      <c r="D66" s="140">
        <v>0</v>
      </c>
      <c r="E66" s="140">
        <v>0</v>
      </c>
      <c r="F66" s="140">
        <v>0</v>
      </c>
      <c r="G66" s="140">
        <v>0</v>
      </c>
      <c r="H66" s="140">
        <v>0</v>
      </c>
      <c r="I66" s="140">
        <v>0</v>
      </c>
      <c r="J66" s="140">
        <v>0</v>
      </c>
      <c r="K66" s="140">
        <v>333</v>
      </c>
      <c r="L66" s="140">
        <f t="shared" si="3"/>
        <v>333</v>
      </c>
      <c r="N66" s="140">
        <v>0</v>
      </c>
      <c r="O66" s="140">
        <v>0</v>
      </c>
      <c r="P66" s="140">
        <v>0</v>
      </c>
      <c r="Q66" s="140">
        <v>0</v>
      </c>
      <c r="R66" s="140">
        <v>0</v>
      </c>
      <c r="S66" s="140">
        <v>0</v>
      </c>
      <c r="T66" s="140">
        <v>0</v>
      </c>
      <c r="U66" s="140">
        <v>88</v>
      </c>
      <c r="V66" s="140">
        <f t="shared" si="4"/>
        <v>88</v>
      </c>
      <c r="X66" s="98">
        <v>0</v>
      </c>
      <c r="Y66" s="98">
        <v>0</v>
      </c>
      <c r="Z66" s="98">
        <v>0</v>
      </c>
      <c r="AA66" s="98">
        <v>0</v>
      </c>
      <c r="AB66" s="98">
        <v>0</v>
      </c>
      <c r="AC66" s="98">
        <v>0</v>
      </c>
      <c r="AD66" s="98">
        <v>0</v>
      </c>
      <c r="AE66" s="98">
        <v>114</v>
      </c>
      <c r="AF66" s="98">
        <f t="shared" si="5"/>
        <v>114</v>
      </c>
      <c r="AH66" s="98">
        <v>80</v>
      </c>
      <c r="AJ66" s="98">
        <v>0</v>
      </c>
      <c r="AK66" s="98">
        <v>0</v>
      </c>
      <c r="AL66" s="380">
        <v>0</v>
      </c>
      <c r="AN66" s="214">
        <f t="shared" si="6"/>
        <v>382448</v>
      </c>
      <c r="AO66" s="214">
        <f t="shared" si="7"/>
        <v>0</v>
      </c>
      <c r="AP66" s="214">
        <f t="shared" si="8"/>
        <v>0</v>
      </c>
      <c r="AQ66" s="214">
        <f t="shared" si="9"/>
        <v>0</v>
      </c>
      <c r="AR66" s="214">
        <f t="shared" si="10"/>
        <v>0</v>
      </c>
      <c r="AS66" s="214">
        <f t="shared" si="11"/>
        <v>0</v>
      </c>
      <c r="AT66" s="214">
        <f t="shared" si="12"/>
        <v>0</v>
      </c>
      <c r="AU66" s="214">
        <f t="shared" si="13"/>
        <v>0</v>
      </c>
      <c r="AV66" s="214">
        <f t="shared" si="14"/>
        <v>382448</v>
      </c>
      <c r="AW66" s="215">
        <f t="shared" si="15"/>
        <v>382448</v>
      </c>
    </row>
    <row r="67" spans="1:49" ht="15" customHeight="1">
      <c r="A67" s="140" t="s">
        <v>108</v>
      </c>
      <c r="B67" s="211" t="s">
        <v>96</v>
      </c>
      <c r="C67" s="140" t="str">
        <f t="shared" si="2"/>
        <v>Dominican High School-WPCP</v>
      </c>
      <c r="D67" s="140">
        <v>0</v>
      </c>
      <c r="E67" s="140">
        <v>0</v>
      </c>
      <c r="F67" s="140">
        <v>0</v>
      </c>
      <c r="G67" s="140">
        <v>0</v>
      </c>
      <c r="H67" s="140">
        <v>0</v>
      </c>
      <c r="I67" s="140">
        <v>0</v>
      </c>
      <c r="J67" s="140">
        <v>0</v>
      </c>
      <c r="K67" s="140">
        <v>333</v>
      </c>
      <c r="L67" s="140">
        <f t="shared" si="3"/>
        <v>333</v>
      </c>
      <c r="N67" s="140">
        <v>0</v>
      </c>
      <c r="O67" s="140">
        <v>0</v>
      </c>
      <c r="P67" s="140">
        <v>0</v>
      </c>
      <c r="Q67" s="140">
        <v>0</v>
      </c>
      <c r="R67" s="140">
        <v>0</v>
      </c>
      <c r="S67" s="140">
        <v>0</v>
      </c>
      <c r="T67" s="140">
        <v>0</v>
      </c>
      <c r="U67" s="140">
        <v>11</v>
      </c>
      <c r="V67" s="140">
        <f t="shared" si="4"/>
        <v>11</v>
      </c>
      <c r="X67" s="98">
        <v>0</v>
      </c>
      <c r="Y67" s="98">
        <v>0</v>
      </c>
      <c r="Z67" s="98">
        <v>0</v>
      </c>
      <c r="AA67" s="98">
        <v>0</v>
      </c>
      <c r="AB67" s="98">
        <v>0</v>
      </c>
      <c r="AC67" s="98">
        <v>0</v>
      </c>
      <c r="AD67" s="98">
        <v>0</v>
      </c>
      <c r="AE67" s="98">
        <v>0</v>
      </c>
      <c r="AF67" s="98">
        <f t="shared" si="5"/>
        <v>0</v>
      </c>
      <c r="AH67" s="98">
        <v>11</v>
      </c>
      <c r="AJ67" s="98">
        <v>0</v>
      </c>
      <c r="AK67" s="98">
        <v>0</v>
      </c>
      <c r="AL67" s="380">
        <v>0</v>
      </c>
      <c r="AN67" s="214">
        <f t="shared" si="6"/>
        <v>47806</v>
      </c>
      <c r="AO67" s="214">
        <f t="shared" si="7"/>
        <v>0</v>
      </c>
      <c r="AP67" s="214">
        <f t="shared" si="8"/>
        <v>0</v>
      </c>
      <c r="AQ67" s="214">
        <f t="shared" si="9"/>
        <v>0</v>
      </c>
      <c r="AR67" s="214">
        <f t="shared" si="10"/>
        <v>0</v>
      </c>
      <c r="AS67" s="214">
        <f t="shared" si="11"/>
        <v>0</v>
      </c>
      <c r="AT67" s="214">
        <f t="shared" si="12"/>
        <v>0</v>
      </c>
      <c r="AU67" s="214">
        <f t="shared" si="13"/>
        <v>0</v>
      </c>
      <c r="AV67" s="214">
        <f t="shared" si="14"/>
        <v>47806</v>
      </c>
      <c r="AW67" s="215">
        <f t="shared" si="15"/>
        <v>47806</v>
      </c>
    </row>
    <row r="68" spans="1:49" ht="15" customHeight="1">
      <c r="A68" s="140" t="s">
        <v>109</v>
      </c>
      <c r="B68" s="211" t="s">
        <v>187</v>
      </c>
      <c r="C68" s="140" t="str">
        <f aca="true" t="shared" si="16" ref="C68:C130">A68&amp;"-"&amp;B68</f>
        <v>Early View Academy of Excellence-MPCP</v>
      </c>
      <c r="D68" s="140">
        <v>0</v>
      </c>
      <c r="E68" s="140">
        <v>13</v>
      </c>
      <c r="F68" s="140">
        <v>0</v>
      </c>
      <c r="G68" s="140">
        <v>0</v>
      </c>
      <c r="H68" s="140">
        <v>0</v>
      </c>
      <c r="I68" s="140">
        <v>20</v>
      </c>
      <c r="J68" s="140">
        <v>181</v>
      </c>
      <c r="K68" s="140">
        <v>118</v>
      </c>
      <c r="L68" s="140">
        <f aca="true" t="shared" si="17" ref="L68:L130">SUM(D68:K68)</f>
        <v>332</v>
      </c>
      <c r="N68" s="140">
        <v>0</v>
      </c>
      <c r="O68" s="140">
        <v>13</v>
      </c>
      <c r="P68" s="140">
        <v>0</v>
      </c>
      <c r="Q68" s="140">
        <v>0</v>
      </c>
      <c r="R68" s="140">
        <v>0</v>
      </c>
      <c r="S68" s="140">
        <v>20</v>
      </c>
      <c r="T68" s="140">
        <v>181</v>
      </c>
      <c r="U68" s="140">
        <v>118</v>
      </c>
      <c r="V68" s="140">
        <f aca="true" t="shared" si="18" ref="V68:V130">SUM(N68:U68)</f>
        <v>332</v>
      </c>
      <c r="X68" s="98">
        <v>0</v>
      </c>
      <c r="Y68" s="98">
        <v>0</v>
      </c>
      <c r="Z68" s="98">
        <v>0</v>
      </c>
      <c r="AA68" s="98">
        <v>0</v>
      </c>
      <c r="AB68" s="98">
        <v>0</v>
      </c>
      <c r="AC68" s="98">
        <v>0</v>
      </c>
      <c r="AD68" s="98">
        <v>0</v>
      </c>
      <c r="AE68" s="98">
        <v>0</v>
      </c>
      <c r="AF68" s="98">
        <f aca="true" t="shared" si="19" ref="AF68:AF130">SUM(X68:AE68)</f>
        <v>0</v>
      </c>
      <c r="AH68" s="98">
        <v>202</v>
      </c>
      <c r="AJ68" s="98">
        <v>0</v>
      </c>
      <c r="AK68" s="98">
        <v>0</v>
      </c>
      <c r="AL68" s="380">
        <v>0</v>
      </c>
      <c r="AN68" s="214">
        <f aca="true" t="shared" si="20" ref="AN68:AN130">SUM(AO68:AV68)</f>
        <v>1352830.4</v>
      </c>
      <c r="AO68" s="214">
        <f aca="true" t="shared" si="21" ref="AO68:AO130">ROUND(AO$1*AO$2*N68,2)</f>
        <v>0</v>
      </c>
      <c r="AP68" s="214">
        <f aca="true" t="shared" si="22" ref="AP68:AP130">ROUND(AP$1*AP$2*O68,2)</f>
        <v>31379.4</v>
      </c>
      <c r="AQ68" s="214">
        <f aca="true" t="shared" si="23" ref="AQ68:AQ130">ROUND(AQ$1*AQ$2*P68,2)</f>
        <v>0</v>
      </c>
      <c r="AR68" s="214">
        <f aca="true" t="shared" si="24" ref="AR68:AR130">ROUND(AR$1*AR$2*Q68,2)</f>
        <v>0</v>
      </c>
      <c r="AS68" s="214">
        <f aca="true" t="shared" si="25" ref="AS68:AS130">ROUND(AS$1*AS$2*R68,2)</f>
        <v>0</v>
      </c>
      <c r="AT68" s="214">
        <f aca="true" t="shared" si="26" ref="AT68:AT130">ROUND(AT$1*AT$2*S68,2)</f>
        <v>80460</v>
      </c>
      <c r="AU68" s="214">
        <f aca="true" t="shared" si="27" ref="AU68:AU130">ROUND(AU$1*AU$2*T68,2)</f>
        <v>728163</v>
      </c>
      <c r="AV68" s="214">
        <f aca="true" t="shared" si="28" ref="AV68:AV130">ROUND(AV$1*AV$2*U68,2)</f>
        <v>512828</v>
      </c>
      <c r="AW68" s="215">
        <f aca="true" t="shared" si="29" ref="AW68:AW130">SUM(AO68:AV68)</f>
        <v>1352830.4</v>
      </c>
    </row>
    <row r="69" spans="1:49" ht="15" customHeight="1">
      <c r="A69" s="140" t="s">
        <v>110</v>
      </c>
      <c r="B69" s="211" t="s">
        <v>187</v>
      </c>
      <c r="C69" s="140" t="str">
        <f t="shared" si="16"/>
        <v>Eastbrook Academy-MPCP</v>
      </c>
      <c r="D69" s="140">
        <v>0</v>
      </c>
      <c r="E69" s="140">
        <v>28</v>
      </c>
      <c r="F69" s="140">
        <v>1</v>
      </c>
      <c r="G69" s="140">
        <v>0</v>
      </c>
      <c r="H69" s="140">
        <v>0</v>
      </c>
      <c r="I69" s="140">
        <v>33</v>
      </c>
      <c r="J69" s="140">
        <v>202</v>
      </c>
      <c r="K69" s="140">
        <v>66</v>
      </c>
      <c r="L69" s="140">
        <f t="shared" si="17"/>
        <v>330</v>
      </c>
      <c r="N69" s="140">
        <v>0</v>
      </c>
      <c r="O69" s="140">
        <v>15</v>
      </c>
      <c r="P69" s="140">
        <v>1</v>
      </c>
      <c r="Q69" s="140">
        <v>0</v>
      </c>
      <c r="R69" s="140">
        <v>0</v>
      </c>
      <c r="S69" s="140">
        <v>21</v>
      </c>
      <c r="T69" s="140">
        <v>141</v>
      </c>
      <c r="U69" s="140">
        <v>40</v>
      </c>
      <c r="V69" s="140">
        <f t="shared" si="18"/>
        <v>218</v>
      </c>
      <c r="X69" s="98">
        <v>0</v>
      </c>
      <c r="Y69" s="98">
        <v>2</v>
      </c>
      <c r="Z69" s="98">
        <v>1</v>
      </c>
      <c r="AA69" s="98">
        <v>0</v>
      </c>
      <c r="AB69" s="98">
        <v>0</v>
      </c>
      <c r="AC69" s="98">
        <v>6</v>
      </c>
      <c r="AD69" s="98">
        <v>9</v>
      </c>
      <c r="AE69" s="98">
        <v>9</v>
      </c>
      <c r="AF69" s="98">
        <f t="shared" si="19"/>
        <v>27</v>
      </c>
      <c r="AH69" s="98">
        <v>126</v>
      </c>
      <c r="AJ69" s="98">
        <v>0</v>
      </c>
      <c r="AK69" s="98">
        <v>0</v>
      </c>
      <c r="AL69" s="380">
        <v>0</v>
      </c>
      <c r="AN69" s="214">
        <f t="shared" si="20"/>
        <v>863784.5</v>
      </c>
      <c r="AO69" s="214">
        <f t="shared" si="21"/>
        <v>0</v>
      </c>
      <c r="AP69" s="214">
        <f t="shared" si="22"/>
        <v>36207</v>
      </c>
      <c r="AQ69" s="214">
        <f t="shared" si="23"/>
        <v>2011.5</v>
      </c>
      <c r="AR69" s="214">
        <f t="shared" si="24"/>
        <v>0</v>
      </c>
      <c r="AS69" s="214">
        <f t="shared" si="25"/>
        <v>0</v>
      </c>
      <c r="AT69" s="214">
        <f t="shared" si="26"/>
        <v>84483</v>
      </c>
      <c r="AU69" s="214">
        <f t="shared" si="27"/>
        <v>567243</v>
      </c>
      <c r="AV69" s="214">
        <f t="shared" si="28"/>
        <v>173840</v>
      </c>
      <c r="AW69" s="215">
        <f t="shared" si="29"/>
        <v>863784.5</v>
      </c>
    </row>
    <row r="70" spans="1:49" ht="15" customHeight="1">
      <c r="A70" s="140" t="s">
        <v>110</v>
      </c>
      <c r="B70" s="211" t="s">
        <v>96</v>
      </c>
      <c r="C70" s="140" t="str">
        <f t="shared" si="16"/>
        <v>Eastbrook Academy-WPCP</v>
      </c>
      <c r="D70" s="140">
        <v>0</v>
      </c>
      <c r="E70" s="140">
        <v>28</v>
      </c>
      <c r="F70" s="140">
        <v>1</v>
      </c>
      <c r="G70" s="140">
        <v>0</v>
      </c>
      <c r="H70" s="140">
        <v>0</v>
      </c>
      <c r="I70" s="140">
        <v>33</v>
      </c>
      <c r="J70" s="140">
        <v>202</v>
      </c>
      <c r="K70" s="140">
        <v>66</v>
      </c>
      <c r="L70" s="140">
        <f t="shared" si="17"/>
        <v>330</v>
      </c>
      <c r="N70" s="140">
        <v>0</v>
      </c>
      <c r="O70" s="140">
        <v>5</v>
      </c>
      <c r="P70" s="140">
        <v>0</v>
      </c>
      <c r="Q70" s="140">
        <v>0</v>
      </c>
      <c r="R70" s="140">
        <v>0</v>
      </c>
      <c r="S70" s="140">
        <v>5</v>
      </c>
      <c r="T70" s="140">
        <v>4</v>
      </c>
      <c r="U70" s="140">
        <v>4</v>
      </c>
      <c r="V70" s="140">
        <f t="shared" si="18"/>
        <v>18</v>
      </c>
      <c r="X70" s="98">
        <v>0</v>
      </c>
      <c r="Y70" s="98">
        <v>0</v>
      </c>
      <c r="Z70" s="98">
        <v>0</v>
      </c>
      <c r="AA70" s="98">
        <v>0</v>
      </c>
      <c r="AB70" s="98">
        <v>0</v>
      </c>
      <c r="AC70" s="98">
        <v>0</v>
      </c>
      <c r="AD70" s="98">
        <v>0</v>
      </c>
      <c r="AE70" s="98">
        <v>0</v>
      </c>
      <c r="AF70" s="98">
        <f t="shared" si="19"/>
        <v>0</v>
      </c>
      <c r="AH70" s="98">
        <v>16</v>
      </c>
      <c r="AJ70" s="98">
        <v>0</v>
      </c>
      <c r="AK70" s="98">
        <v>0</v>
      </c>
      <c r="AL70" s="380">
        <v>0</v>
      </c>
      <c r="AN70" s="214">
        <f t="shared" si="20"/>
        <v>65660</v>
      </c>
      <c r="AO70" s="214">
        <f t="shared" si="21"/>
        <v>0</v>
      </c>
      <c r="AP70" s="214">
        <f t="shared" si="22"/>
        <v>12069</v>
      </c>
      <c r="AQ70" s="214">
        <f t="shared" si="23"/>
        <v>0</v>
      </c>
      <c r="AR70" s="214">
        <f t="shared" si="24"/>
        <v>0</v>
      </c>
      <c r="AS70" s="214">
        <f t="shared" si="25"/>
        <v>0</v>
      </c>
      <c r="AT70" s="214">
        <f t="shared" si="26"/>
        <v>20115</v>
      </c>
      <c r="AU70" s="214">
        <f t="shared" si="27"/>
        <v>16092</v>
      </c>
      <c r="AV70" s="214">
        <f t="shared" si="28"/>
        <v>17384</v>
      </c>
      <c r="AW70" s="215">
        <f t="shared" si="29"/>
        <v>65660</v>
      </c>
    </row>
    <row r="71" spans="1:49" ht="15" customHeight="1">
      <c r="A71" s="140" t="s">
        <v>534</v>
      </c>
      <c r="B71" s="211" t="s">
        <v>187</v>
      </c>
      <c r="C71" s="140" t="str">
        <f t="shared" si="16"/>
        <v>El Puente High School-MPCP</v>
      </c>
      <c r="D71" s="140">
        <v>0</v>
      </c>
      <c r="E71" s="140">
        <v>0</v>
      </c>
      <c r="F71" s="140">
        <v>0</v>
      </c>
      <c r="G71" s="140">
        <v>0</v>
      </c>
      <c r="H71" s="140">
        <v>0</v>
      </c>
      <c r="I71" s="140">
        <v>0</v>
      </c>
      <c r="J71" s="140">
        <v>0</v>
      </c>
      <c r="K71" s="140">
        <v>112</v>
      </c>
      <c r="L71" s="140">
        <f t="shared" si="17"/>
        <v>112</v>
      </c>
      <c r="N71" s="140">
        <v>0</v>
      </c>
      <c r="O71" s="140">
        <v>0</v>
      </c>
      <c r="P71" s="140">
        <v>0</v>
      </c>
      <c r="Q71" s="140">
        <v>0</v>
      </c>
      <c r="R71" s="140">
        <v>0</v>
      </c>
      <c r="S71" s="140">
        <v>0</v>
      </c>
      <c r="T71" s="140">
        <v>0</v>
      </c>
      <c r="U71" s="140">
        <v>84</v>
      </c>
      <c r="V71" s="140">
        <f t="shared" si="18"/>
        <v>84</v>
      </c>
      <c r="X71" s="98">
        <v>0</v>
      </c>
      <c r="Y71" s="98">
        <v>0</v>
      </c>
      <c r="Z71" s="98">
        <v>0</v>
      </c>
      <c r="AA71" s="98">
        <v>0</v>
      </c>
      <c r="AB71" s="98">
        <v>0</v>
      </c>
      <c r="AC71" s="98">
        <v>0</v>
      </c>
      <c r="AD71" s="98">
        <v>0</v>
      </c>
      <c r="AE71" s="98">
        <v>4</v>
      </c>
      <c r="AF71" s="98">
        <f t="shared" si="19"/>
        <v>4</v>
      </c>
      <c r="AH71" s="98">
        <v>78</v>
      </c>
      <c r="AJ71" s="98">
        <v>0</v>
      </c>
      <c r="AK71" s="98">
        <v>0</v>
      </c>
      <c r="AL71" s="380">
        <v>0</v>
      </c>
      <c r="AN71" s="214">
        <f t="shared" si="20"/>
        <v>365064</v>
      </c>
      <c r="AO71" s="214">
        <f t="shared" si="21"/>
        <v>0</v>
      </c>
      <c r="AP71" s="214">
        <f t="shared" si="22"/>
        <v>0</v>
      </c>
      <c r="AQ71" s="214">
        <f t="shared" si="23"/>
        <v>0</v>
      </c>
      <c r="AR71" s="214">
        <f t="shared" si="24"/>
        <v>0</v>
      </c>
      <c r="AS71" s="214">
        <f t="shared" si="25"/>
        <v>0</v>
      </c>
      <c r="AT71" s="214">
        <f t="shared" si="26"/>
        <v>0</v>
      </c>
      <c r="AU71" s="214">
        <f t="shared" si="27"/>
        <v>0</v>
      </c>
      <c r="AV71" s="214">
        <f t="shared" si="28"/>
        <v>365064</v>
      </c>
      <c r="AW71" s="215">
        <f t="shared" si="29"/>
        <v>365064</v>
      </c>
    </row>
    <row r="72" spans="1:49" ht="15" customHeight="1">
      <c r="A72" s="140" t="s">
        <v>111</v>
      </c>
      <c r="B72" s="211" t="s">
        <v>187</v>
      </c>
      <c r="C72" s="140" t="str">
        <f t="shared" si="16"/>
        <v>Elm Grove Lutheran School-MPCP</v>
      </c>
      <c r="D72" s="140">
        <v>16</v>
      </c>
      <c r="E72" s="140">
        <v>0</v>
      </c>
      <c r="F72" s="140">
        <v>1</v>
      </c>
      <c r="G72" s="140">
        <v>0</v>
      </c>
      <c r="H72" s="140">
        <v>0</v>
      </c>
      <c r="I72" s="140">
        <v>5</v>
      </c>
      <c r="J72" s="140">
        <v>83</v>
      </c>
      <c r="K72" s="140">
        <v>0</v>
      </c>
      <c r="L72" s="140">
        <f t="shared" si="17"/>
        <v>105</v>
      </c>
      <c r="N72" s="140">
        <v>3</v>
      </c>
      <c r="O72" s="140">
        <v>0</v>
      </c>
      <c r="P72" s="140">
        <v>1</v>
      </c>
      <c r="Q72" s="140">
        <v>0</v>
      </c>
      <c r="R72" s="140">
        <v>0</v>
      </c>
      <c r="S72" s="140">
        <v>4</v>
      </c>
      <c r="T72" s="140">
        <v>39</v>
      </c>
      <c r="U72" s="140">
        <v>0</v>
      </c>
      <c r="V72" s="140">
        <f t="shared" si="18"/>
        <v>47</v>
      </c>
      <c r="X72" s="98">
        <v>0</v>
      </c>
      <c r="Y72" s="98">
        <v>0</v>
      </c>
      <c r="Z72" s="98">
        <v>0</v>
      </c>
      <c r="AA72" s="98">
        <v>0</v>
      </c>
      <c r="AB72" s="98">
        <v>0</v>
      </c>
      <c r="AC72" s="98">
        <v>0</v>
      </c>
      <c r="AD72" s="98">
        <v>0</v>
      </c>
      <c r="AE72" s="98">
        <v>0</v>
      </c>
      <c r="AF72" s="98">
        <f t="shared" si="19"/>
        <v>0</v>
      </c>
      <c r="AH72" s="98">
        <v>30</v>
      </c>
      <c r="AJ72" s="98">
        <v>0</v>
      </c>
      <c r="AK72" s="98">
        <v>0</v>
      </c>
      <c r="AL72" s="380">
        <v>0</v>
      </c>
      <c r="AN72" s="214">
        <f t="shared" si="20"/>
        <v>181035</v>
      </c>
      <c r="AO72" s="214">
        <f t="shared" si="21"/>
        <v>6034.5</v>
      </c>
      <c r="AP72" s="214">
        <f t="shared" si="22"/>
        <v>0</v>
      </c>
      <c r="AQ72" s="214">
        <f t="shared" si="23"/>
        <v>2011.5</v>
      </c>
      <c r="AR72" s="214">
        <f t="shared" si="24"/>
        <v>0</v>
      </c>
      <c r="AS72" s="214">
        <f t="shared" si="25"/>
        <v>0</v>
      </c>
      <c r="AT72" s="214">
        <f t="shared" si="26"/>
        <v>16092</v>
      </c>
      <c r="AU72" s="214">
        <f t="shared" si="27"/>
        <v>156897</v>
      </c>
      <c r="AV72" s="214">
        <f t="shared" si="28"/>
        <v>0</v>
      </c>
      <c r="AW72" s="215">
        <f t="shared" si="29"/>
        <v>181035</v>
      </c>
    </row>
    <row r="73" spans="1:49" ht="15" customHeight="1">
      <c r="A73" s="140" t="s">
        <v>111</v>
      </c>
      <c r="B73" s="211" t="s">
        <v>96</v>
      </c>
      <c r="C73" s="140" t="str">
        <f t="shared" si="16"/>
        <v>Elm Grove Lutheran School-WPCP</v>
      </c>
      <c r="D73" s="140">
        <v>16</v>
      </c>
      <c r="E73" s="140">
        <v>0</v>
      </c>
      <c r="F73" s="140">
        <v>1</v>
      </c>
      <c r="G73" s="140">
        <v>0</v>
      </c>
      <c r="H73" s="140">
        <v>0</v>
      </c>
      <c r="I73" s="140">
        <v>5</v>
      </c>
      <c r="J73" s="140">
        <v>83</v>
      </c>
      <c r="K73" s="140">
        <v>0</v>
      </c>
      <c r="L73" s="140">
        <f t="shared" si="17"/>
        <v>105</v>
      </c>
      <c r="N73" s="140">
        <v>1</v>
      </c>
      <c r="O73" s="140">
        <v>0</v>
      </c>
      <c r="P73" s="140">
        <v>0</v>
      </c>
      <c r="Q73" s="140">
        <v>0</v>
      </c>
      <c r="R73" s="140">
        <v>0</v>
      </c>
      <c r="S73" s="140">
        <v>0</v>
      </c>
      <c r="T73" s="140">
        <v>9</v>
      </c>
      <c r="U73" s="140">
        <v>0</v>
      </c>
      <c r="V73" s="140">
        <f t="shared" si="18"/>
        <v>10</v>
      </c>
      <c r="X73" s="98">
        <v>0</v>
      </c>
      <c r="Y73" s="98">
        <v>0</v>
      </c>
      <c r="Z73" s="98">
        <v>0</v>
      </c>
      <c r="AA73" s="98">
        <v>0</v>
      </c>
      <c r="AB73" s="98">
        <v>0</v>
      </c>
      <c r="AC73" s="98">
        <v>0</v>
      </c>
      <c r="AD73" s="98">
        <v>0</v>
      </c>
      <c r="AE73" s="98">
        <v>0</v>
      </c>
      <c r="AF73" s="98">
        <f t="shared" si="19"/>
        <v>0</v>
      </c>
      <c r="AH73" s="98">
        <v>6</v>
      </c>
      <c r="AJ73" s="98">
        <v>0</v>
      </c>
      <c r="AK73" s="98">
        <v>0</v>
      </c>
      <c r="AL73" s="380">
        <v>0</v>
      </c>
      <c r="AN73" s="214">
        <f t="shared" si="20"/>
        <v>38218.5</v>
      </c>
      <c r="AO73" s="214">
        <f t="shared" si="21"/>
        <v>2011.5</v>
      </c>
      <c r="AP73" s="214">
        <f t="shared" si="22"/>
        <v>0</v>
      </c>
      <c r="AQ73" s="214">
        <f t="shared" si="23"/>
        <v>0</v>
      </c>
      <c r="AR73" s="214">
        <f t="shared" si="24"/>
        <v>0</v>
      </c>
      <c r="AS73" s="214">
        <f t="shared" si="25"/>
        <v>0</v>
      </c>
      <c r="AT73" s="214">
        <f t="shared" si="26"/>
        <v>0</v>
      </c>
      <c r="AU73" s="214">
        <f t="shared" si="27"/>
        <v>36207</v>
      </c>
      <c r="AV73" s="214">
        <f t="shared" si="28"/>
        <v>0</v>
      </c>
      <c r="AW73" s="215">
        <f t="shared" si="29"/>
        <v>38218.5</v>
      </c>
    </row>
    <row r="74" spans="1:49" ht="15" customHeight="1">
      <c r="A74" s="140" t="s">
        <v>310</v>
      </c>
      <c r="B74" s="211" t="s">
        <v>96</v>
      </c>
      <c r="C74" s="140" t="str">
        <f t="shared" si="16"/>
        <v>Emanuel Lutheran School-WPCP</v>
      </c>
      <c r="D74" s="140">
        <v>22</v>
      </c>
      <c r="E74" s="140">
        <v>0</v>
      </c>
      <c r="F74" s="140">
        <v>0</v>
      </c>
      <c r="G74" s="140">
        <v>0</v>
      </c>
      <c r="H74" s="140">
        <v>0</v>
      </c>
      <c r="I74" s="140">
        <v>21</v>
      </c>
      <c r="J74" s="140">
        <v>156</v>
      </c>
      <c r="K74" s="140">
        <v>0</v>
      </c>
      <c r="L74" s="140">
        <f t="shared" si="17"/>
        <v>199</v>
      </c>
      <c r="N74" s="140">
        <v>3</v>
      </c>
      <c r="O74" s="140">
        <v>0</v>
      </c>
      <c r="P74" s="140">
        <v>0</v>
      </c>
      <c r="Q74" s="140">
        <v>0</v>
      </c>
      <c r="R74" s="140">
        <v>0</v>
      </c>
      <c r="S74" s="140">
        <v>10</v>
      </c>
      <c r="T74" s="140">
        <v>33</v>
      </c>
      <c r="U74" s="140">
        <v>0</v>
      </c>
      <c r="V74" s="140">
        <f t="shared" si="18"/>
        <v>46</v>
      </c>
      <c r="X74" s="98">
        <v>0</v>
      </c>
      <c r="Y74" s="98">
        <v>0</v>
      </c>
      <c r="Z74" s="98">
        <v>0</v>
      </c>
      <c r="AA74" s="98">
        <v>0</v>
      </c>
      <c r="AB74" s="98">
        <v>0</v>
      </c>
      <c r="AC74" s="98">
        <v>0</v>
      </c>
      <c r="AD74" s="98">
        <v>0</v>
      </c>
      <c r="AE74" s="98">
        <v>0</v>
      </c>
      <c r="AF74" s="98">
        <f t="shared" si="19"/>
        <v>0</v>
      </c>
      <c r="AH74" s="98">
        <v>35</v>
      </c>
      <c r="AJ74" s="98">
        <v>0</v>
      </c>
      <c r="AK74" s="98">
        <v>0</v>
      </c>
      <c r="AL74" s="380">
        <v>0</v>
      </c>
      <c r="AN74" s="214">
        <f t="shared" si="20"/>
        <v>179023.5</v>
      </c>
      <c r="AO74" s="214">
        <f t="shared" si="21"/>
        <v>6034.5</v>
      </c>
      <c r="AP74" s="214">
        <f t="shared" si="22"/>
        <v>0</v>
      </c>
      <c r="AQ74" s="214">
        <f t="shared" si="23"/>
        <v>0</v>
      </c>
      <c r="AR74" s="214">
        <f t="shared" si="24"/>
        <v>0</v>
      </c>
      <c r="AS74" s="214">
        <f t="shared" si="25"/>
        <v>0</v>
      </c>
      <c r="AT74" s="214">
        <f t="shared" si="26"/>
        <v>40230</v>
      </c>
      <c r="AU74" s="214">
        <f t="shared" si="27"/>
        <v>132759</v>
      </c>
      <c r="AV74" s="214">
        <f t="shared" si="28"/>
        <v>0</v>
      </c>
      <c r="AW74" s="215">
        <f t="shared" si="29"/>
        <v>179023.5</v>
      </c>
    </row>
    <row r="75" spans="1:49" ht="15" customHeight="1">
      <c r="A75" s="140" t="s">
        <v>112</v>
      </c>
      <c r="B75" s="211" t="s">
        <v>188</v>
      </c>
      <c r="C75" s="140" t="str">
        <f t="shared" si="16"/>
        <v>EverGreen Academy-RPCP</v>
      </c>
      <c r="D75" s="140">
        <v>41</v>
      </c>
      <c r="E75" s="140">
        <v>0</v>
      </c>
      <c r="F75" s="140">
        <v>0</v>
      </c>
      <c r="G75" s="140">
        <v>0</v>
      </c>
      <c r="H75" s="140">
        <v>0</v>
      </c>
      <c r="I75" s="140">
        <v>44</v>
      </c>
      <c r="J75" s="140">
        <v>323</v>
      </c>
      <c r="K75" s="140">
        <v>0</v>
      </c>
      <c r="L75" s="140">
        <f t="shared" si="17"/>
        <v>408</v>
      </c>
      <c r="N75" s="140">
        <v>40</v>
      </c>
      <c r="O75" s="140">
        <v>0</v>
      </c>
      <c r="P75" s="140">
        <v>0</v>
      </c>
      <c r="Q75" s="140">
        <v>0</v>
      </c>
      <c r="R75" s="140">
        <v>0</v>
      </c>
      <c r="S75" s="140">
        <v>43</v>
      </c>
      <c r="T75" s="140">
        <v>309</v>
      </c>
      <c r="U75" s="140">
        <v>0</v>
      </c>
      <c r="V75" s="140">
        <f t="shared" si="18"/>
        <v>392</v>
      </c>
      <c r="X75" s="98">
        <v>0</v>
      </c>
      <c r="Y75" s="98">
        <v>0</v>
      </c>
      <c r="Z75" s="98">
        <v>0</v>
      </c>
      <c r="AA75" s="98">
        <v>0</v>
      </c>
      <c r="AB75" s="98">
        <v>0</v>
      </c>
      <c r="AC75" s="98">
        <v>0</v>
      </c>
      <c r="AD75" s="98">
        <v>3</v>
      </c>
      <c r="AE75" s="98">
        <v>0</v>
      </c>
      <c r="AF75" s="98">
        <f t="shared" si="19"/>
        <v>3</v>
      </c>
      <c r="AH75" s="98">
        <v>264</v>
      </c>
      <c r="AJ75" s="98">
        <v>0</v>
      </c>
      <c r="AK75" s="98">
        <v>0</v>
      </c>
      <c r="AL75" s="380">
        <v>0</v>
      </c>
      <c r="AN75" s="214">
        <f t="shared" si="20"/>
        <v>1496556</v>
      </c>
      <c r="AO75" s="214">
        <f t="shared" si="21"/>
        <v>80460</v>
      </c>
      <c r="AP75" s="214">
        <f t="shared" si="22"/>
        <v>0</v>
      </c>
      <c r="AQ75" s="214">
        <f t="shared" si="23"/>
        <v>0</v>
      </c>
      <c r="AR75" s="214">
        <f t="shared" si="24"/>
        <v>0</v>
      </c>
      <c r="AS75" s="214">
        <f t="shared" si="25"/>
        <v>0</v>
      </c>
      <c r="AT75" s="214">
        <f t="shared" si="26"/>
        <v>172989</v>
      </c>
      <c r="AU75" s="214">
        <f t="shared" si="27"/>
        <v>1243107</v>
      </c>
      <c r="AV75" s="214">
        <f t="shared" si="28"/>
        <v>0</v>
      </c>
      <c r="AW75" s="215">
        <f t="shared" si="29"/>
        <v>1496556</v>
      </c>
    </row>
    <row r="76" spans="1:49" ht="15" customHeight="1">
      <c r="A76" s="140" t="s">
        <v>442</v>
      </c>
      <c r="B76" s="211" t="s">
        <v>96</v>
      </c>
      <c r="C76" s="140" t="str">
        <f t="shared" si="16"/>
        <v>Faith Christian Academy - Wausau-WPCP</v>
      </c>
      <c r="D76" s="140">
        <v>0</v>
      </c>
      <c r="E76" s="140">
        <v>0</v>
      </c>
      <c r="F76" s="140">
        <v>31</v>
      </c>
      <c r="G76" s="140">
        <v>0</v>
      </c>
      <c r="H76" s="140">
        <v>0</v>
      </c>
      <c r="I76" s="140">
        <v>0</v>
      </c>
      <c r="J76" s="140">
        <v>113</v>
      </c>
      <c r="K76" s="140">
        <v>29</v>
      </c>
      <c r="L76" s="140">
        <f t="shared" si="17"/>
        <v>173</v>
      </c>
      <c r="N76" s="140">
        <v>0</v>
      </c>
      <c r="O76" s="140">
        <v>0</v>
      </c>
      <c r="P76" s="140">
        <v>17</v>
      </c>
      <c r="Q76" s="140">
        <v>0</v>
      </c>
      <c r="R76" s="140">
        <v>0</v>
      </c>
      <c r="S76" s="140">
        <v>0</v>
      </c>
      <c r="T76" s="140">
        <v>36</v>
      </c>
      <c r="U76" s="140">
        <v>14</v>
      </c>
      <c r="V76" s="140">
        <f t="shared" si="18"/>
        <v>67</v>
      </c>
      <c r="X76" s="98">
        <v>0</v>
      </c>
      <c r="Y76" s="98">
        <v>0</v>
      </c>
      <c r="Z76" s="98">
        <v>0</v>
      </c>
      <c r="AA76" s="98">
        <v>0</v>
      </c>
      <c r="AB76" s="98">
        <v>0</v>
      </c>
      <c r="AC76" s="98">
        <v>0</v>
      </c>
      <c r="AD76" s="98">
        <v>0</v>
      </c>
      <c r="AE76" s="98">
        <v>0</v>
      </c>
      <c r="AF76" s="98">
        <f t="shared" si="19"/>
        <v>0</v>
      </c>
      <c r="AH76" s="98">
        <v>37</v>
      </c>
      <c r="AJ76" s="98">
        <v>0</v>
      </c>
      <c r="AK76" s="98">
        <v>0</v>
      </c>
      <c r="AL76" s="380">
        <v>0</v>
      </c>
      <c r="AN76" s="214">
        <f t="shared" si="20"/>
        <v>239867.5</v>
      </c>
      <c r="AO76" s="214">
        <f t="shared" si="21"/>
        <v>0</v>
      </c>
      <c r="AP76" s="214">
        <f t="shared" si="22"/>
        <v>0</v>
      </c>
      <c r="AQ76" s="214">
        <f t="shared" si="23"/>
        <v>34195.5</v>
      </c>
      <c r="AR76" s="214">
        <f t="shared" si="24"/>
        <v>0</v>
      </c>
      <c r="AS76" s="214">
        <f t="shared" si="25"/>
        <v>0</v>
      </c>
      <c r="AT76" s="214">
        <f t="shared" si="26"/>
        <v>0</v>
      </c>
      <c r="AU76" s="214">
        <f t="shared" si="27"/>
        <v>144828</v>
      </c>
      <c r="AV76" s="214">
        <f t="shared" si="28"/>
        <v>60844</v>
      </c>
      <c r="AW76" s="215">
        <f t="shared" si="29"/>
        <v>239867.5</v>
      </c>
    </row>
    <row r="77" spans="1:49" ht="15" customHeight="1">
      <c r="A77" s="140" t="s">
        <v>380</v>
      </c>
      <c r="B77" s="211" t="s">
        <v>96</v>
      </c>
      <c r="C77" s="140" t="str">
        <f t="shared" si="16"/>
        <v>Faith Christian School - Coleman-WPCP</v>
      </c>
      <c r="D77" s="140">
        <v>6</v>
      </c>
      <c r="E77" s="140">
        <v>0</v>
      </c>
      <c r="F77" s="140">
        <v>0</v>
      </c>
      <c r="G77" s="140">
        <v>0</v>
      </c>
      <c r="H77" s="140">
        <v>0</v>
      </c>
      <c r="I77" s="140">
        <v>11</v>
      </c>
      <c r="J77" s="140">
        <v>59</v>
      </c>
      <c r="K77" s="140">
        <v>21</v>
      </c>
      <c r="L77" s="140">
        <f t="shared" si="17"/>
        <v>97</v>
      </c>
      <c r="N77" s="140">
        <v>4</v>
      </c>
      <c r="O77" s="140">
        <v>0</v>
      </c>
      <c r="P77" s="140">
        <v>0</v>
      </c>
      <c r="Q77" s="140">
        <v>0</v>
      </c>
      <c r="R77" s="140">
        <v>0</v>
      </c>
      <c r="S77" s="140">
        <v>11</v>
      </c>
      <c r="T77" s="140">
        <v>26</v>
      </c>
      <c r="U77" s="140">
        <v>10</v>
      </c>
      <c r="V77" s="140">
        <f t="shared" si="18"/>
        <v>51</v>
      </c>
      <c r="X77" s="98">
        <v>0</v>
      </c>
      <c r="Y77" s="98">
        <v>0</v>
      </c>
      <c r="Z77" s="98">
        <v>0</v>
      </c>
      <c r="AA77" s="98">
        <v>0</v>
      </c>
      <c r="AB77" s="98">
        <v>0</v>
      </c>
      <c r="AC77" s="98">
        <v>0</v>
      </c>
      <c r="AD77" s="98">
        <v>0</v>
      </c>
      <c r="AE77" s="98">
        <v>0</v>
      </c>
      <c r="AF77" s="98">
        <f t="shared" si="19"/>
        <v>0</v>
      </c>
      <c r="AH77" s="98">
        <v>23</v>
      </c>
      <c r="AJ77" s="98">
        <v>0</v>
      </c>
      <c r="AK77" s="98">
        <v>0</v>
      </c>
      <c r="AL77" s="380">
        <v>0</v>
      </c>
      <c r="AN77" s="214">
        <f t="shared" si="20"/>
        <v>200357</v>
      </c>
      <c r="AO77" s="214">
        <f t="shared" si="21"/>
        <v>8046</v>
      </c>
      <c r="AP77" s="214">
        <f t="shared" si="22"/>
        <v>0</v>
      </c>
      <c r="AQ77" s="214">
        <f t="shared" si="23"/>
        <v>0</v>
      </c>
      <c r="AR77" s="214">
        <f t="shared" si="24"/>
        <v>0</v>
      </c>
      <c r="AS77" s="214">
        <f t="shared" si="25"/>
        <v>0</v>
      </c>
      <c r="AT77" s="214">
        <f t="shared" si="26"/>
        <v>44253</v>
      </c>
      <c r="AU77" s="214">
        <f t="shared" si="27"/>
        <v>104598</v>
      </c>
      <c r="AV77" s="214">
        <f t="shared" si="28"/>
        <v>43460</v>
      </c>
      <c r="AW77" s="215">
        <f t="shared" si="29"/>
        <v>200357</v>
      </c>
    </row>
    <row r="78" spans="1:49" ht="15" customHeight="1">
      <c r="A78" s="140" t="s">
        <v>575</v>
      </c>
      <c r="B78" s="211" t="s">
        <v>96</v>
      </c>
      <c r="C78" s="140" t="str">
        <f t="shared" si="16"/>
        <v>Faith Lutheran School - Fond du Lac-WPCP</v>
      </c>
      <c r="D78" s="140">
        <v>18</v>
      </c>
      <c r="E78" s="140">
        <v>0</v>
      </c>
      <c r="F78" s="140">
        <v>3</v>
      </c>
      <c r="G78" s="140">
        <v>0</v>
      </c>
      <c r="H78" s="140">
        <v>0</v>
      </c>
      <c r="I78" s="140">
        <v>23</v>
      </c>
      <c r="J78" s="140">
        <v>201</v>
      </c>
      <c r="K78" s="140">
        <v>0</v>
      </c>
      <c r="L78" s="140">
        <f t="shared" si="17"/>
        <v>245</v>
      </c>
      <c r="N78" s="140">
        <v>5</v>
      </c>
      <c r="O78" s="140">
        <v>0</v>
      </c>
      <c r="P78" s="140">
        <v>2</v>
      </c>
      <c r="Q78" s="140">
        <v>0</v>
      </c>
      <c r="R78" s="140">
        <v>0</v>
      </c>
      <c r="S78" s="140">
        <v>5</v>
      </c>
      <c r="T78" s="140">
        <v>60</v>
      </c>
      <c r="U78" s="140">
        <v>0</v>
      </c>
      <c r="V78" s="140">
        <f t="shared" si="18"/>
        <v>72</v>
      </c>
      <c r="X78" s="98">
        <v>0</v>
      </c>
      <c r="Y78" s="98">
        <v>0</v>
      </c>
      <c r="Z78" s="98">
        <v>0</v>
      </c>
      <c r="AA78" s="98">
        <v>0</v>
      </c>
      <c r="AB78" s="98">
        <v>0</v>
      </c>
      <c r="AC78" s="98">
        <v>0</v>
      </c>
      <c r="AD78" s="98">
        <v>0</v>
      </c>
      <c r="AE78" s="98">
        <v>0</v>
      </c>
      <c r="AF78" s="98">
        <f t="shared" si="19"/>
        <v>0</v>
      </c>
      <c r="AH78" s="98">
        <v>39</v>
      </c>
      <c r="AJ78" s="98">
        <v>0</v>
      </c>
      <c r="AK78" s="98">
        <v>0</v>
      </c>
      <c r="AL78" s="380">
        <v>0</v>
      </c>
      <c r="AN78" s="214">
        <f t="shared" si="20"/>
        <v>275575.5</v>
      </c>
      <c r="AO78" s="214">
        <f t="shared" si="21"/>
        <v>10057.5</v>
      </c>
      <c r="AP78" s="214">
        <f t="shared" si="22"/>
        <v>0</v>
      </c>
      <c r="AQ78" s="214">
        <f t="shared" si="23"/>
        <v>4023</v>
      </c>
      <c r="AR78" s="214">
        <f t="shared" si="24"/>
        <v>0</v>
      </c>
      <c r="AS78" s="214">
        <f t="shared" si="25"/>
        <v>0</v>
      </c>
      <c r="AT78" s="214">
        <f t="shared" si="26"/>
        <v>20115</v>
      </c>
      <c r="AU78" s="214">
        <f t="shared" si="27"/>
        <v>241380</v>
      </c>
      <c r="AV78" s="214">
        <f t="shared" si="28"/>
        <v>0</v>
      </c>
      <c r="AW78" s="215">
        <f t="shared" si="29"/>
        <v>275575.5</v>
      </c>
    </row>
    <row r="79" spans="1:49" ht="15" customHeight="1">
      <c r="A79" s="140" t="s">
        <v>311</v>
      </c>
      <c r="B79" s="211" t="s">
        <v>96</v>
      </c>
      <c r="C79" s="140" t="str">
        <f t="shared" si="16"/>
        <v>First Evangelical Lutheran School-WPCP</v>
      </c>
      <c r="D79" s="140">
        <v>4</v>
      </c>
      <c r="E79" s="140">
        <v>0</v>
      </c>
      <c r="F79" s="140">
        <v>0</v>
      </c>
      <c r="G79" s="140">
        <v>0</v>
      </c>
      <c r="H79" s="140">
        <v>0</v>
      </c>
      <c r="I79" s="140">
        <v>0</v>
      </c>
      <c r="J79" s="140">
        <v>20</v>
      </c>
      <c r="K79" s="140">
        <v>0</v>
      </c>
      <c r="L79" s="140">
        <f t="shared" si="17"/>
        <v>24</v>
      </c>
      <c r="N79" s="140">
        <v>2</v>
      </c>
      <c r="O79" s="140">
        <v>0</v>
      </c>
      <c r="P79" s="140">
        <v>0</v>
      </c>
      <c r="Q79" s="140">
        <v>0</v>
      </c>
      <c r="R79" s="140">
        <v>0</v>
      </c>
      <c r="S79" s="140">
        <v>0</v>
      </c>
      <c r="T79" s="140">
        <v>9</v>
      </c>
      <c r="U79" s="140">
        <v>0</v>
      </c>
      <c r="V79" s="140">
        <f t="shared" si="18"/>
        <v>11</v>
      </c>
      <c r="X79" s="98">
        <v>0</v>
      </c>
      <c r="Y79" s="98">
        <v>0</v>
      </c>
      <c r="Z79" s="98">
        <v>0</v>
      </c>
      <c r="AA79" s="98">
        <v>0</v>
      </c>
      <c r="AB79" s="98">
        <v>0</v>
      </c>
      <c r="AC79" s="98">
        <v>0</v>
      </c>
      <c r="AD79" s="98">
        <v>0</v>
      </c>
      <c r="AE79" s="98">
        <v>0</v>
      </c>
      <c r="AF79" s="98">
        <f t="shared" si="19"/>
        <v>0</v>
      </c>
      <c r="AH79" s="98">
        <v>8</v>
      </c>
      <c r="AJ79" s="98">
        <v>0</v>
      </c>
      <c r="AK79" s="98">
        <v>0</v>
      </c>
      <c r="AL79" s="380">
        <v>0</v>
      </c>
      <c r="AN79" s="214">
        <f t="shared" si="20"/>
        <v>40230</v>
      </c>
      <c r="AO79" s="214">
        <f t="shared" si="21"/>
        <v>4023</v>
      </c>
      <c r="AP79" s="214">
        <f t="shared" si="22"/>
        <v>0</v>
      </c>
      <c r="AQ79" s="214">
        <f t="shared" si="23"/>
        <v>0</v>
      </c>
      <c r="AR79" s="214">
        <f t="shared" si="24"/>
        <v>0</v>
      </c>
      <c r="AS79" s="214">
        <f t="shared" si="25"/>
        <v>0</v>
      </c>
      <c r="AT79" s="214">
        <f t="shared" si="26"/>
        <v>0</v>
      </c>
      <c r="AU79" s="214">
        <f t="shared" si="27"/>
        <v>36207</v>
      </c>
      <c r="AV79" s="214">
        <f t="shared" si="28"/>
        <v>0</v>
      </c>
      <c r="AW79" s="215">
        <f t="shared" si="29"/>
        <v>40230</v>
      </c>
    </row>
    <row r="80" spans="1:49" ht="15" customHeight="1">
      <c r="A80" s="140" t="s">
        <v>576</v>
      </c>
      <c r="B80" s="211" t="s">
        <v>96</v>
      </c>
      <c r="C80" s="140" t="str">
        <f t="shared" si="16"/>
        <v>First German Evangelical Lutheran Grade School-WPCP</v>
      </c>
      <c r="D80" s="140">
        <v>10</v>
      </c>
      <c r="E80" s="140">
        <v>0</v>
      </c>
      <c r="F80" s="140">
        <v>0</v>
      </c>
      <c r="G80" s="140">
        <v>0</v>
      </c>
      <c r="H80" s="140">
        <v>0</v>
      </c>
      <c r="I80" s="140">
        <v>7</v>
      </c>
      <c r="J80" s="140">
        <v>63</v>
      </c>
      <c r="K80" s="140">
        <v>0</v>
      </c>
      <c r="L80" s="140">
        <f t="shared" si="17"/>
        <v>80</v>
      </c>
      <c r="N80" s="140">
        <v>1</v>
      </c>
      <c r="O80" s="140">
        <v>0</v>
      </c>
      <c r="P80" s="140">
        <v>0</v>
      </c>
      <c r="Q80" s="140">
        <v>0</v>
      </c>
      <c r="R80" s="140">
        <v>0</v>
      </c>
      <c r="S80" s="140">
        <v>3</v>
      </c>
      <c r="T80" s="140">
        <v>21</v>
      </c>
      <c r="U80" s="140">
        <v>0</v>
      </c>
      <c r="V80" s="140">
        <f t="shared" si="18"/>
        <v>25</v>
      </c>
      <c r="X80" s="98">
        <v>0</v>
      </c>
      <c r="Y80" s="98">
        <v>0</v>
      </c>
      <c r="Z80" s="98">
        <v>0</v>
      </c>
      <c r="AA80" s="98">
        <v>0</v>
      </c>
      <c r="AB80" s="98">
        <v>0</v>
      </c>
      <c r="AC80" s="98">
        <v>0</v>
      </c>
      <c r="AD80" s="98">
        <v>0</v>
      </c>
      <c r="AE80" s="98">
        <v>0</v>
      </c>
      <c r="AF80" s="98">
        <f t="shared" si="19"/>
        <v>0</v>
      </c>
      <c r="AH80" s="98">
        <v>14</v>
      </c>
      <c r="AJ80" s="98">
        <v>0</v>
      </c>
      <c r="AK80" s="98">
        <v>0</v>
      </c>
      <c r="AL80" s="380">
        <v>0</v>
      </c>
      <c r="AN80" s="214">
        <f t="shared" si="20"/>
        <v>98563.5</v>
      </c>
      <c r="AO80" s="214">
        <f t="shared" si="21"/>
        <v>2011.5</v>
      </c>
      <c r="AP80" s="214">
        <f t="shared" si="22"/>
        <v>0</v>
      </c>
      <c r="AQ80" s="214">
        <f t="shared" si="23"/>
        <v>0</v>
      </c>
      <c r="AR80" s="214">
        <f t="shared" si="24"/>
        <v>0</v>
      </c>
      <c r="AS80" s="214">
        <f t="shared" si="25"/>
        <v>0</v>
      </c>
      <c r="AT80" s="214">
        <f t="shared" si="26"/>
        <v>12069</v>
      </c>
      <c r="AU80" s="214">
        <f t="shared" si="27"/>
        <v>84483</v>
      </c>
      <c r="AV80" s="214">
        <f t="shared" si="28"/>
        <v>0</v>
      </c>
      <c r="AW80" s="215">
        <f t="shared" si="29"/>
        <v>98563.5</v>
      </c>
    </row>
    <row r="81" spans="1:49" ht="15" customHeight="1">
      <c r="A81" s="140" t="s">
        <v>113</v>
      </c>
      <c r="B81" s="211" t="s">
        <v>187</v>
      </c>
      <c r="C81" s="140" t="str">
        <f t="shared" si="16"/>
        <v>First Immanuel Lutheran School-MPCP</v>
      </c>
      <c r="D81" s="140">
        <v>42</v>
      </c>
      <c r="E81" s="140">
        <v>0</v>
      </c>
      <c r="F81" s="140">
        <v>0</v>
      </c>
      <c r="G81" s="140">
        <v>0</v>
      </c>
      <c r="H81" s="140">
        <v>0</v>
      </c>
      <c r="I81" s="140">
        <v>27</v>
      </c>
      <c r="J81" s="140">
        <v>223</v>
      </c>
      <c r="K81" s="140">
        <v>0</v>
      </c>
      <c r="L81" s="140">
        <f t="shared" si="17"/>
        <v>292</v>
      </c>
      <c r="N81" s="140">
        <v>1</v>
      </c>
      <c r="O81" s="140">
        <v>0</v>
      </c>
      <c r="P81" s="140">
        <v>0</v>
      </c>
      <c r="Q81" s="140">
        <v>0</v>
      </c>
      <c r="R81" s="140">
        <v>0</v>
      </c>
      <c r="S81" s="140">
        <v>0</v>
      </c>
      <c r="T81" s="140">
        <v>7</v>
      </c>
      <c r="U81" s="140">
        <v>0</v>
      </c>
      <c r="V81" s="140">
        <f t="shared" si="18"/>
        <v>8</v>
      </c>
      <c r="X81" s="98">
        <v>0</v>
      </c>
      <c r="Y81" s="98">
        <v>0</v>
      </c>
      <c r="Z81" s="98">
        <v>0</v>
      </c>
      <c r="AA81" s="98">
        <v>0</v>
      </c>
      <c r="AB81" s="98">
        <v>0</v>
      </c>
      <c r="AC81" s="98">
        <v>0</v>
      </c>
      <c r="AD81" s="98">
        <v>0</v>
      </c>
      <c r="AE81" s="98">
        <v>0</v>
      </c>
      <c r="AF81" s="98">
        <f t="shared" si="19"/>
        <v>0</v>
      </c>
      <c r="AH81" s="98">
        <v>6</v>
      </c>
      <c r="AJ81" s="98">
        <v>0</v>
      </c>
      <c r="AK81" s="98">
        <v>0</v>
      </c>
      <c r="AL81" s="380">
        <v>0</v>
      </c>
      <c r="AN81" s="214">
        <f t="shared" si="20"/>
        <v>30172.5</v>
      </c>
      <c r="AO81" s="214">
        <f t="shared" si="21"/>
        <v>2011.5</v>
      </c>
      <c r="AP81" s="214">
        <f t="shared" si="22"/>
        <v>0</v>
      </c>
      <c r="AQ81" s="214">
        <f t="shared" si="23"/>
        <v>0</v>
      </c>
      <c r="AR81" s="214">
        <f t="shared" si="24"/>
        <v>0</v>
      </c>
      <c r="AS81" s="214">
        <f t="shared" si="25"/>
        <v>0</v>
      </c>
      <c r="AT81" s="214">
        <f t="shared" si="26"/>
        <v>0</v>
      </c>
      <c r="AU81" s="214">
        <f t="shared" si="27"/>
        <v>28161</v>
      </c>
      <c r="AV81" s="214">
        <f t="shared" si="28"/>
        <v>0</v>
      </c>
      <c r="AW81" s="215">
        <f t="shared" si="29"/>
        <v>30172.5</v>
      </c>
    </row>
    <row r="82" spans="1:49" ht="15" customHeight="1">
      <c r="A82" s="140" t="s">
        <v>113</v>
      </c>
      <c r="B82" s="211" t="s">
        <v>96</v>
      </c>
      <c r="C82" s="140" t="str">
        <f t="shared" si="16"/>
        <v>First Immanuel Lutheran School-WPCP</v>
      </c>
      <c r="D82" s="140">
        <v>42</v>
      </c>
      <c r="E82" s="140">
        <v>0</v>
      </c>
      <c r="F82" s="140">
        <v>0</v>
      </c>
      <c r="G82" s="140">
        <v>0</v>
      </c>
      <c r="H82" s="140">
        <v>0</v>
      </c>
      <c r="I82" s="140">
        <v>27</v>
      </c>
      <c r="J82" s="140">
        <v>223</v>
      </c>
      <c r="K82" s="140">
        <v>0</v>
      </c>
      <c r="L82" s="140">
        <f t="shared" si="17"/>
        <v>292</v>
      </c>
      <c r="N82" s="140">
        <v>3</v>
      </c>
      <c r="O82" s="140">
        <v>0</v>
      </c>
      <c r="P82" s="140">
        <v>0</v>
      </c>
      <c r="Q82" s="140">
        <v>0</v>
      </c>
      <c r="R82" s="140">
        <v>0</v>
      </c>
      <c r="S82" s="140">
        <v>6</v>
      </c>
      <c r="T82" s="140">
        <v>20</v>
      </c>
      <c r="U82" s="140">
        <v>0</v>
      </c>
      <c r="V82" s="140">
        <f t="shared" si="18"/>
        <v>29</v>
      </c>
      <c r="X82" s="98">
        <v>0</v>
      </c>
      <c r="Y82" s="98">
        <v>0</v>
      </c>
      <c r="Z82" s="98">
        <v>0</v>
      </c>
      <c r="AA82" s="98">
        <v>0</v>
      </c>
      <c r="AB82" s="98">
        <v>0</v>
      </c>
      <c r="AC82" s="98">
        <v>0</v>
      </c>
      <c r="AD82" s="98">
        <v>0</v>
      </c>
      <c r="AE82" s="98">
        <v>0</v>
      </c>
      <c r="AF82" s="98">
        <f t="shared" si="19"/>
        <v>0</v>
      </c>
      <c r="AH82" s="98">
        <v>17</v>
      </c>
      <c r="AJ82" s="98">
        <v>0</v>
      </c>
      <c r="AK82" s="98">
        <v>0</v>
      </c>
      <c r="AL82" s="380">
        <v>0</v>
      </c>
      <c r="AN82" s="214">
        <f t="shared" si="20"/>
        <v>110632.5</v>
      </c>
      <c r="AO82" s="214">
        <f t="shared" si="21"/>
        <v>6034.5</v>
      </c>
      <c r="AP82" s="214">
        <f t="shared" si="22"/>
        <v>0</v>
      </c>
      <c r="AQ82" s="214">
        <f t="shared" si="23"/>
        <v>0</v>
      </c>
      <c r="AR82" s="214">
        <f t="shared" si="24"/>
        <v>0</v>
      </c>
      <c r="AS82" s="214">
        <f t="shared" si="25"/>
        <v>0</v>
      </c>
      <c r="AT82" s="214">
        <f t="shared" si="26"/>
        <v>24138</v>
      </c>
      <c r="AU82" s="214">
        <f t="shared" si="27"/>
        <v>80460</v>
      </c>
      <c r="AV82" s="214">
        <f t="shared" si="28"/>
        <v>0</v>
      </c>
      <c r="AW82" s="215">
        <f t="shared" si="29"/>
        <v>110632.5</v>
      </c>
    </row>
    <row r="83" spans="1:49" ht="15" customHeight="1">
      <c r="A83" s="140" t="s">
        <v>340</v>
      </c>
      <c r="B83" s="211" t="s">
        <v>96</v>
      </c>
      <c r="C83" s="140" t="str">
        <f t="shared" si="16"/>
        <v>Fond du Lac Christian School-WPCP</v>
      </c>
      <c r="D83" s="140">
        <v>0</v>
      </c>
      <c r="E83" s="140">
        <v>0</v>
      </c>
      <c r="F83" s="140">
        <v>1</v>
      </c>
      <c r="G83" s="140">
        <v>0</v>
      </c>
      <c r="H83" s="140">
        <v>0</v>
      </c>
      <c r="I83" s="140">
        <v>9</v>
      </c>
      <c r="J83" s="140">
        <v>44</v>
      </c>
      <c r="K83" s="140">
        <v>22</v>
      </c>
      <c r="L83" s="140">
        <f t="shared" si="17"/>
        <v>76</v>
      </c>
      <c r="N83" s="140">
        <v>0</v>
      </c>
      <c r="O83" s="140">
        <v>0</v>
      </c>
      <c r="P83" s="140">
        <v>0</v>
      </c>
      <c r="Q83" s="140">
        <v>0</v>
      </c>
      <c r="R83" s="140">
        <v>0</v>
      </c>
      <c r="S83" s="140">
        <v>6</v>
      </c>
      <c r="T83" s="140">
        <v>19</v>
      </c>
      <c r="U83" s="140">
        <v>8</v>
      </c>
      <c r="V83" s="140">
        <f t="shared" si="18"/>
        <v>33</v>
      </c>
      <c r="X83" s="98">
        <v>0</v>
      </c>
      <c r="Y83" s="98">
        <v>0</v>
      </c>
      <c r="Z83" s="98">
        <v>0</v>
      </c>
      <c r="AA83" s="98">
        <v>0</v>
      </c>
      <c r="AB83" s="98">
        <v>0</v>
      </c>
      <c r="AC83" s="98">
        <v>0</v>
      </c>
      <c r="AD83" s="98">
        <v>0</v>
      </c>
      <c r="AE83" s="98">
        <v>0</v>
      </c>
      <c r="AF83" s="98">
        <f t="shared" si="19"/>
        <v>0</v>
      </c>
      <c r="AH83" s="98">
        <v>23</v>
      </c>
      <c r="AJ83" s="98">
        <v>0</v>
      </c>
      <c r="AK83" s="98">
        <v>0</v>
      </c>
      <c r="AL83" s="380">
        <v>0</v>
      </c>
      <c r="AN83" s="214">
        <f t="shared" si="20"/>
        <v>135343</v>
      </c>
      <c r="AO83" s="214">
        <f t="shared" si="21"/>
        <v>0</v>
      </c>
      <c r="AP83" s="214">
        <f t="shared" si="22"/>
        <v>0</v>
      </c>
      <c r="AQ83" s="214">
        <f t="shared" si="23"/>
        <v>0</v>
      </c>
      <c r="AR83" s="214">
        <f t="shared" si="24"/>
        <v>0</v>
      </c>
      <c r="AS83" s="214">
        <f t="shared" si="25"/>
        <v>0</v>
      </c>
      <c r="AT83" s="214">
        <f t="shared" si="26"/>
        <v>24138</v>
      </c>
      <c r="AU83" s="214">
        <f t="shared" si="27"/>
        <v>76437</v>
      </c>
      <c r="AV83" s="214">
        <f t="shared" si="28"/>
        <v>34768</v>
      </c>
      <c r="AW83" s="215">
        <f t="shared" si="29"/>
        <v>135343</v>
      </c>
    </row>
    <row r="84" spans="1:49" ht="15" customHeight="1">
      <c r="A84" s="140" t="s">
        <v>114</v>
      </c>
      <c r="B84" s="211" t="s">
        <v>96</v>
      </c>
      <c r="C84" s="140" t="str">
        <f t="shared" si="16"/>
        <v>Fox Valley Lutheran High School-WPCP</v>
      </c>
      <c r="D84" s="140">
        <v>0</v>
      </c>
      <c r="E84" s="140">
        <v>0</v>
      </c>
      <c r="F84" s="140">
        <v>0</v>
      </c>
      <c r="G84" s="140">
        <v>0</v>
      </c>
      <c r="H84" s="140">
        <v>0</v>
      </c>
      <c r="I84" s="140">
        <v>0</v>
      </c>
      <c r="J84" s="140">
        <v>0</v>
      </c>
      <c r="K84" s="140">
        <v>683</v>
      </c>
      <c r="L84" s="140">
        <f t="shared" si="17"/>
        <v>683</v>
      </c>
      <c r="N84" s="140">
        <v>0</v>
      </c>
      <c r="O84" s="140">
        <v>0</v>
      </c>
      <c r="P84" s="140">
        <v>0</v>
      </c>
      <c r="Q84" s="140">
        <v>0</v>
      </c>
      <c r="R84" s="140">
        <v>0</v>
      </c>
      <c r="S84" s="140">
        <v>0</v>
      </c>
      <c r="T84" s="140">
        <v>0</v>
      </c>
      <c r="U84" s="140">
        <v>198</v>
      </c>
      <c r="V84" s="140">
        <f t="shared" si="18"/>
        <v>198</v>
      </c>
      <c r="X84" s="98">
        <v>0</v>
      </c>
      <c r="Y84" s="98">
        <v>0</v>
      </c>
      <c r="Z84" s="98">
        <v>0</v>
      </c>
      <c r="AA84" s="98">
        <v>0</v>
      </c>
      <c r="AB84" s="98">
        <v>0</v>
      </c>
      <c r="AC84" s="98">
        <v>0</v>
      </c>
      <c r="AD84" s="98">
        <v>0</v>
      </c>
      <c r="AE84" s="98">
        <v>0</v>
      </c>
      <c r="AF84" s="98">
        <f t="shared" si="19"/>
        <v>0</v>
      </c>
      <c r="AH84" s="98">
        <v>164</v>
      </c>
      <c r="AJ84" s="98">
        <v>0</v>
      </c>
      <c r="AK84" s="98">
        <v>0</v>
      </c>
      <c r="AL84" s="380">
        <v>0</v>
      </c>
      <c r="AN84" s="214">
        <f t="shared" si="20"/>
        <v>860508</v>
      </c>
      <c r="AO84" s="214">
        <f t="shared" si="21"/>
        <v>0</v>
      </c>
      <c r="AP84" s="214">
        <f t="shared" si="22"/>
        <v>0</v>
      </c>
      <c r="AQ84" s="214">
        <f t="shared" si="23"/>
        <v>0</v>
      </c>
      <c r="AR84" s="214">
        <f t="shared" si="24"/>
        <v>0</v>
      </c>
      <c r="AS84" s="214">
        <f t="shared" si="25"/>
        <v>0</v>
      </c>
      <c r="AT84" s="214">
        <f t="shared" si="26"/>
        <v>0</v>
      </c>
      <c r="AU84" s="214">
        <f t="shared" si="27"/>
        <v>0</v>
      </c>
      <c r="AV84" s="214">
        <f t="shared" si="28"/>
        <v>860508</v>
      </c>
      <c r="AW84" s="215">
        <f t="shared" si="29"/>
        <v>860508</v>
      </c>
    </row>
    <row r="85" spans="1:49" ht="15" customHeight="1">
      <c r="A85" s="140" t="s">
        <v>166</v>
      </c>
      <c r="B85" s="211" t="s">
        <v>188</v>
      </c>
      <c r="C85" s="140" t="str">
        <f t="shared" si="16"/>
        <v>Friedens Lutheran School-RPCP</v>
      </c>
      <c r="D85" s="140">
        <v>11</v>
      </c>
      <c r="E85" s="140">
        <v>0</v>
      </c>
      <c r="F85" s="140">
        <v>0</v>
      </c>
      <c r="G85" s="140">
        <v>0</v>
      </c>
      <c r="H85" s="140">
        <v>0</v>
      </c>
      <c r="I85" s="140">
        <v>8</v>
      </c>
      <c r="J85" s="140">
        <v>123</v>
      </c>
      <c r="K85" s="140">
        <v>0</v>
      </c>
      <c r="L85" s="140">
        <f t="shared" si="17"/>
        <v>142</v>
      </c>
      <c r="N85" s="140">
        <v>1</v>
      </c>
      <c r="O85" s="140">
        <v>0</v>
      </c>
      <c r="P85" s="140">
        <v>0</v>
      </c>
      <c r="Q85" s="140">
        <v>0</v>
      </c>
      <c r="R85" s="140">
        <v>0</v>
      </c>
      <c r="S85" s="140">
        <v>1</v>
      </c>
      <c r="T85" s="140">
        <v>14</v>
      </c>
      <c r="U85" s="140">
        <v>0</v>
      </c>
      <c r="V85" s="140">
        <f t="shared" si="18"/>
        <v>16</v>
      </c>
      <c r="X85" s="98">
        <v>0</v>
      </c>
      <c r="Y85" s="98">
        <v>0</v>
      </c>
      <c r="Z85" s="98">
        <v>0</v>
      </c>
      <c r="AA85" s="98">
        <v>0</v>
      </c>
      <c r="AB85" s="98">
        <v>0</v>
      </c>
      <c r="AC85" s="98">
        <v>0</v>
      </c>
      <c r="AD85" s="98">
        <v>0</v>
      </c>
      <c r="AE85" s="98">
        <v>0</v>
      </c>
      <c r="AF85" s="98">
        <f t="shared" si="19"/>
        <v>0</v>
      </c>
      <c r="AH85" s="98">
        <v>7</v>
      </c>
      <c r="AJ85" s="98">
        <v>0</v>
      </c>
      <c r="AK85" s="98">
        <v>0</v>
      </c>
      <c r="AL85" s="380">
        <v>0</v>
      </c>
      <c r="AN85" s="214">
        <f t="shared" si="20"/>
        <v>62356.5</v>
      </c>
      <c r="AO85" s="214">
        <f t="shared" si="21"/>
        <v>2011.5</v>
      </c>
      <c r="AP85" s="214">
        <f t="shared" si="22"/>
        <v>0</v>
      </c>
      <c r="AQ85" s="214">
        <f t="shared" si="23"/>
        <v>0</v>
      </c>
      <c r="AR85" s="214">
        <f t="shared" si="24"/>
        <v>0</v>
      </c>
      <c r="AS85" s="214">
        <f t="shared" si="25"/>
        <v>0</v>
      </c>
      <c r="AT85" s="214">
        <f t="shared" si="26"/>
        <v>4023</v>
      </c>
      <c r="AU85" s="214">
        <f t="shared" si="27"/>
        <v>56322</v>
      </c>
      <c r="AV85" s="214">
        <f t="shared" si="28"/>
        <v>0</v>
      </c>
      <c r="AW85" s="215">
        <f t="shared" si="29"/>
        <v>62356.5</v>
      </c>
    </row>
    <row r="86" spans="1:49" ht="15" customHeight="1">
      <c r="A86" s="140" t="s">
        <v>166</v>
      </c>
      <c r="B86" s="211" t="s">
        <v>96</v>
      </c>
      <c r="C86" s="140" t="str">
        <f t="shared" si="16"/>
        <v>Friedens Lutheran School-WPCP</v>
      </c>
      <c r="D86" s="140">
        <v>11</v>
      </c>
      <c r="E86" s="140">
        <v>0</v>
      </c>
      <c r="F86" s="140">
        <v>0</v>
      </c>
      <c r="G86" s="140">
        <v>0</v>
      </c>
      <c r="H86" s="140">
        <v>0</v>
      </c>
      <c r="I86" s="140">
        <v>8</v>
      </c>
      <c r="J86" s="140">
        <v>123</v>
      </c>
      <c r="K86" s="140">
        <v>0</v>
      </c>
      <c r="L86" s="140">
        <f t="shared" si="17"/>
        <v>142</v>
      </c>
      <c r="N86" s="140">
        <v>8</v>
      </c>
      <c r="O86" s="140">
        <v>0</v>
      </c>
      <c r="P86" s="140">
        <v>0</v>
      </c>
      <c r="Q86" s="140">
        <v>0</v>
      </c>
      <c r="R86" s="140">
        <v>0</v>
      </c>
      <c r="S86" s="140">
        <v>6</v>
      </c>
      <c r="T86" s="140">
        <v>74</v>
      </c>
      <c r="U86" s="140">
        <v>0</v>
      </c>
      <c r="V86" s="140">
        <f t="shared" si="18"/>
        <v>88</v>
      </c>
      <c r="X86" s="98">
        <v>0</v>
      </c>
      <c r="Y86" s="98">
        <v>0</v>
      </c>
      <c r="Z86" s="98">
        <v>0</v>
      </c>
      <c r="AA86" s="98">
        <v>0</v>
      </c>
      <c r="AB86" s="98">
        <v>0</v>
      </c>
      <c r="AC86" s="98">
        <v>0</v>
      </c>
      <c r="AD86" s="98">
        <v>0</v>
      </c>
      <c r="AE86" s="98">
        <v>0</v>
      </c>
      <c r="AF86" s="98">
        <f t="shared" si="19"/>
        <v>0</v>
      </c>
      <c r="AH86" s="98">
        <v>49</v>
      </c>
      <c r="AJ86" s="98">
        <v>0</v>
      </c>
      <c r="AK86" s="98">
        <v>0</v>
      </c>
      <c r="AL86" s="380">
        <v>0</v>
      </c>
      <c r="AN86" s="214">
        <f t="shared" si="20"/>
        <v>337932</v>
      </c>
      <c r="AO86" s="214">
        <f t="shared" si="21"/>
        <v>16092</v>
      </c>
      <c r="AP86" s="214">
        <f t="shared" si="22"/>
        <v>0</v>
      </c>
      <c r="AQ86" s="214">
        <f t="shared" si="23"/>
        <v>0</v>
      </c>
      <c r="AR86" s="214">
        <f t="shared" si="24"/>
        <v>0</v>
      </c>
      <c r="AS86" s="214">
        <f t="shared" si="25"/>
        <v>0</v>
      </c>
      <c r="AT86" s="214">
        <f t="shared" si="26"/>
        <v>24138</v>
      </c>
      <c r="AU86" s="214">
        <f t="shared" si="27"/>
        <v>297702</v>
      </c>
      <c r="AV86" s="214">
        <f t="shared" si="28"/>
        <v>0</v>
      </c>
      <c r="AW86" s="215">
        <f t="shared" si="29"/>
        <v>337932</v>
      </c>
    </row>
    <row r="87" spans="1:49" ht="15" customHeight="1">
      <c r="A87" s="140" t="s">
        <v>115</v>
      </c>
      <c r="B87" s="211" t="s">
        <v>187</v>
      </c>
      <c r="C87" s="140" t="str">
        <f t="shared" si="16"/>
        <v>Garden Homes Lutheran School-MPCP</v>
      </c>
      <c r="D87" s="140">
        <v>0</v>
      </c>
      <c r="E87" s="140">
        <v>22</v>
      </c>
      <c r="F87" s="140">
        <v>0</v>
      </c>
      <c r="G87" s="140">
        <v>0</v>
      </c>
      <c r="H87" s="140">
        <v>0</v>
      </c>
      <c r="I87" s="140">
        <v>27</v>
      </c>
      <c r="J87" s="140">
        <v>215</v>
      </c>
      <c r="K87" s="140">
        <v>0</v>
      </c>
      <c r="L87" s="140">
        <f t="shared" si="17"/>
        <v>264</v>
      </c>
      <c r="N87" s="140">
        <v>0</v>
      </c>
      <c r="O87" s="140">
        <v>21</v>
      </c>
      <c r="P87" s="140">
        <v>0</v>
      </c>
      <c r="Q87" s="140">
        <v>0</v>
      </c>
      <c r="R87" s="140">
        <v>0</v>
      </c>
      <c r="S87" s="140">
        <v>25</v>
      </c>
      <c r="T87" s="140">
        <v>212</v>
      </c>
      <c r="U87" s="140">
        <v>0</v>
      </c>
      <c r="V87" s="140">
        <f t="shared" si="18"/>
        <v>258</v>
      </c>
      <c r="X87" s="98">
        <v>0</v>
      </c>
      <c r="Y87" s="98">
        <v>2</v>
      </c>
      <c r="Z87" s="98">
        <v>0</v>
      </c>
      <c r="AA87" s="98">
        <v>0</v>
      </c>
      <c r="AB87" s="98">
        <v>0</v>
      </c>
      <c r="AC87" s="98">
        <v>0</v>
      </c>
      <c r="AD87" s="98">
        <v>2</v>
      </c>
      <c r="AE87" s="98">
        <v>0</v>
      </c>
      <c r="AF87" s="98">
        <f t="shared" si="19"/>
        <v>4</v>
      </c>
      <c r="AH87" s="98">
        <v>176</v>
      </c>
      <c r="AJ87" s="98">
        <v>87</v>
      </c>
      <c r="AK87" s="98">
        <v>0</v>
      </c>
      <c r="AL87" s="380">
        <v>28896.56000000002</v>
      </c>
      <c r="AN87" s="214">
        <f t="shared" si="20"/>
        <v>1004140.8</v>
      </c>
      <c r="AO87" s="214">
        <f t="shared" si="21"/>
        <v>0</v>
      </c>
      <c r="AP87" s="214">
        <f t="shared" si="22"/>
        <v>50689.8</v>
      </c>
      <c r="AQ87" s="214">
        <f t="shared" si="23"/>
        <v>0</v>
      </c>
      <c r="AR87" s="214">
        <f t="shared" si="24"/>
        <v>0</v>
      </c>
      <c r="AS87" s="214">
        <f t="shared" si="25"/>
        <v>0</v>
      </c>
      <c r="AT87" s="214">
        <f t="shared" si="26"/>
        <v>100575</v>
      </c>
      <c r="AU87" s="214">
        <f t="shared" si="27"/>
        <v>852876</v>
      </c>
      <c r="AV87" s="214">
        <f t="shared" si="28"/>
        <v>0</v>
      </c>
      <c r="AW87" s="215">
        <f t="shared" si="29"/>
        <v>1004140.8</v>
      </c>
    </row>
    <row r="88" spans="1:49" ht="15" customHeight="1">
      <c r="A88" s="140" t="s">
        <v>219</v>
      </c>
      <c r="B88" s="211" t="s">
        <v>96</v>
      </c>
      <c r="C88" s="140" t="str">
        <f t="shared" si="16"/>
        <v>Good Shepherd Evangelical Lutheran School - West Bend-WPCP</v>
      </c>
      <c r="D88" s="140">
        <v>22</v>
      </c>
      <c r="E88" s="140">
        <v>0</v>
      </c>
      <c r="F88" s="140">
        <v>1</v>
      </c>
      <c r="G88" s="140">
        <v>0</v>
      </c>
      <c r="H88" s="140">
        <v>0</v>
      </c>
      <c r="I88" s="140">
        <v>24</v>
      </c>
      <c r="J88" s="140">
        <v>186</v>
      </c>
      <c r="K88" s="140">
        <v>0</v>
      </c>
      <c r="L88" s="140">
        <f t="shared" si="17"/>
        <v>233</v>
      </c>
      <c r="N88" s="140">
        <v>5</v>
      </c>
      <c r="O88" s="140">
        <v>0</v>
      </c>
      <c r="P88" s="140">
        <v>1</v>
      </c>
      <c r="Q88" s="140">
        <v>0</v>
      </c>
      <c r="R88" s="140">
        <v>0</v>
      </c>
      <c r="S88" s="140">
        <v>6</v>
      </c>
      <c r="T88" s="140">
        <v>21</v>
      </c>
      <c r="U88" s="140">
        <v>0</v>
      </c>
      <c r="V88" s="140">
        <f t="shared" si="18"/>
        <v>33</v>
      </c>
      <c r="X88" s="98">
        <v>0</v>
      </c>
      <c r="Y88" s="98">
        <v>0</v>
      </c>
      <c r="Z88" s="98">
        <v>0</v>
      </c>
      <c r="AA88" s="98">
        <v>0</v>
      </c>
      <c r="AB88" s="98">
        <v>0</v>
      </c>
      <c r="AC88" s="98">
        <v>0</v>
      </c>
      <c r="AD88" s="98">
        <v>0</v>
      </c>
      <c r="AE88" s="98">
        <v>0</v>
      </c>
      <c r="AF88" s="98">
        <f t="shared" si="19"/>
        <v>0</v>
      </c>
      <c r="AH88" s="98">
        <v>20</v>
      </c>
      <c r="AJ88" s="98">
        <v>0</v>
      </c>
      <c r="AK88" s="98">
        <v>0</v>
      </c>
      <c r="AL88" s="380">
        <v>0</v>
      </c>
      <c r="AN88" s="214">
        <f t="shared" si="20"/>
        <v>120690</v>
      </c>
      <c r="AO88" s="214">
        <f t="shared" si="21"/>
        <v>10057.5</v>
      </c>
      <c r="AP88" s="214">
        <f t="shared" si="22"/>
        <v>0</v>
      </c>
      <c r="AQ88" s="214">
        <f t="shared" si="23"/>
        <v>2011.5</v>
      </c>
      <c r="AR88" s="214">
        <f t="shared" si="24"/>
        <v>0</v>
      </c>
      <c r="AS88" s="214">
        <f t="shared" si="25"/>
        <v>0</v>
      </c>
      <c r="AT88" s="214">
        <f t="shared" si="26"/>
        <v>24138</v>
      </c>
      <c r="AU88" s="214">
        <f t="shared" si="27"/>
        <v>84483</v>
      </c>
      <c r="AV88" s="214">
        <f t="shared" si="28"/>
        <v>0</v>
      </c>
      <c r="AW88" s="215">
        <f t="shared" si="29"/>
        <v>120690</v>
      </c>
    </row>
    <row r="89" spans="1:49" ht="15" customHeight="1">
      <c r="A89" s="140" t="s">
        <v>312</v>
      </c>
      <c r="B89" s="211" t="s">
        <v>96</v>
      </c>
      <c r="C89" s="140" t="str">
        <f t="shared" si="16"/>
        <v>Good Shepherd Lutheran School - Watertown-WPCP</v>
      </c>
      <c r="D89" s="140">
        <v>24</v>
      </c>
      <c r="E89" s="140">
        <v>0</v>
      </c>
      <c r="F89" s="140">
        <v>0</v>
      </c>
      <c r="G89" s="140">
        <v>0</v>
      </c>
      <c r="H89" s="140">
        <v>0</v>
      </c>
      <c r="I89" s="140">
        <v>15</v>
      </c>
      <c r="J89" s="140">
        <v>110</v>
      </c>
      <c r="K89" s="140">
        <v>0</v>
      </c>
      <c r="L89" s="140">
        <f t="shared" si="17"/>
        <v>149</v>
      </c>
      <c r="N89" s="140">
        <v>11</v>
      </c>
      <c r="O89" s="140">
        <v>0</v>
      </c>
      <c r="P89" s="140">
        <v>0</v>
      </c>
      <c r="Q89" s="140">
        <v>0</v>
      </c>
      <c r="R89" s="140">
        <v>0</v>
      </c>
      <c r="S89" s="140">
        <v>4</v>
      </c>
      <c r="T89" s="140">
        <v>39</v>
      </c>
      <c r="U89" s="140">
        <v>0</v>
      </c>
      <c r="V89" s="140">
        <f t="shared" si="18"/>
        <v>54</v>
      </c>
      <c r="X89" s="98">
        <v>1</v>
      </c>
      <c r="Y89" s="98">
        <v>0</v>
      </c>
      <c r="Z89" s="98">
        <v>0</v>
      </c>
      <c r="AA89" s="98">
        <v>0</v>
      </c>
      <c r="AB89" s="98">
        <v>0</v>
      </c>
      <c r="AC89" s="98">
        <v>3</v>
      </c>
      <c r="AD89" s="98">
        <v>6</v>
      </c>
      <c r="AE89" s="98">
        <v>0</v>
      </c>
      <c r="AF89" s="98">
        <f t="shared" si="19"/>
        <v>10</v>
      </c>
      <c r="AH89" s="98">
        <v>31</v>
      </c>
      <c r="AJ89" s="98">
        <v>0</v>
      </c>
      <c r="AK89" s="98">
        <v>0</v>
      </c>
      <c r="AL89" s="380">
        <v>0</v>
      </c>
      <c r="AN89" s="214">
        <f t="shared" si="20"/>
        <v>195115.5</v>
      </c>
      <c r="AO89" s="214">
        <f t="shared" si="21"/>
        <v>22126.5</v>
      </c>
      <c r="AP89" s="214">
        <f t="shared" si="22"/>
        <v>0</v>
      </c>
      <c r="AQ89" s="214">
        <f t="shared" si="23"/>
        <v>0</v>
      </c>
      <c r="AR89" s="214">
        <f t="shared" si="24"/>
        <v>0</v>
      </c>
      <c r="AS89" s="214">
        <f t="shared" si="25"/>
        <v>0</v>
      </c>
      <c r="AT89" s="214">
        <f t="shared" si="26"/>
        <v>16092</v>
      </c>
      <c r="AU89" s="214">
        <f t="shared" si="27"/>
        <v>156897</v>
      </c>
      <c r="AV89" s="214">
        <f t="shared" si="28"/>
        <v>0</v>
      </c>
      <c r="AW89" s="215">
        <f t="shared" si="29"/>
        <v>195115.5</v>
      </c>
    </row>
    <row r="90" spans="1:49" ht="15" customHeight="1">
      <c r="A90" s="140" t="s">
        <v>220</v>
      </c>
      <c r="B90" s="211" t="s">
        <v>187</v>
      </c>
      <c r="C90" s="140" t="str">
        <f t="shared" si="16"/>
        <v>Good Shepherd's Lutheran School - West Allis-MPCP</v>
      </c>
      <c r="D90" s="140">
        <v>11</v>
      </c>
      <c r="E90" s="140">
        <v>0</v>
      </c>
      <c r="F90" s="140">
        <v>0</v>
      </c>
      <c r="G90" s="140">
        <v>0</v>
      </c>
      <c r="H90" s="140">
        <v>0</v>
      </c>
      <c r="I90" s="140">
        <v>11</v>
      </c>
      <c r="J90" s="140">
        <v>84</v>
      </c>
      <c r="K90" s="140">
        <v>0</v>
      </c>
      <c r="L90" s="140">
        <f t="shared" si="17"/>
        <v>106</v>
      </c>
      <c r="N90" s="140">
        <v>2</v>
      </c>
      <c r="O90" s="140">
        <v>0</v>
      </c>
      <c r="P90" s="140">
        <v>0</v>
      </c>
      <c r="Q90" s="140">
        <v>0</v>
      </c>
      <c r="R90" s="140">
        <v>0</v>
      </c>
      <c r="S90" s="140">
        <v>4</v>
      </c>
      <c r="T90" s="140">
        <v>27</v>
      </c>
      <c r="U90" s="140">
        <v>0</v>
      </c>
      <c r="V90" s="140">
        <f t="shared" si="18"/>
        <v>33</v>
      </c>
      <c r="X90" s="98">
        <v>0</v>
      </c>
      <c r="Y90" s="98">
        <v>0</v>
      </c>
      <c r="Z90" s="98">
        <v>0</v>
      </c>
      <c r="AA90" s="98">
        <v>0</v>
      </c>
      <c r="AB90" s="98">
        <v>0</v>
      </c>
      <c r="AC90" s="98">
        <v>0</v>
      </c>
      <c r="AD90" s="98">
        <v>0</v>
      </c>
      <c r="AE90" s="98">
        <v>0</v>
      </c>
      <c r="AF90" s="98">
        <f t="shared" si="19"/>
        <v>0</v>
      </c>
      <c r="AH90" s="98">
        <v>22</v>
      </c>
      <c r="AJ90" s="98">
        <v>0</v>
      </c>
      <c r="AK90" s="98">
        <v>0</v>
      </c>
      <c r="AL90" s="380">
        <v>0</v>
      </c>
      <c r="AN90" s="214">
        <f t="shared" si="20"/>
        <v>128736</v>
      </c>
      <c r="AO90" s="214">
        <f t="shared" si="21"/>
        <v>4023</v>
      </c>
      <c r="AP90" s="214">
        <f t="shared" si="22"/>
        <v>0</v>
      </c>
      <c r="AQ90" s="214">
        <f t="shared" si="23"/>
        <v>0</v>
      </c>
      <c r="AR90" s="214">
        <f t="shared" si="24"/>
        <v>0</v>
      </c>
      <c r="AS90" s="214">
        <f t="shared" si="25"/>
        <v>0</v>
      </c>
      <c r="AT90" s="214">
        <f t="shared" si="26"/>
        <v>16092</v>
      </c>
      <c r="AU90" s="214">
        <f t="shared" si="27"/>
        <v>108621</v>
      </c>
      <c r="AV90" s="214">
        <f t="shared" si="28"/>
        <v>0</v>
      </c>
      <c r="AW90" s="215">
        <f t="shared" si="29"/>
        <v>128736</v>
      </c>
    </row>
    <row r="91" spans="1:49" ht="15" customHeight="1">
      <c r="A91" s="140" t="s">
        <v>220</v>
      </c>
      <c r="B91" s="211" t="s">
        <v>96</v>
      </c>
      <c r="C91" s="140" t="str">
        <f t="shared" si="16"/>
        <v>Good Shepherd's Lutheran School - West Allis-WPCP</v>
      </c>
      <c r="D91" s="140">
        <v>11</v>
      </c>
      <c r="E91" s="140">
        <v>0</v>
      </c>
      <c r="F91" s="140">
        <v>0</v>
      </c>
      <c r="G91" s="140">
        <v>0</v>
      </c>
      <c r="H91" s="140">
        <v>0</v>
      </c>
      <c r="I91" s="140">
        <v>11</v>
      </c>
      <c r="J91" s="140">
        <v>84</v>
      </c>
      <c r="K91" s="140">
        <v>0</v>
      </c>
      <c r="L91" s="140">
        <f t="shared" si="17"/>
        <v>106</v>
      </c>
      <c r="N91" s="140">
        <v>0</v>
      </c>
      <c r="O91" s="140">
        <v>0</v>
      </c>
      <c r="P91" s="140">
        <v>0</v>
      </c>
      <c r="Q91" s="140">
        <v>0</v>
      </c>
      <c r="R91" s="140">
        <v>0</v>
      </c>
      <c r="S91" s="140">
        <v>5</v>
      </c>
      <c r="T91" s="140">
        <v>2</v>
      </c>
      <c r="U91" s="140">
        <v>0</v>
      </c>
      <c r="V91" s="140">
        <f t="shared" si="18"/>
        <v>7</v>
      </c>
      <c r="X91" s="98">
        <v>1</v>
      </c>
      <c r="Y91" s="98">
        <v>0</v>
      </c>
      <c r="Z91" s="98">
        <v>0</v>
      </c>
      <c r="AA91" s="98">
        <v>0</v>
      </c>
      <c r="AB91" s="98">
        <v>0</v>
      </c>
      <c r="AC91" s="98">
        <v>0</v>
      </c>
      <c r="AD91" s="98">
        <v>0</v>
      </c>
      <c r="AE91" s="98">
        <v>0</v>
      </c>
      <c r="AF91" s="98">
        <f t="shared" si="19"/>
        <v>1</v>
      </c>
      <c r="AH91" s="98">
        <v>4</v>
      </c>
      <c r="AJ91" s="98">
        <v>0</v>
      </c>
      <c r="AK91" s="98">
        <v>0</v>
      </c>
      <c r="AL91" s="380">
        <v>0</v>
      </c>
      <c r="AN91" s="214">
        <f t="shared" si="20"/>
        <v>28161</v>
      </c>
      <c r="AO91" s="214">
        <f t="shared" si="21"/>
        <v>0</v>
      </c>
      <c r="AP91" s="214">
        <f t="shared" si="22"/>
        <v>0</v>
      </c>
      <c r="AQ91" s="214">
        <f t="shared" si="23"/>
        <v>0</v>
      </c>
      <c r="AR91" s="214">
        <f t="shared" si="24"/>
        <v>0</v>
      </c>
      <c r="AS91" s="214">
        <f t="shared" si="25"/>
        <v>0</v>
      </c>
      <c r="AT91" s="214">
        <f t="shared" si="26"/>
        <v>20115</v>
      </c>
      <c r="AU91" s="214">
        <f t="shared" si="27"/>
        <v>8046</v>
      </c>
      <c r="AV91" s="214">
        <f t="shared" si="28"/>
        <v>0</v>
      </c>
      <c r="AW91" s="215">
        <f t="shared" si="29"/>
        <v>28161</v>
      </c>
    </row>
    <row r="92" spans="1:49" ht="15" customHeight="1">
      <c r="A92" s="140" t="s">
        <v>535</v>
      </c>
      <c r="B92" s="211" t="s">
        <v>187</v>
      </c>
      <c r="C92" s="140" t="str">
        <f t="shared" si="16"/>
        <v>Grace Christian Academy - West Allis-MPCP</v>
      </c>
      <c r="D92" s="140">
        <v>17</v>
      </c>
      <c r="E92" s="140">
        <v>0</v>
      </c>
      <c r="F92" s="140">
        <v>0</v>
      </c>
      <c r="G92" s="140">
        <v>0</v>
      </c>
      <c r="H92" s="140">
        <v>0</v>
      </c>
      <c r="I92" s="140">
        <v>21</v>
      </c>
      <c r="J92" s="140">
        <v>143</v>
      </c>
      <c r="K92" s="140">
        <v>35</v>
      </c>
      <c r="L92" s="140">
        <f t="shared" si="17"/>
        <v>216</v>
      </c>
      <c r="N92" s="140">
        <v>11</v>
      </c>
      <c r="O92" s="140">
        <v>0</v>
      </c>
      <c r="P92" s="140">
        <v>0</v>
      </c>
      <c r="Q92" s="140">
        <v>0</v>
      </c>
      <c r="R92" s="140">
        <v>0</v>
      </c>
      <c r="S92" s="140">
        <v>10</v>
      </c>
      <c r="T92" s="140">
        <v>96</v>
      </c>
      <c r="U92" s="140">
        <v>22</v>
      </c>
      <c r="V92" s="140">
        <f t="shared" si="18"/>
        <v>139</v>
      </c>
      <c r="X92" s="98">
        <v>0</v>
      </c>
      <c r="Y92" s="98">
        <v>0</v>
      </c>
      <c r="Z92" s="98">
        <v>0</v>
      </c>
      <c r="AA92" s="98">
        <v>0</v>
      </c>
      <c r="AB92" s="98">
        <v>0</v>
      </c>
      <c r="AC92" s="98">
        <v>0</v>
      </c>
      <c r="AD92" s="98">
        <v>0</v>
      </c>
      <c r="AE92" s="98">
        <v>0</v>
      </c>
      <c r="AF92" s="98">
        <f t="shared" si="19"/>
        <v>0</v>
      </c>
      <c r="AH92" s="98">
        <v>79</v>
      </c>
      <c r="AJ92" s="98">
        <v>0</v>
      </c>
      <c r="AK92" s="98">
        <v>0</v>
      </c>
      <c r="AL92" s="380">
        <v>0</v>
      </c>
      <c r="AN92" s="214">
        <f t="shared" si="20"/>
        <v>544176.5</v>
      </c>
      <c r="AO92" s="214">
        <f t="shared" si="21"/>
        <v>22126.5</v>
      </c>
      <c r="AP92" s="214">
        <f t="shared" si="22"/>
        <v>0</v>
      </c>
      <c r="AQ92" s="214">
        <f t="shared" si="23"/>
        <v>0</v>
      </c>
      <c r="AR92" s="214">
        <f t="shared" si="24"/>
        <v>0</v>
      </c>
      <c r="AS92" s="214">
        <f t="shared" si="25"/>
        <v>0</v>
      </c>
      <c r="AT92" s="214">
        <f t="shared" si="26"/>
        <v>40230</v>
      </c>
      <c r="AU92" s="214">
        <f t="shared" si="27"/>
        <v>386208</v>
      </c>
      <c r="AV92" s="214">
        <f t="shared" si="28"/>
        <v>95612</v>
      </c>
      <c r="AW92" s="215">
        <f t="shared" si="29"/>
        <v>544176.5</v>
      </c>
    </row>
    <row r="93" spans="1:49" ht="15" customHeight="1">
      <c r="A93" s="140" t="s">
        <v>535</v>
      </c>
      <c r="B93" s="211" t="s">
        <v>96</v>
      </c>
      <c r="C93" s="140" t="str">
        <f t="shared" si="16"/>
        <v>Grace Christian Academy - West Allis-WPCP</v>
      </c>
      <c r="D93" s="140">
        <v>17</v>
      </c>
      <c r="E93" s="140">
        <v>0</v>
      </c>
      <c r="F93" s="140">
        <v>0</v>
      </c>
      <c r="G93" s="140">
        <v>0</v>
      </c>
      <c r="H93" s="140">
        <v>0</v>
      </c>
      <c r="I93" s="140">
        <v>21</v>
      </c>
      <c r="J93" s="140">
        <v>143</v>
      </c>
      <c r="K93" s="140">
        <v>35</v>
      </c>
      <c r="L93" s="140">
        <f t="shared" si="17"/>
        <v>216</v>
      </c>
      <c r="N93" s="140">
        <v>2</v>
      </c>
      <c r="O93" s="140">
        <v>0</v>
      </c>
      <c r="P93" s="140">
        <v>0</v>
      </c>
      <c r="Q93" s="140">
        <v>0</v>
      </c>
      <c r="R93" s="140">
        <v>0</v>
      </c>
      <c r="S93" s="140">
        <v>2</v>
      </c>
      <c r="T93" s="140">
        <v>18</v>
      </c>
      <c r="U93" s="140">
        <v>4</v>
      </c>
      <c r="V93" s="140">
        <f t="shared" si="18"/>
        <v>26</v>
      </c>
      <c r="X93" s="98">
        <v>1</v>
      </c>
      <c r="Y93" s="98">
        <v>0</v>
      </c>
      <c r="Z93" s="98">
        <v>0</v>
      </c>
      <c r="AA93" s="98">
        <v>0</v>
      </c>
      <c r="AB93" s="98">
        <v>0</v>
      </c>
      <c r="AC93" s="98">
        <v>2</v>
      </c>
      <c r="AD93" s="98">
        <v>4</v>
      </c>
      <c r="AE93" s="98">
        <v>1</v>
      </c>
      <c r="AF93" s="98">
        <f t="shared" si="19"/>
        <v>8</v>
      </c>
      <c r="AH93" s="98">
        <v>18</v>
      </c>
      <c r="AJ93" s="98">
        <v>0</v>
      </c>
      <c r="AK93" s="98">
        <v>0</v>
      </c>
      <c r="AL93" s="380">
        <v>0</v>
      </c>
      <c r="AN93" s="214">
        <f t="shared" si="20"/>
        <v>101867</v>
      </c>
      <c r="AO93" s="214">
        <f t="shared" si="21"/>
        <v>4023</v>
      </c>
      <c r="AP93" s="214">
        <f t="shared" si="22"/>
        <v>0</v>
      </c>
      <c r="AQ93" s="214">
        <f t="shared" si="23"/>
        <v>0</v>
      </c>
      <c r="AR93" s="214">
        <f t="shared" si="24"/>
        <v>0</v>
      </c>
      <c r="AS93" s="214">
        <f t="shared" si="25"/>
        <v>0</v>
      </c>
      <c r="AT93" s="214">
        <f t="shared" si="26"/>
        <v>8046</v>
      </c>
      <c r="AU93" s="214">
        <f t="shared" si="27"/>
        <v>72414</v>
      </c>
      <c r="AV93" s="214">
        <f t="shared" si="28"/>
        <v>17384</v>
      </c>
      <c r="AW93" s="215">
        <f t="shared" si="29"/>
        <v>101867</v>
      </c>
    </row>
    <row r="94" spans="1:49" ht="15" customHeight="1">
      <c r="A94" s="140" t="s">
        <v>374</v>
      </c>
      <c r="B94" s="211" t="s">
        <v>187</v>
      </c>
      <c r="C94" s="140" t="str">
        <f t="shared" si="16"/>
        <v>Grace Lutheran School - Menomonee Falls-MPCP</v>
      </c>
      <c r="D94" s="140">
        <v>20</v>
      </c>
      <c r="E94" s="140">
        <v>0</v>
      </c>
      <c r="F94" s="140">
        <v>0</v>
      </c>
      <c r="G94" s="140">
        <v>0</v>
      </c>
      <c r="H94" s="140">
        <v>0</v>
      </c>
      <c r="I94" s="140">
        <v>21</v>
      </c>
      <c r="J94" s="140">
        <v>166</v>
      </c>
      <c r="K94" s="140">
        <v>0</v>
      </c>
      <c r="L94" s="140">
        <f t="shared" si="17"/>
        <v>207</v>
      </c>
      <c r="N94" s="140">
        <v>4</v>
      </c>
      <c r="O94" s="140">
        <v>0</v>
      </c>
      <c r="P94" s="140">
        <v>0</v>
      </c>
      <c r="Q94" s="140">
        <v>0</v>
      </c>
      <c r="R94" s="140">
        <v>0</v>
      </c>
      <c r="S94" s="140">
        <v>5</v>
      </c>
      <c r="T94" s="140">
        <v>45</v>
      </c>
      <c r="U94" s="140">
        <v>0</v>
      </c>
      <c r="V94" s="140">
        <f t="shared" si="18"/>
        <v>54</v>
      </c>
      <c r="X94" s="98">
        <v>0</v>
      </c>
      <c r="Y94" s="98">
        <v>0</v>
      </c>
      <c r="Z94" s="98">
        <v>0</v>
      </c>
      <c r="AA94" s="98">
        <v>0</v>
      </c>
      <c r="AB94" s="98">
        <v>0</v>
      </c>
      <c r="AC94" s="98">
        <v>0</v>
      </c>
      <c r="AD94" s="98">
        <v>0</v>
      </c>
      <c r="AE94" s="98">
        <v>0</v>
      </c>
      <c r="AF94" s="98">
        <f t="shared" si="19"/>
        <v>0</v>
      </c>
      <c r="AH94" s="98">
        <v>36</v>
      </c>
      <c r="AJ94" s="98">
        <v>0</v>
      </c>
      <c r="AK94" s="98">
        <v>0</v>
      </c>
      <c r="AL94" s="380">
        <v>0</v>
      </c>
      <c r="AN94" s="214">
        <f t="shared" si="20"/>
        <v>209196</v>
      </c>
      <c r="AO94" s="214">
        <f t="shared" si="21"/>
        <v>8046</v>
      </c>
      <c r="AP94" s="214">
        <f t="shared" si="22"/>
        <v>0</v>
      </c>
      <c r="AQ94" s="214">
        <f t="shared" si="23"/>
        <v>0</v>
      </c>
      <c r="AR94" s="214">
        <f t="shared" si="24"/>
        <v>0</v>
      </c>
      <c r="AS94" s="214">
        <f t="shared" si="25"/>
        <v>0</v>
      </c>
      <c r="AT94" s="214">
        <f t="shared" si="26"/>
        <v>20115</v>
      </c>
      <c r="AU94" s="214">
        <f t="shared" si="27"/>
        <v>181035</v>
      </c>
      <c r="AV94" s="214">
        <f t="shared" si="28"/>
        <v>0</v>
      </c>
      <c r="AW94" s="215">
        <f t="shared" si="29"/>
        <v>209196</v>
      </c>
    </row>
    <row r="95" spans="1:49" ht="15" customHeight="1">
      <c r="A95" s="140" t="s">
        <v>374</v>
      </c>
      <c r="B95" s="211" t="s">
        <v>96</v>
      </c>
      <c r="C95" s="140" t="str">
        <f t="shared" si="16"/>
        <v>Grace Lutheran School - Menomonee Falls-WPCP</v>
      </c>
      <c r="D95" s="140">
        <v>20</v>
      </c>
      <c r="E95" s="140">
        <v>0</v>
      </c>
      <c r="F95" s="140">
        <v>0</v>
      </c>
      <c r="G95" s="140">
        <v>0</v>
      </c>
      <c r="H95" s="140">
        <v>0</v>
      </c>
      <c r="I95" s="140">
        <v>21</v>
      </c>
      <c r="J95" s="140">
        <v>166</v>
      </c>
      <c r="K95" s="140">
        <v>0</v>
      </c>
      <c r="L95" s="140">
        <f t="shared" si="17"/>
        <v>207</v>
      </c>
      <c r="N95" s="140">
        <v>0</v>
      </c>
      <c r="O95" s="140">
        <v>0</v>
      </c>
      <c r="P95" s="140">
        <v>0</v>
      </c>
      <c r="Q95" s="140">
        <v>0</v>
      </c>
      <c r="R95" s="140">
        <v>0</v>
      </c>
      <c r="S95" s="140">
        <v>1</v>
      </c>
      <c r="T95" s="140">
        <v>15</v>
      </c>
      <c r="U95" s="140">
        <v>0</v>
      </c>
      <c r="V95" s="140">
        <f t="shared" si="18"/>
        <v>16</v>
      </c>
      <c r="X95" s="98">
        <v>0</v>
      </c>
      <c r="Y95" s="98">
        <v>0</v>
      </c>
      <c r="Z95" s="98">
        <v>0</v>
      </c>
      <c r="AA95" s="98">
        <v>0</v>
      </c>
      <c r="AB95" s="98">
        <v>0</v>
      </c>
      <c r="AC95" s="98">
        <v>0</v>
      </c>
      <c r="AD95" s="98">
        <v>0</v>
      </c>
      <c r="AE95" s="98">
        <v>0</v>
      </c>
      <c r="AF95" s="98">
        <f t="shared" si="19"/>
        <v>0</v>
      </c>
      <c r="AH95" s="98">
        <v>11</v>
      </c>
      <c r="AJ95" s="98">
        <v>0</v>
      </c>
      <c r="AK95" s="98">
        <v>0</v>
      </c>
      <c r="AL95" s="380">
        <v>0</v>
      </c>
      <c r="AN95" s="214">
        <f t="shared" si="20"/>
        <v>64368</v>
      </c>
      <c r="AO95" s="214">
        <f t="shared" si="21"/>
        <v>0</v>
      </c>
      <c r="AP95" s="214">
        <f t="shared" si="22"/>
        <v>0</v>
      </c>
      <c r="AQ95" s="214">
        <f t="shared" si="23"/>
        <v>0</v>
      </c>
      <c r="AR95" s="214">
        <f t="shared" si="24"/>
        <v>0</v>
      </c>
      <c r="AS95" s="214">
        <f t="shared" si="25"/>
        <v>0</v>
      </c>
      <c r="AT95" s="214">
        <f t="shared" si="26"/>
        <v>4023</v>
      </c>
      <c r="AU95" s="214">
        <f t="shared" si="27"/>
        <v>60345</v>
      </c>
      <c r="AV95" s="214">
        <f t="shared" si="28"/>
        <v>0</v>
      </c>
      <c r="AW95" s="215">
        <f t="shared" si="29"/>
        <v>64368</v>
      </c>
    </row>
    <row r="96" spans="1:49" ht="15" customHeight="1">
      <c r="A96" s="140" t="s">
        <v>443</v>
      </c>
      <c r="B96" s="211" t="s">
        <v>187</v>
      </c>
      <c r="C96" s="140" t="str">
        <f t="shared" si="16"/>
        <v>Grace Lutheran School - Oak Creek-MPCP</v>
      </c>
      <c r="D96" s="140">
        <v>18</v>
      </c>
      <c r="E96" s="140">
        <v>0</v>
      </c>
      <c r="F96" s="140">
        <v>0</v>
      </c>
      <c r="G96" s="140">
        <v>0</v>
      </c>
      <c r="H96" s="140">
        <v>0</v>
      </c>
      <c r="I96" s="140">
        <v>13</v>
      </c>
      <c r="J96" s="140">
        <v>39</v>
      </c>
      <c r="K96" s="140">
        <v>0</v>
      </c>
      <c r="L96" s="140">
        <f t="shared" si="17"/>
        <v>70</v>
      </c>
      <c r="N96" s="140">
        <v>0</v>
      </c>
      <c r="O96" s="140">
        <v>0</v>
      </c>
      <c r="P96" s="140">
        <v>0</v>
      </c>
      <c r="Q96" s="140">
        <v>0</v>
      </c>
      <c r="R96" s="140">
        <v>0</v>
      </c>
      <c r="S96" s="140">
        <v>2</v>
      </c>
      <c r="T96" s="140">
        <v>9</v>
      </c>
      <c r="U96" s="140">
        <v>0</v>
      </c>
      <c r="V96" s="140">
        <f t="shared" si="18"/>
        <v>11</v>
      </c>
      <c r="X96" s="98">
        <v>0</v>
      </c>
      <c r="Y96" s="98">
        <v>0</v>
      </c>
      <c r="Z96" s="98">
        <v>0</v>
      </c>
      <c r="AA96" s="98">
        <v>0</v>
      </c>
      <c r="AB96" s="98">
        <v>0</v>
      </c>
      <c r="AC96" s="98">
        <v>0</v>
      </c>
      <c r="AD96" s="98">
        <v>0</v>
      </c>
      <c r="AE96" s="98">
        <v>0</v>
      </c>
      <c r="AF96" s="98">
        <f t="shared" si="19"/>
        <v>0</v>
      </c>
      <c r="AH96" s="98">
        <v>7</v>
      </c>
      <c r="AJ96" s="98">
        <v>0</v>
      </c>
      <c r="AK96" s="98">
        <v>0</v>
      </c>
      <c r="AL96" s="380">
        <v>0</v>
      </c>
      <c r="AN96" s="214">
        <f t="shared" si="20"/>
        <v>44253</v>
      </c>
      <c r="AO96" s="214">
        <f t="shared" si="21"/>
        <v>0</v>
      </c>
      <c r="AP96" s="214">
        <f t="shared" si="22"/>
        <v>0</v>
      </c>
      <c r="AQ96" s="214">
        <f t="shared" si="23"/>
        <v>0</v>
      </c>
      <c r="AR96" s="214">
        <f t="shared" si="24"/>
        <v>0</v>
      </c>
      <c r="AS96" s="214">
        <f t="shared" si="25"/>
        <v>0</v>
      </c>
      <c r="AT96" s="214">
        <f t="shared" si="26"/>
        <v>8046</v>
      </c>
      <c r="AU96" s="214">
        <f t="shared" si="27"/>
        <v>36207</v>
      </c>
      <c r="AV96" s="214">
        <f t="shared" si="28"/>
        <v>0</v>
      </c>
      <c r="AW96" s="215">
        <f t="shared" si="29"/>
        <v>44253</v>
      </c>
    </row>
    <row r="97" spans="1:49" ht="15" customHeight="1">
      <c r="A97" s="140" t="s">
        <v>443</v>
      </c>
      <c r="B97" s="211" t="s">
        <v>188</v>
      </c>
      <c r="C97" s="140" t="str">
        <f t="shared" si="16"/>
        <v>Grace Lutheran School - Oak Creek-RPCP</v>
      </c>
      <c r="D97" s="140">
        <v>18</v>
      </c>
      <c r="E97" s="140">
        <v>0</v>
      </c>
      <c r="F97" s="140">
        <v>0</v>
      </c>
      <c r="G97" s="140">
        <v>0</v>
      </c>
      <c r="H97" s="140">
        <v>0</v>
      </c>
      <c r="I97" s="140">
        <v>13</v>
      </c>
      <c r="J97" s="140">
        <v>39</v>
      </c>
      <c r="K97" s="140">
        <v>0</v>
      </c>
      <c r="L97" s="140">
        <f t="shared" si="17"/>
        <v>70</v>
      </c>
      <c r="N97" s="140">
        <v>1</v>
      </c>
      <c r="O97" s="140">
        <v>0</v>
      </c>
      <c r="P97" s="140">
        <v>0</v>
      </c>
      <c r="Q97" s="140">
        <v>0</v>
      </c>
      <c r="R97" s="140">
        <v>0</v>
      </c>
      <c r="S97" s="140">
        <v>2</v>
      </c>
      <c r="T97" s="140">
        <v>3</v>
      </c>
      <c r="U97" s="140">
        <v>0</v>
      </c>
      <c r="V97" s="140">
        <f t="shared" si="18"/>
        <v>6</v>
      </c>
      <c r="X97" s="98">
        <v>0</v>
      </c>
      <c r="Y97" s="98">
        <v>0</v>
      </c>
      <c r="Z97" s="98">
        <v>0</v>
      </c>
      <c r="AA97" s="98">
        <v>0</v>
      </c>
      <c r="AB97" s="98">
        <v>0</v>
      </c>
      <c r="AC97" s="98">
        <v>0</v>
      </c>
      <c r="AD97" s="98">
        <v>0</v>
      </c>
      <c r="AE97" s="98">
        <v>0</v>
      </c>
      <c r="AF97" s="98">
        <f t="shared" si="19"/>
        <v>0</v>
      </c>
      <c r="AH97" s="98">
        <v>5</v>
      </c>
      <c r="AJ97" s="98">
        <v>0</v>
      </c>
      <c r="AK97" s="98">
        <v>0</v>
      </c>
      <c r="AL97" s="380">
        <v>0</v>
      </c>
      <c r="AN97" s="214">
        <f t="shared" si="20"/>
        <v>22126.5</v>
      </c>
      <c r="AO97" s="214">
        <f t="shared" si="21"/>
        <v>2011.5</v>
      </c>
      <c r="AP97" s="214">
        <f t="shared" si="22"/>
        <v>0</v>
      </c>
      <c r="AQ97" s="214">
        <f t="shared" si="23"/>
        <v>0</v>
      </c>
      <c r="AR97" s="214">
        <f t="shared" si="24"/>
        <v>0</v>
      </c>
      <c r="AS97" s="214">
        <f t="shared" si="25"/>
        <v>0</v>
      </c>
      <c r="AT97" s="214">
        <f t="shared" si="26"/>
        <v>8046</v>
      </c>
      <c r="AU97" s="214">
        <f t="shared" si="27"/>
        <v>12069</v>
      </c>
      <c r="AV97" s="214">
        <f t="shared" si="28"/>
        <v>0</v>
      </c>
      <c r="AW97" s="215">
        <f t="shared" si="29"/>
        <v>22126.5</v>
      </c>
    </row>
    <row r="98" spans="1:49" ht="15" customHeight="1">
      <c r="A98" s="140" t="s">
        <v>443</v>
      </c>
      <c r="B98" s="211" t="s">
        <v>96</v>
      </c>
      <c r="C98" s="140" t="str">
        <f t="shared" si="16"/>
        <v>Grace Lutheran School - Oak Creek-WPCP</v>
      </c>
      <c r="D98" s="140">
        <v>18</v>
      </c>
      <c r="E98" s="140">
        <v>0</v>
      </c>
      <c r="F98" s="140">
        <v>0</v>
      </c>
      <c r="G98" s="140">
        <v>0</v>
      </c>
      <c r="H98" s="140">
        <v>0</v>
      </c>
      <c r="I98" s="140">
        <v>13</v>
      </c>
      <c r="J98" s="140">
        <v>39</v>
      </c>
      <c r="K98" s="140">
        <v>0</v>
      </c>
      <c r="L98" s="140">
        <f t="shared" si="17"/>
        <v>70</v>
      </c>
      <c r="N98" s="140">
        <v>4</v>
      </c>
      <c r="O98" s="140">
        <v>0</v>
      </c>
      <c r="P98" s="140">
        <v>0</v>
      </c>
      <c r="Q98" s="140">
        <v>0</v>
      </c>
      <c r="R98" s="140">
        <v>0</v>
      </c>
      <c r="S98" s="140">
        <v>4</v>
      </c>
      <c r="T98" s="140">
        <v>5</v>
      </c>
      <c r="U98" s="140">
        <v>0</v>
      </c>
      <c r="V98" s="140">
        <f t="shared" si="18"/>
        <v>13</v>
      </c>
      <c r="X98" s="98">
        <v>0</v>
      </c>
      <c r="Y98" s="98">
        <v>0</v>
      </c>
      <c r="Z98" s="98">
        <v>0</v>
      </c>
      <c r="AA98" s="98">
        <v>0</v>
      </c>
      <c r="AB98" s="98">
        <v>0</v>
      </c>
      <c r="AC98" s="98">
        <v>0</v>
      </c>
      <c r="AD98" s="98">
        <v>0</v>
      </c>
      <c r="AE98" s="98">
        <v>0</v>
      </c>
      <c r="AF98" s="98">
        <f t="shared" si="19"/>
        <v>0</v>
      </c>
      <c r="AH98" s="98">
        <v>11</v>
      </c>
      <c r="AJ98" s="98">
        <v>0</v>
      </c>
      <c r="AK98" s="98">
        <v>0</v>
      </c>
      <c r="AL98" s="380">
        <v>0</v>
      </c>
      <c r="AN98" s="214">
        <f t="shared" si="20"/>
        <v>44253</v>
      </c>
      <c r="AO98" s="214">
        <f t="shared" si="21"/>
        <v>8046</v>
      </c>
      <c r="AP98" s="214">
        <f t="shared" si="22"/>
        <v>0</v>
      </c>
      <c r="AQ98" s="214">
        <f t="shared" si="23"/>
        <v>0</v>
      </c>
      <c r="AR98" s="214">
        <f t="shared" si="24"/>
        <v>0</v>
      </c>
      <c r="AS98" s="214">
        <f t="shared" si="25"/>
        <v>0</v>
      </c>
      <c r="AT98" s="214">
        <f t="shared" si="26"/>
        <v>16092</v>
      </c>
      <c r="AU98" s="214">
        <f t="shared" si="27"/>
        <v>20115</v>
      </c>
      <c r="AV98" s="214">
        <f t="shared" si="28"/>
        <v>0</v>
      </c>
      <c r="AW98" s="215">
        <f t="shared" si="29"/>
        <v>44253</v>
      </c>
    </row>
    <row r="99" spans="1:49" ht="15" customHeight="1">
      <c r="A99" s="140" t="s">
        <v>577</v>
      </c>
      <c r="B99" s="211" t="s">
        <v>96</v>
      </c>
      <c r="C99" s="140" t="str">
        <f t="shared" si="16"/>
        <v>Grace Lutheran School - Oshkosh-WPCP</v>
      </c>
      <c r="D99" s="140">
        <v>15</v>
      </c>
      <c r="E99" s="140">
        <v>0</v>
      </c>
      <c r="F99" s="140">
        <v>0</v>
      </c>
      <c r="G99" s="140">
        <v>0</v>
      </c>
      <c r="H99" s="140">
        <v>0</v>
      </c>
      <c r="I99" s="140">
        <v>16</v>
      </c>
      <c r="J99" s="140">
        <v>102</v>
      </c>
      <c r="K99" s="140">
        <v>0</v>
      </c>
      <c r="L99" s="140">
        <f t="shared" si="17"/>
        <v>133</v>
      </c>
      <c r="N99" s="140">
        <v>7</v>
      </c>
      <c r="O99" s="140">
        <v>0</v>
      </c>
      <c r="P99" s="140">
        <v>0</v>
      </c>
      <c r="Q99" s="140">
        <v>0</v>
      </c>
      <c r="R99" s="140">
        <v>0</v>
      </c>
      <c r="S99" s="140">
        <v>7</v>
      </c>
      <c r="T99" s="140">
        <v>21</v>
      </c>
      <c r="U99" s="140">
        <v>0</v>
      </c>
      <c r="V99" s="140">
        <f t="shared" si="18"/>
        <v>35</v>
      </c>
      <c r="X99" s="98">
        <v>0</v>
      </c>
      <c r="Y99" s="98">
        <v>0</v>
      </c>
      <c r="Z99" s="98">
        <v>0</v>
      </c>
      <c r="AA99" s="98">
        <v>0</v>
      </c>
      <c r="AB99" s="98">
        <v>0</v>
      </c>
      <c r="AC99" s="98">
        <v>0</v>
      </c>
      <c r="AD99" s="98">
        <v>0</v>
      </c>
      <c r="AE99" s="98">
        <v>0</v>
      </c>
      <c r="AF99" s="98">
        <f t="shared" si="19"/>
        <v>0</v>
      </c>
      <c r="AH99" s="98">
        <v>21</v>
      </c>
      <c r="AJ99" s="98">
        <v>0</v>
      </c>
      <c r="AK99" s="98">
        <v>0</v>
      </c>
      <c r="AL99" s="380">
        <v>0</v>
      </c>
      <c r="AN99" s="214">
        <f t="shared" si="20"/>
        <v>126724.5</v>
      </c>
      <c r="AO99" s="214">
        <f t="shared" si="21"/>
        <v>14080.5</v>
      </c>
      <c r="AP99" s="214">
        <f t="shared" si="22"/>
        <v>0</v>
      </c>
      <c r="AQ99" s="214">
        <f t="shared" si="23"/>
        <v>0</v>
      </c>
      <c r="AR99" s="214">
        <f t="shared" si="24"/>
        <v>0</v>
      </c>
      <c r="AS99" s="214">
        <f t="shared" si="25"/>
        <v>0</v>
      </c>
      <c r="AT99" s="214">
        <f t="shared" si="26"/>
        <v>28161</v>
      </c>
      <c r="AU99" s="214">
        <f t="shared" si="27"/>
        <v>84483</v>
      </c>
      <c r="AV99" s="214">
        <f t="shared" si="28"/>
        <v>0</v>
      </c>
      <c r="AW99" s="215">
        <f t="shared" si="29"/>
        <v>126724.5</v>
      </c>
    </row>
    <row r="100" spans="1:49" ht="15" customHeight="1">
      <c r="A100" s="140" t="s">
        <v>171</v>
      </c>
      <c r="B100" s="211" t="s">
        <v>187</v>
      </c>
      <c r="C100" s="140" t="str">
        <f t="shared" si="16"/>
        <v>Granville Lutheran School-MPCP</v>
      </c>
      <c r="D100" s="140">
        <v>0</v>
      </c>
      <c r="E100" s="140">
        <v>25</v>
      </c>
      <c r="F100" s="140">
        <v>0</v>
      </c>
      <c r="G100" s="140">
        <v>0</v>
      </c>
      <c r="H100" s="140">
        <v>0</v>
      </c>
      <c r="I100" s="140">
        <v>21</v>
      </c>
      <c r="J100" s="140">
        <v>222</v>
      </c>
      <c r="K100" s="140">
        <v>0</v>
      </c>
      <c r="L100" s="140">
        <f t="shared" si="17"/>
        <v>268</v>
      </c>
      <c r="N100" s="140">
        <v>0</v>
      </c>
      <c r="O100" s="140">
        <v>24</v>
      </c>
      <c r="P100" s="140">
        <v>0</v>
      </c>
      <c r="Q100" s="140">
        <v>0</v>
      </c>
      <c r="R100" s="140">
        <v>0</v>
      </c>
      <c r="S100" s="140">
        <v>20</v>
      </c>
      <c r="T100" s="140">
        <v>213</v>
      </c>
      <c r="U100" s="140">
        <v>0</v>
      </c>
      <c r="V100" s="140">
        <f t="shared" si="18"/>
        <v>257</v>
      </c>
      <c r="X100" s="98">
        <v>0</v>
      </c>
      <c r="Y100" s="98">
        <v>1</v>
      </c>
      <c r="Z100" s="98">
        <v>0</v>
      </c>
      <c r="AA100" s="98">
        <v>0</v>
      </c>
      <c r="AB100" s="98">
        <v>0</v>
      </c>
      <c r="AC100" s="98">
        <v>0</v>
      </c>
      <c r="AD100" s="98">
        <v>2</v>
      </c>
      <c r="AE100" s="98">
        <v>0</v>
      </c>
      <c r="AF100" s="98">
        <f t="shared" si="19"/>
        <v>3</v>
      </c>
      <c r="AH100" s="98">
        <v>164</v>
      </c>
      <c r="AJ100" s="98">
        <v>66</v>
      </c>
      <c r="AK100" s="98">
        <v>0</v>
      </c>
      <c r="AL100" s="380">
        <v>19643.500000000015</v>
      </c>
      <c r="AN100" s="214">
        <f t="shared" si="20"/>
        <v>995290.2</v>
      </c>
      <c r="AO100" s="214">
        <f t="shared" si="21"/>
        <v>0</v>
      </c>
      <c r="AP100" s="214">
        <f t="shared" si="22"/>
        <v>57931.2</v>
      </c>
      <c r="AQ100" s="214">
        <f t="shared" si="23"/>
        <v>0</v>
      </c>
      <c r="AR100" s="214">
        <f t="shared" si="24"/>
        <v>0</v>
      </c>
      <c r="AS100" s="214">
        <f t="shared" si="25"/>
        <v>0</v>
      </c>
      <c r="AT100" s="214">
        <f t="shared" si="26"/>
        <v>80460</v>
      </c>
      <c r="AU100" s="214">
        <f t="shared" si="27"/>
        <v>856899</v>
      </c>
      <c r="AV100" s="214">
        <f t="shared" si="28"/>
        <v>0</v>
      </c>
      <c r="AW100" s="215">
        <f t="shared" si="29"/>
        <v>995290.2</v>
      </c>
    </row>
    <row r="101" spans="1:49" ht="15" customHeight="1">
      <c r="A101" s="140" t="s">
        <v>171</v>
      </c>
      <c r="B101" s="211" t="s">
        <v>96</v>
      </c>
      <c r="C101" s="140" t="str">
        <f t="shared" si="16"/>
        <v>Granville Lutheran School-WPCP</v>
      </c>
      <c r="D101" s="140">
        <v>0</v>
      </c>
      <c r="E101" s="140">
        <v>25</v>
      </c>
      <c r="F101" s="140">
        <v>0</v>
      </c>
      <c r="G101" s="140">
        <v>0</v>
      </c>
      <c r="H101" s="140">
        <v>0</v>
      </c>
      <c r="I101" s="140">
        <v>21</v>
      </c>
      <c r="J101" s="140">
        <v>222</v>
      </c>
      <c r="K101" s="140">
        <v>0</v>
      </c>
      <c r="L101" s="140">
        <f t="shared" si="17"/>
        <v>268</v>
      </c>
      <c r="N101" s="140">
        <v>0</v>
      </c>
      <c r="O101" s="140">
        <v>0</v>
      </c>
      <c r="P101" s="140">
        <v>0</v>
      </c>
      <c r="Q101" s="140">
        <v>0</v>
      </c>
      <c r="R101" s="140">
        <v>0</v>
      </c>
      <c r="S101" s="140">
        <v>1</v>
      </c>
      <c r="T101" s="140">
        <v>3</v>
      </c>
      <c r="U101" s="140">
        <v>0</v>
      </c>
      <c r="V101" s="140">
        <f t="shared" si="18"/>
        <v>4</v>
      </c>
      <c r="X101" s="98">
        <v>0</v>
      </c>
      <c r="Y101" s="98">
        <v>0</v>
      </c>
      <c r="Z101" s="98">
        <v>0</v>
      </c>
      <c r="AA101" s="98">
        <v>0</v>
      </c>
      <c r="AB101" s="98">
        <v>0</v>
      </c>
      <c r="AC101" s="98">
        <v>0</v>
      </c>
      <c r="AD101" s="98">
        <v>0</v>
      </c>
      <c r="AE101" s="98">
        <v>0</v>
      </c>
      <c r="AF101" s="98">
        <f t="shared" si="19"/>
        <v>0</v>
      </c>
      <c r="AH101" s="98">
        <v>1</v>
      </c>
      <c r="AJ101" s="98">
        <v>0</v>
      </c>
      <c r="AK101" s="98">
        <v>0</v>
      </c>
      <c r="AL101" s="380">
        <v>0</v>
      </c>
      <c r="AN101" s="214">
        <f t="shared" si="20"/>
        <v>16092</v>
      </c>
      <c r="AO101" s="214">
        <f t="shared" si="21"/>
        <v>0</v>
      </c>
      <c r="AP101" s="214">
        <f t="shared" si="22"/>
        <v>0</v>
      </c>
      <c r="AQ101" s="214">
        <f t="shared" si="23"/>
        <v>0</v>
      </c>
      <c r="AR101" s="214">
        <f t="shared" si="24"/>
        <v>0</v>
      </c>
      <c r="AS101" s="214">
        <f t="shared" si="25"/>
        <v>0</v>
      </c>
      <c r="AT101" s="214">
        <f t="shared" si="26"/>
        <v>4023</v>
      </c>
      <c r="AU101" s="214">
        <f t="shared" si="27"/>
        <v>12069</v>
      </c>
      <c r="AV101" s="214">
        <f t="shared" si="28"/>
        <v>0</v>
      </c>
      <c r="AW101" s="215">
        <f t="shared" si="29"/>
        <v>16092</v>
      </c>
    </row>
    <row r="102" spans="1:49" ht="15" customHeight="1">
      <c r="A102" s="140" t="s">
        <v>116</v>
      </c>
      <c r="B102" s="211" t="s">
        <v>187</v>
      </c>
      <c r="C102" s="140" t="str">
        <f t="shared" si="16"/>
        <v>Greater Holy Temple Christian Academy-MPCP</v>
      </c>
      <c r="D102" s="140">
        <v>0</v>
      </c>
      <c r="E102" s="140">
        <v>42</v>
      </c>
      <c r="F102" s="140">
        <v>0</v>
      </c>
      <c r="G102" s="140">
        <v>0</v>
      </c>
      <c r="H102" s="140">
        <v>0</v>
      </c>
      <c r="I102" s="140">
        <v>53</v>
      </c>
      <c r="J102" s="140">
        <v>472</v>
      </c>
      <c r="K102" s="140">
        <v>0</v>
      </c>
      <c r="L102" s="140">
        <f t="shared" si="17"/>
        <v>567</v>
      </c>
      <c r="N102" s="140">
        <v>0</v>
      </c>
      <c r="O102" s="140">
        <v>42</v>
      </c>
      <c r="P102" s="140">
        <v>0</v>
      </c>
      <c r="Q102" s="140">
        <v>0</v>
      </c>
      <c r="R102" s="140">
        <v>0</v>
      </c>
      <c r="S102" s="140">
        <v>53</v>
      </c>
      <c r="T102" s="140">
        <v>472</v>
      </c>
      <c r="U102" s="140">
        <v>0</v>
      </c>
      <c r="V102" s="140">
        <f t="shared" si="18"/>
        <v>567</v>
      </c>
      <c r="X102" s="98">
        <v>0</v>
      </c>
      <c r="Y102" s="98">
        <v>0</v>
      </c>
      <c r="Z102" s="98">
        <v>0</v>
      </c>
      <c r="AA102" s="98">
        <v>0</v>
      </c>
      <c r="AB102" s="98">
        <v>0</v>
      </c>
      <c r="AC102" s="98">
        <v>0</v>
      </c>
      <c r="AD102" s="98">
        <v>22</v>
      </c>
      <c r="AE102" s="98">
        <v>0</v>
      </c>
      <c r="AF102" s="98">
        <f t="shared" si="19"/>
        <v>22</v>
      </c>
      <c r="AH102" s="98">
        <v>320</v>
      </c>
      <c r="AJ102" s="98">
        <v>0</v>
      </c>
      <c r="AK102" s="98">
        <v>0</v>
      </c>
      <c r="AL102" s="380">
        <v>0</v>
      </c>
      <c r="AN102" s="214">
        <f t="shared" si="20"/>
        <v>2213454.6</v>
      </c>
      <c r="AO102" s="214">
        <f t="shared" si="21"/>
        <v>0</v>
      </c>
      <c r="AP102" s="214">
        <f t="shared" si="22"/>
        <v>101379.6</v>
      </c>
      <c r="AQ102" s="214">
        <f t="shared" si="23"/>
        <v>0</v>
      </c>
      <c r="AR102" s="214">
        <f t="shared" si="24"/>
        <v>0</v>
      </c>
      <c r="AS102" s="214">
        <f t="shared" si="25"/>
        <v>0</v>
      </c>
      <c r="AT102" s="214">
        <f t="shared" si="26"/>
        <v>213219</v>
      </c>
      <c r="AU102" s="214">
        <f t="shared" si="27"/>
        <v>1898856</v>
      </c>
      <c r="AV102" s="214">
        <f t="shared" si="28"/>
        <v>0</v>
      </c>
      <c r="AW102" s="215">
        <f t="shared" si="29"/>
        <v>2213454.6</v>
      </c>
    </row>
    <row r="103" spans="1:49" ht="15" customHeight="1">
      <c r="A103" s="140" t="s">
        <v>341</v>
      </c>
      <c r="B103" s="211" t="s">
        <v>96</v>
      </c>
      <c r="C103" s="140" t="str">
        <f t="shared" si="16"/>
        <v>Green Bay Adventist Junior Academy-WPCP</v>
      </c>
      <c r="D103" s="140">
        <v>0</v>
      </c>
      <c r="E103" s="140">
        <v>0</v>
      </c>
      <c r="F103" s="140">
        <v>0</v>
      </c>
      <c r="G103" s="140">
        <v>0</v>
      </c>
      <c r="H103" s="140">
        <v>0</v>
      </c>
      <c r="I103" s="140">
        <v>1</v>
      </c>
      <c r="J103" s="140">
        <v>29</v>
      </c>
      <c r="K103" s="140">
        <v>5</v>
      </c>
      <c r="L103" s="140">
        <f t="shared" si="17"/>
        <v>35</v>
      </c>
      <c r="N103" s="140">
        <v>0</v>
      </c>
      <c r="O103" s="140">
        <v>0</v>
      </c>
      <c r="P103" s="140">
        <v>0</v>
      </c>
      <c r="Q103" s="140">
        <v>0</v>
      </c>
      <c r="R103" s="140">
        <v>0</v>
      </c>
      <c r="S103" s="140">
        <v>0</v>
      </c>
      <c r="T103" s="140">
        <v>12</v>
      </c>
      <c r="U103" s="140">
        <v>3</v>
      </c>
      <c r="V103" s="140">
        <f t="shared" si="18"/>
        <v>15</v>
      </c>
      <c r="X103" s="98">
        <v>0</v>
      </c>
      <c r="Y103" s="98">
        <v>0</v>
      </c>
      <c r="Z103" s="98">
        <v>0</v>
      </c>
      <c r="AA103" s="98">
        <v>0</v>
      </c>
      <c r="AB103" s="98">
        <v>0</v>
      </c>
      <c r="AC103" s="98">
        <v>0</v>
      </c>
      <c r="AD103" s="98">
        <v>0</v>
      </c>
      <c r="AE103" s="98">
        <v>0</v>
      </c>
      <c r="AF103" s="98">
        <f t="shared" si="19"/>
        <v>0</v>
      </c>
      <c r="AH103" s="98">
        <v>12</v>
      </c>
      <c r="AJ103" s="98">
        <v>0</v>
      </c>
      <c r="AK103" s="98">
        <v>0</v>
      </c>
      <c r="AL103" s="380">
        <v>0</v>
      </c>
      <c r="AN103" s="214">
        <f t="shared" si="20"/>
        <v>61314</v>
      </c>
      <c r="AO103" s="214">
        <f t="shared" si="21"/>
        <v>0</v>
      </c>
      <c r="AP103" s="214">
        <f t="shared" si="22"/>
        <v>0</v>
      </c>
      <c r="AQ103" s="214">
        <f t="shared" si="23"/>
        <v>0</v>
      </c>
      <c r="AR103" s="214">
        <f t="shared" si="24"/>
        <v>0</v>
      </c>
      <c r="AS103" s="214">
        <f t="shared" si="25"/>
        <v>0</v>
      </c>
      <c r="AT103" s="214">
        <f t="shared" si="26"/>
        <v>0</v>
      </c>
      <c r="AU103" s="214">
        <f t="shared" si="27"/>
        <v>48276</v>
      </c>
      <c r="AV103" s="214">
        <f t="shared" si="28"/>
        <v>13038</v>
      </c>
      <c r="AW103" s="215">
        <f t="shared" si="29"/>
        <v>61314</v>
      </c>
    </row>
    <row r="104" spans="1:49" ht="15" customHeight="1">
      <c r="A104" s="140" t="s">
        <v>221</v>
      </c>
      <c r="B104" s="211" t="s">
        <v>96</v>
      </c>
      <c r="C104" s="140" t="str">
        <f t="shared" si="16"/>
        <v>Green Bay Area Catholic Education - East-WPCP</v>
      </c>
      <c r="D104" s="140">
        <v>0</v>
      </c>
      <c r="E104" s="140">
        <v>17</v>
      </c>
      <c r="F104" s="140">
        <v>0</v>
      </c>
      <c r="G104" s="140">
        <v>0</v>
      </c>
      <c r="H104" s="140">
        <v>0</v>
      </c>
      <c r="I104" s="140">
        <v>72</v>
      </c>
      <c r="J104" s="140">
        <v>628</v>
      </c>
      <c r="K104" s="140">
        <v>0</v>
      </c>
      <c r="L104" s="140">
        <f t="shared" si="17"/>
        <v>717</v>
      </c>
      <c r="N104" s="140">
        <v>0</v>
      </c>
      <c r="O104" s="140">
        <v>16</v>
      </c>
      <c r="P104" s="140">
        <v>0</v>
      </c>
      <c r="Q104" s="140">
        <v>0</v>
      </c>
      <c r="R104" s="140">
        <v>0</v>
      </c>
      <c r="S104" s="140">
        <v>39</v>
      </c>
      <c r="T104" s="140">
        <v>300</v>
      </c>
      <c r="U104" s="140">
        <v>0</v>
      </c>
      <c r="V104" s="140">
        <f t="shared" si="18"/>
        <v>355</v>
      </c>
      <c r="X104" s="98">
        <v>0</v>
      </c>
      <c r="Y104" s="98">
        <v>0</v>
      </c>
      <c r="Z104" s="98">
        <v>0</v>
      </c>
      <c r="AA104" s="98">
        <v>0</v>
      </c>
      <c r="AB104" s="98">
        <v>0</v>
      </c>
      <c r="AC104" s="98">
        <v>0</v>
      </c>
      <c r="AD104" s="98">
        <v>0</v>
      </c>
      <c r="AE104" s="98">
        <v>0</v>
      </c>
      <c r="AF104" s="98">
        <f t="shared" si="19"/>
        <v>0</v>
      </c>
      <c r="AH104" s="98">
        <v>218</v>
      </c>
      <c r="AJ104" s="98">
        <v>0</v>
      </c>
      <c r="AK104" s="98">
        <v>0</v>
      </c>
      <c r="AL104" s="380">
        <v>0</v>
      </c>
      <c r="AN104" s="214">
        <f t="shared" si="20"/>
        <v>1402417.8</v>
      </c>
      <c r="AO104" s="214">
        <f t="shared" si="21"/>
        <v>0</v>
      </c>
      <c r="AP104" s="214">
        <f t="shared" si="22"/>
        <v>38620.8</v>
      </c>
      <c r="AQ104" s="214">
        <f t="shared" si="23"/>
        <v>0</v>
      </c>
      <c r="AR104" s="214">
        <f t="shared" si="24"/>
        <v>0</v>
      </c>
      <c r="AS104" s="214">
        <f t="shared" si="25"/>
        <v>0</v>
      </c>
      <c r="AT104" s="214">
        <f t="shared" si="26"/>
        <v>156897</v>
      </c>
      <c r="AU104" s="214">
        <f t="shared" si="27"/>
        <v>1206900</v>
      </c>
      <c r="AV104" s="214">
        <f t="shared" si="28"/>
        <v>0</v>
      </c>
      <c r="AW104" s="215">
        <f t="shared" si="29"/>
        <v>1402417.8</v>
      </c>
    </row>
    <row r="105" spans="1:49" ht="15" customHeight="1">
      <c r="A105" s="140" t="s">
        <v>222</v>
      </c>
      <c r="B105" s="211" t="s">
        <v>96</v>
      </c>
      <c r="C105" s="140" t="str">
        <f t="shared" si="16"/>
        <v>Green Bay Area Catholic Education - South-WPCP</v>
      </c>
      <c r="D105" s="140">
        <v>0</v>
      </c>
      <c r="E105" s="140">
        <v>0</v>
      </c>
      <c r="F105" s="140">
        <v>0</v>
      </c>
      <c r="G105" s="140">
        <v>0</v>
      </c>
      <c r="H105" s="140">
        <v>0</v>
      </c>
      <c r="I105" s="140">
        <v>66</v>
      </c>
      <c r="J105" s="140">
        <v>609</v>
      </c>
      <c r="K105" s="140">
        <v>0</v>
      </c>
      <c r="L105" s="140">
        <f t="shared" si="17"/>
        <v>675</v>
      </c>
      <c r="N105" s="140">
        <v>0</v>
      </c>
      <c r="O105" s="140">
        <v>0</v>
      </c>
      <c r="P105" s="140">
        <v>0</v>
      </c>
      <c r="Q105" s="140">
        <v>0</v>
      </c>
      <c r="R105" s="140">
        <v>0</v>
      </c>
      <c r="S105" s="140">
        <v>10</v>
      </c>
      <c r="T105" s="140">
        <v>54</v>
      </c>
      <c r="U105" s="140">
        <v>0</v>
      </c>
      <c r="V105" s="140">
        <f t="shared" si="18"/>
        <v>64</v>
      </c>
      <c r="X105" s="98">
        <v>0</v>
      </c>
      <c r="Y105" s="98">
        <v>0</v>
      </c>
      <c r="Z105" s="98">
        <v>0</v>
      </c>
      <c r="AA105" s="98">
        <v>0</v>
      </c>
      <c r="AB105" s="98">
        <v>0</v>
      </c>
      <c r="AC105" s="98">
        <v>0</v>
      </c>
      <c r="AD105" s="98">
        <v>0</v>
      </c>
      <c r="AE105" s="98">
        <v>0</v>
      </c>
      <c r="AF105" s="98">
        <f t="shared" si="19"/>
        <v>0</v>
      </c>
      <c r="AH105" s="98">
        <v>42</v>
      </c>
      <c r="AJ105" s="98">
        <v>0</v>
      </c>
      <c r="AK105" s="98">
        <v>0</v>
      </c>
      <c r="AL105" s="380">
        <v>0</v>
      </c>
      <c r="AN105" s="214">
        <f t="shared" si="20"/>
        <v>257472</v>
      </c>
      <c r="AO105" s="214">
        <f t="shared" si="21"/>
        <v>0</v>
      </c>
      <c r="AP105" s="214">
        <f t="shared" si="22"/>
        <v>0</v>
      </c>
      <c r="AQ105" s="214">
        <f t="shared" si="23"/>
        <v>0</v>
      </c>
      <c r="AR105" s="214">
        <f t="shared" si="24"/>
        <v>0</v>
      </c>
      <c r="AS105" s="214">
        <f t="shared" si="25"/>
        <v>0</v>
      </c>
      <c r="AT105" s="214">
        <f t="shared" si="26"/>
        <v>40230</v>
      </c>
      <c r="AU105" s="214">
        <f t="shared" si="27"/>
        <v>217242</v>
      </c>
      <c r="AV105" s="214">
        <f t="shared" si="28"/>
        <v>0</v>
      </c>
      <c r="AW105" s="215">
        <f t="shared" si="29"/>
        <v>257472</v>
      </c>
    </row>
    <row r="106" spans="1:49" ht="15" customHeight="1">
      <c r="A106" s="140" t="s">
        <v>223</v>
      </c>
      <c r="B106" s="211" t="s">
        <v>96</v>
      </c>
      <c r="C106" s="140" t="str">
        <f t="shared" si="16"/>
        <v>Green Bay Area Catholic Education - West-WPCP</v>
      </c>
      <c r="D106" s="140">
        <v>0</v>
      </c>
      <c r="E106" s="140">
        <v>0</v>
      </c>
      <c r="F106" s="140">
        <v>0</v>
      </c>
      <c r="G106" s="140">
        <v>0</v>
      </c>
      <c r="H106" s="140">
        <v>0</v>
      </c>
      <c r="I106" s="140">
        <v>54</v>
      </c>
      <c r="J106" s="140">
        <v>374</v>
      </c>
      <c r="K106" s="140">
        <v>0</v>
      </c>
      <c r="L106" s="140">
        <f t="shared" si="17"/>
        <v>428</v>
      </c>
      <c r="N106" s="140">
        <v>0</v>
      </c>
      <c r="O106" s="140">
        <v>0</v>
      </c>
      <c r="P106" s="140">
        <v>0</v>
      </c>
      <c r="Q106" s="140">
        <v>0</v>
      </c>
      <c r="R106" s="140">
        <v>0</v>
      </c>
      <c r="S106" s="140">
        <v>10</v>
      </c>
      <c r="T106" s="140">
        <v>55</v>
      </c>
      <c r="U106" s="140">
        <v>0</v>
      </c>
      <c r="V106" s="140">
        <f t="shared" si="18"/>
        <v>65</v>
      </c>
      <c r="X106" s="98">
        <v>0</v>
      </c>
      <c r="Y106" s="98">
        <v>0</v>
      </c>
      <c r="Z106" s="98">
        <v>0</v>
      </c>
      <c r="AA106" s="98">
        <v>0</v>
      </c>
      <c r="AB106" s="98">
        <v>0</v>
      </c>
      <c r="AC106" s="98">
        <v>0</v>
      </c>
      <c r="AD106" s="98">
        <v>0</v>
      </c>
      <c r="AE106" s="98">
        <v>0</v>
      </c>
      <c r="AF106" s="98">
        <f t="shared" si="19"/>
        <v>0</v>
      </c>
      <c r="AH106" s="98">
        <v>45</v>
      </c>
      <c r="AJ106" s="98">
        <v>0</v>
      </c>
      <c r="AK106" s="98">
        <v>0</v>
      </c>
      <c r="AL106" s="380">
        <v>0</v>
      </c>
      <c r="AN106" s="214">
        <f t="shared" si="20"/>
        <v>261495</v>
      </c>
      <c r="AO106" s="214">
        <f t="shared" si="21"/>
        <v>0</v>
      </c>
      <c r="AP106" s="214">
        <f t="shared" si="22"/>
        <v>0</v>
      </c>
      <c r="AQ106" s="214">
        <f t="shared" si="23"/>
        <v>0</v>
      </c>
      <c r="AR106" s="214">
        <f t="shared" si="24"/>
        <v>0</v>
      </c>
      <c r="AS106" s="214">
        <f t="shared" si="25"/>
        <v>0</v>
      </c>
      <c r="AT106" s="214">
        <f t="shared" si="26"/>
        <v>40230</v>
      </c>
      <c r="AU106" s="214">
        <f t="shared" si="27"/>
        <v>221265</v>
      </c>
      <c r="AV106" s="214">
        <f t="shared" si="28"/>
        <v>0</v>
      </c>
      <c r="AW106" s="215">
        <f t="shared" si="29"/>
        <v>261495</v>
      </c>
    </row>
    <row r="107" spans="1:49" ht="15" customHeight="1">
      <c r="A107" s="140" t="s">
        <v>444</v>
      </c>
      <c r="B107" s="211" t="s">
        <v>96</v>
      </c>
      <c r="C107" s="140" t="str">
        <f t="shared" si="16"/>
        <v>Green Bay Trinity Lutheran School-WPCP</v>
      </c>
      <c r="D107" s="140">
        <v>0</v>
      </c>
      <c r="E107" s="140">
        <v>0</v>
      </c>
      <c r="F107" s="140">
        <v>0</v>
      </c>
      <c r="G107" s="140">
        <v>0</v>
      </c>
      <c r="H107" s="140">
        <v>0</v>
      </c>
      <c r="I107" s="140">
        <v>14</v>
      </c>
      <c r="J107" s="140">
        <v>80</v>
      </c>
      <c r="K107" s="140">
        <v>0</v>
      </c>
      <c r="L107" s="140">
        <f t="shared" si="17"/>
        <v>94</v>
      </c>
      <c r="N107" s="140">
        <v>0</v>
      </c>
      <c r="O107" s="140">
        <v>0</v>
      </c>
      <c r="P107" s="140">
        <v>0</v>
      </c>
      <c r="Q107" s="140">
        <v>0</v>
      </c>
      <c r="R107" s="140">
        <v>0</v>
      </c>
      <c r="S107" s="140">
        <v>4</v>
      </c>
      <c r="T107" s="140">
        <v>38</v>
      </c>
      <c r="U107" s="140">
        <v>0</v>
      </c>
      <c r="V107" s="140">
        <f t="shared" si="18"/>
        <v>42</v>
      </c>
      <c r="X107" s="98">
        <v>0</v>
      </c>
      <c r="Y107" s="98">
        <v>0</v>
      </c>
      <c r="Z107" s="98">
        <v>0</v>
      </c>
      <c r="AA107" s="98">
        <v>0</v>
      </c>
      <c r="AB107" s="98">
        <v>0</v>
      </c>
      <c r="AC107" s="98">
        <v>0</v>
      </c>
      <c r="AD107" s="98">
        <v>0</v>
      </c>
      <c r="AE107" s="98">
        <v>0</v>
      </c>
      <c r="AF107" s="98">
        <f t="shared" si="19"/>
        <v>0</v>
      </c>
      <c r="AH107" s="98">
        <v>26</v>
      </c>
      <c r="AJ107" s="98">
        <v>0</v>
      </c>
      <c r="AK107" s="98">
        <v>0</v>
      </c>
      <c r="AL107" s="380">
        <v>0</v>
      </c>
      <c r="AN107" s="214">
        <f t="shared" si="20"/>
        <v>168966</v>
      </c>
      <c r="AO107" s="214">
        <f t="shared" si="21"/>
        <v>0</v>
      </c>
      <c r="AP107" s="214">
        <f t="shared" si="22"/>
        <v>0</v>
      </c>
      <c r="AQ107" s="214">
        <f t="shared" si="23"/>
        <v>0</v>
      </c>
      <c r="AR107" s="214">
        <f t="shared" si="24"/>
        <v>0</v>
      </c>
      <c r="AS107" s="214">
        <f t="shared" si="25"/>
        <v>0</v>
      </c>
      <c r="AT107" s="214">
        <f t="shared" si="26"/>
        <v>16092</v>
      </c>
      <c r="AU107" s="214">
        <f t="shared" si="27"/>
        <v>152874</v>
      </c>
      <c r="AV107" s="214">
        <f t="shared" si="28"/>
        <v>0</v>
      </c>
      <c r="AW107" s="215">
        <f t="shared" si="29"/>
        <v>168966</v>
      </c>
    </row>
    <row r="108" spans="1:49" ht="15" customHeight="1">
      <c r="A108" s="140" t="s">
        <v>445</v>
      </c>
      <c r="B108" s="211" t="s">
        <v>187</v>
      </c>
      <c r="C108" s="140" t="str">
        <f t="shared" si="16"/>
        <v>Guidance Academy-MPCP</v>
      </c>
      <c r="D108" s="140">
        <v>0</v>
      </c>
      <c r="E108" s="140">
        <v>24</v>
      </c>
      <c r="F108" s="140">
        <v>0</v>
      </c>
      <c r="G108" s="140">
        <v>0</v>
      </c>
      <c r="H108" s="140">
        <v>0</v>
      </c>
      <c r="I108" s="140">
        <v>31</v>
      </c>
      <c r="J108" s="140">
        <v>157</v>
      </c>
      <c r="K108" s="140">
        <v>9</v>
      </c>
      <c r="L108" s="140">
        <f t="shared" si="17"/>
        <v>221</v>
      </c>
      <c r="N108" s="140">
        <v>0</v>
      </c>
      <c r="O108" s="140">
        <v>13</v>
      </c>
      <c r="P108" s="140">
        <v>0</v>
      </c>
      <c r="Q108" s="140">
        <v>0</v>
      </c>
      <c r="R108" s="140">
        <v>0</v>
      </c>
      <c r="S108" s="140">
        <v>21</v>
      </c>
      <c r="T108" s="140">
        <v>117</v>
      </c>
      <c r="U108" s="140">
        <v>5</v>
      </c>
      <c r="V108" s="140">
        <f t="shared" si="18"/>
        <v>156</v>
      </c>
      <c r="X108" s="98">
        <v>0</v>
      </c>
      <c r="Y108" s="98">
        <v>7</v>
      </c>
      <c r="Z108" s="98">
        <v>0</v>
      </c>
      <c r="AA108" s="98">
        <v>0</v>
      </c>
      <c r="AB108" s="98">
        <v>0</v>
      </c>
      <c r="AC108" s="98">
        <v>1</v>
      </c>
      <c r="AD108" s="98">
        <v>15</v>
      </c>
      <c r="AE108" s="98">
        <v>0</v>
      </c>
      <c r="AF108" s="98">
        <f t="shared" si="19"/>
        <v>23</v>
      </c>
      <c r="AH108" s="98">
        <v>84</v>
      </c>
      <c r="AJ108" s="98">
        <v>50</v>
      </c>
      <c r="AK108" s="98">
        <v>1</v>
      </c>
      <c r="AL108" s="380">
        <v>19210.510000000017</v>
      </c>
      <c r="AN108" s="214">
        <f t="shared" si="20"/>
        <v>608283.4</v>
      </c>
      <c r="AO108" s="214">
        <f t="shared" si="21"/>
        <v>0</v>
      </c>
      <c r="AP108" s="214">
        <f t="shared" si="22"/>
        <v>31379.4</v>
      </c>
      <c r="AQ108" s="214">
        <f t="shared" si="23"/>
        <v>0</v>
      </c>
      <c r="AR108" s="214">
        <f t="shared" si="24"/>
        <v>0</v>
      </c>
      <c r="AS108" s="214">
        <f t="shared" si="25"/>
        <v>0</v>
      </c>
      <c r="AT108" s="214">
        <f t="shared" si="26"/>
        <v>84483</v>
      </c>
      <c r="AU108" s="214">
        <f t="shared" si="27"/>
        <v>470691</v>
      </c>
      <c r="AV108" s="214">
        <f t="shared" si="28"/>
        <v>21730</v>
      </c>
      <c r="AW108" s="215">
        <f t="shared" si="29"/>
        <v>608283.4</v>
      </c>
    </row>
    <row r="109" spans="1:49" ht="15" customHeight="1">
      <c r="A109" s="140" t="s">
        <v>445</v>
      </c>
      <c r="B109" s="211" t="s">
        <v>188</v>
      </c>
      <c r="C109" s="140" t="str">
        <f t="shared" si="16"/>
        <v>Guidance Academy-RPCP</v>
      </c>
      <c r="D109" s="140">
        <v>0</v>
      </c>
      <c r="E109" s="140">
        <v>24</v>
      </c>
      <c r="F109" s="140">
        <v>0</v>
      </c>
      <c r="G109" s="140">
        <v>0</v>
      </c>
      <c r="H109" s="140">
        <v>0</v>
      </c>
      <c r="I109" s="140">
        <v>31</v>
      </c>
      <c r="J109" s="140">
        <v>157</v>
      </c>
      <c r="K109" s="140">
        <v>9</v>
      </c>
      <c r="L109" s="140">
        <f t="shared" si="17"/>
        <v>221</v>
      </c>
      <c r="N109" s="140">
        <v>0</v>
      </c>
      <c r="O109" s="140">
        <v>0</v>
      </c>
      <c r="P109" s="140">
        <v>0</v>
      </c>
      <c r="Q109" s="140">
        <v>0</v>
      </c>
      <c r="R109" s="140">
        <v>0</v>
      </c>
      <c r="S109" s="140">
        <v>0</v>
      </c>
      <c r="T109" s="140">
        <v>0</v>
      </c>
      <c r="U109" s="140">
        <v>0</v>
      </c>
      <c r="V109" s="140">
        <f t="shared" si="18"/>
        <v>0</v>
      </c>
      <c r="X109" s="98">
        <v>0</v>
      </c>
      <c r="Y109" s="98">
        <v>0</v>
      </c>
      <c r="Z109" s="98">
        <v>0</v>
      </c>
      <c r="AA109" s="98">
        <v>0</v>
      </c>
      <c r="AB109" s="98">
        <v>0</v>
      </c>
      <c r="AC109" s="98">
        <v>0</v>
      </c>
      <c r="AD109" s="98">
        <v>0</v>
      </c>
      <c r="AE109" s="98">
        <v>0</v>
      </c>
      <c r="AF109" s="98">
        <f t="shared" si="19"/>
        <v>0</v>
      </c>
      <c r="AH109" s="98">
        <v>0</v>
      </c>
      <c r="AJ109" s="98">
        <v>0</v>
      </c>
      <c r="AK109" s="98">
        <v>0</v>
      </c>
      <c r="AL109" s="380">
        <v>0</v>
      </c>
      <c r="AN109" s="214">
        <f t="shared" si="20"/>
        <v>0</v>
      </c>
      <c r="AO109" s="214">
        <f t="shared" si="21"/>
        <v>0</v>
      </c>
      <c r="AP109" s="214">
        <f t="shared" si="22"/>
        <v>0</v>
      </c>
      <c r="AQ109" s="214">
        <f t="shared" si="23"/>
        <v>0</v>
      </c>
      <c r="AR109" s="214">
        <f t="shared" si="24"/>
        <v>0</v>
      </c>
      <c r="AS109" s="214">
        <f t="shared" si="25"/>
        <v>0</v>
      </c>
      <c r="AT109" s="214">
        <f t="shared" si="26"/>
        <v>0</v>
      </c>
      <c r="AU109" s="214">
        <f t="shared" si="27"/>
        <v>0</v>
      </c>
      <c r="AV109" s="214">
        <f t="shared" si="28"/>
        <v>0</v>
      </c>
      <c r="AW109" s="215">
        <f t="shared" si="29"/>
        <v>0</v>
      </c>
    </row>
    <row r="110" spans="1:49" ht="15" customHeight="1">
      <c r="A110" s="140" t="s">
        <v>445</v>
      </c>
      <c r="B110" s="211" t="s">
        <v>96</v>
      </c>
      <c r="C110" s="140" t="str">
        <f t="shared" si="16"/>
        <v>Guidance Academy-WPCP</v>
      </c>
      <c r="D110" s="140">
        <v>0</v>
      </c>
      <c r="E110" s="140">
        <v>24</v>
      </c>
      <c r="F110" s="140">
        <v>0</v>
      </c>
      <c r="G110" s="140">
        <v>0</v>
      </c>
      <c r="H110" s="140">
        <v>0</v>
      </c>
      <c r="I110" s="140">
        <v>31</v>
      </c>
      <c r="J110" s="140">
        <v>157</v>
      </c>
      <c r="K110" s="140">
        <v>9</v>
      </c>
      <c r="L110" s="140">
        <f t="shared" si="17"/>
        <v>221</v>
      </c>
      <c r="N110" s="140">
        <v>0</v>
      </c>
      <c r="O110" s="140">
        <v>2</v>
      </c>
      <c r="P110" s="140">
        <v>0</v>
      </c>
      <c r="Q110" s="140">
        <v>0</v>
      </c>
      <c r="R110" s="140">
        <v>0</v>
      </c>
      <c r="S110" s="140">
        <v>4</v>
      </c>
      <c r="T110" s="140">
        <v>14</v>
      </c>
      <c r="U110" s="140">
        <v>1</v>
      </c>
      <c r="V110" s="140">
        <f t="shared" si="18"/>
        <v>21</v>
      </c>
      <c r="X110" s="98">
        <v>0</v>
      </c>
      <c r="Y110" s="98">
        <v>1</v>
      </c>
      <c r="Z110" s="98">
        <v>0</v>
      </c>
      <c r="AA110" s="98">
        <v>0</v>
      </c>
      <c r="AB110" s="98">
        <v>0</v>
      </c>
      <c r="AC110" s="98">
        <v>0</v>
      </c>
      <c r="AD110" s="98">
        <v>0</v>
      </c>
      <c r="AE110" s="98">
        <v>0</v>
      </c>
      <c r="AF110" s="98">
        <f t="shared" si="19"/>
        <v>1</v>
      </c>
      <c r="AH110" s="98">
        <v>13</v>
      </c>
      <c r="AJ110" s="98">
        <v>10</v>
      </c>
      <c r="AK110" s="98">
        <v>0</v>
      </c>
      <c r="AL110" s="380">
        <v>3696.0699999999993</v>
      </c>
      <c r="AN110" s="214">
        <f t="shared" si="20"/>
        <v>81587.6</v>
      </c>
      <c r="AO110" s="214">
        <f t="shared" si="21"/>
        <v>0</v>
      </c>
      <c r="AP110" s="214">
        <f t="shared" si="22"/>
        <v>4827.6</v>
      </c>
      <c r="AQ110" s="214">
        <f t="shared" si="23"/>
        <v>0</v>
      </c>
      <c r="AR110" s="214">
        <f t="shared" si="24"/>
        <v>0</v>
      </c>
      <c r="AS110" s="214">
        <f t="shared" si="25"/>
        <v>0</v>
      </c>
      <c r="AT110" s="214">
        <f t="shared" si="26"/>
        <v>16092</v>
      </c>
      <c r="AU110" s="214">
        <f t="shared" si="27"/>
        <v>56322</v>
      </c>
      <c r="AV110" s="214">
        <f t="shared" si="28"/>
        <v>4346</v>
      </c>
      <c r="AW110" s="215">
        <f t="shared" si="29"/>
        <v>81587.6</v>
      </c>
    </row>
    <row r="111" spans="1:49" ht="15" customHeight="1">
      <c r="A111" s="140" t="s">
        <v>224</v>
      </c>
      <c r="B111" s="211" t="s">
        <v>187</v>
      </c>
      <c r="C111" s="140" t="str">
        <f t="shared" si="16"/>
        <v>Hales Corners Lutheran School-MPCP</v>
      </c>
      <c r="D111" s="140">
        <v>46</v>
      </c>
      <c r="E111" s="140">
        <v>0</v>
      </c>
      <c r="F111" s="140">
        <v>0</v>
      </c>
      <c r="G111" s="140">
        <v>0</v>
      </c>
      <c r="H111" s="140">
        <v>0</v>
      </c>
      <c r="I111" s="140">
        <v>44</v>
      </c>
      <c r="J111" s="140">
        <v>314</v>
      </c>
      <c r="K111" s="140">
        <v>0</v>
      </c>
      <c r="L111" s="140">
        <f t="shared" si="17"/>
        <v>404</v>
      </c>
      <c r="N111" s="140">
        <v>10</v>
      </c>
      <c r="O111" s="140">
        <v>0</v>
      </c>
      <c r="P111" s="140">
        <v>0</v>
      </c>
      <c r="Q111" s="140">
        <v>0</v>
      </c>
      <c r="R111" s="140">
        <v>0</v>
      </c>
      <c r="S111" s="140">
        <v>5</v>
      </c>
      <c r="T111" s="140">
        <v>59</v>
      </c>
      <c r="U111" s="140">
        <v>0</v>
      </c>
      <c r="V111" s="140">
        <f t="shared" si="18"/>
        <v>74</v>
      </c>
      <c r="X111" s="98">
        <v>0</v>
      </c>
      <c r="Y111" s="98">
        <v>0</v>
      </c>
      <c r="Z111" s="98">
        <v>0</v>
      </c>
      <c r="AA111" s="98">
        <v>0</v>
      </c>
      <c r="AB111" s="98">
        <v>0</v>
      </c>
      <c r="AC111" s="98">
        <v>0</v>
      </c>
      <c r="AD111" s="98">
        <v>0</v>
      </c>
      <c r="AE111" s="98">
        <v>0</v>
      </c>
      <c r="AF111" s="98">
        <f t="shared" si="19"/>
        <v>0</v>
      </c>
      <c r="AH111" s="98">
        <v>44</v>
      </c>
      <c r="AJ111" s="98">
        <v>0</v>
      </c>
      <c r="AK111" s="98">
        <v>0</v>
      </c>
      <c r="AL111" s="380">
        <v>0</v>
      </c>
      <c r="AN111" s="214">
        <f t="shared" si="20"/>
        <v>277587</v>
      </c>
      <c r="AO111" s="214">
        <f t="shared" si="21"/>
        <v>20115</v>
      </c>
      <c r="AP111" s="214">
        <f t="shared" si="22"/>
        <v>0</v>
      </c>
      <c r="AQ111" s="214">
        <f t="shared" si="23"/>
        <v>0</v>
      </c>
      <c r="AR111" s="214">
        <f t="shared" si="24"/>
        <v>0</v>
      </c>
      <c r="AS111" s="214">
        <f t="shared" si="25"/>
        <v>0</v>
      </c>
      <c r="AT111" s="214">
        <f t="shared" si="26"/>
        <v>20115</v>
      </c>
      <c r="AU111" s="214">
        <f t="shared" si="27"/>
        <v>237357</v>
      </c>
      <c r="AV111" s="214">
        <f t="shared" si="28"/>
        <v>0</v>
      </c>
      <c r="AW111" s="215">
        <f t="shared" si="29"/>
        <v>277587</v>
      </c>
    </row>
    <row r="112" spans="1:49" ht="15" customHeight="1">
      <c r="A112" s="140" t="s">
        <v>224</v>
      </c>
      <c r="B112" s="211" t="s">
        <v>96</v>
      </c>
      <c r="C112" s="140" t="str">
        <f t="shared" si="16"/>
        <v>Hales Corners Lutheran School-WPCP</v>
      </c>
      <c r="D112" s="140">
        <v>46</v>
      </c>
      <c r="E112" s="140">
        <v>0</v>
      </c>
      <c r="F112" s="140">
        <v>0</v>
      </c>
      <c r="G112" s="140">
        <v>0</v>
      </c>
      <c r="H112" s="140">
        <v>0</v>
      </c>
      <c r="I112" s="140">
        <v>44</v>
      </c>
      <c r="J112" s="140">
        <v>314</v>
      </c>
      <c r="K112" s="140">
        <v>0</v>
      </c>
      <c r="L112" s="140">
        <f t="shared" si="17"/>
        <v>404</v>
      </c>
      <c r="N112" s="140">
        <v>6</v>
      </c>
      <c r="O112" s="140">
        <v>0</v>
      </c>
      <c r="P112" s="140">
        <v>0</v>
      </c>
      <c r="Q112" s="140">
        <v>0</v>
      </c>
      <c r="R112" s="140">
        <v>0</v>
      </c>
      <c r="S112" s="140">
        <v>10</v>
      </c>
      <c r="T112" s="140">
        <v>31</v>
      </c>
      <c r="U112" s="140">
        <v>0</v>
      </c>
      <c r="V112" s="140">
        <f t="shared" si="18"/>
        <v>47</v>
      </c>
      <c r="X112" s="98">
        <v>1</v>
      </c>
      <c r="Y112" s="98">
        <v>0</v>
      </c>
      <c r="Z112" s="98">
        <v>0</v>
      </c>
      <c r="AA112" s="98">
        <v>0</v>
      </c>
      <c r="AB112" s="98">
        <v>0</v>
      </c>
      <c r="AC112" s="98">
        <v>0</v>
      </c>
      <c r="AD112" s="98">
        <v>2</v>
      </c>
      <c r="AE112" s="98">
        <v>0</v>
      </c>
      <c r="AF112" s="98">
        <f t="shared" si="19"/>
        <v>3</v>
      </c>
      <c r="AH112" s="98">
        <v>27</v>
      </c>
      <c r="AJ112" s="98">
        <v>0</v>
      </c>
      <c r="AK112" s="98">
        <v>0</v>
      </c>
      <c r="AL112" s="380">
        <v>0</v>
      </c>
      <c r="AN112" s="214">
        <f t="shared" si="20"/>
        <v>177012</v>
      </c>
      <c r="AO112" s="214">
        <f t="shared" si="21"/>
        <v>12069</v>
      </c>
      <c r="AP112" s="214">
        <f t="shared" si="22"/>
        <v>0</v>
      </c>
      <c r="AQ112" s="214">
        <f t="shared" si="23"/>
        <v>0</v>
      </c>
      <c r="AR112" s="214">
        <f t="shared" si="24"/>
        <v>0</v>
      </c>
      <c r="AS112" s="214">
        <f t="shared" si="25"/>
        <v>0</v>
      </c>
      <c r="AT112" s="214">
        <f t="shared" si="26"/>
        <v>40230</v>
      </c>
      <c r="AU112" s="214">
        <f t="shared" si="27"/>
        <v>124713</v>
      </c>
      <c r="AV112" s="214">
        <f t="shared" si="28"/>
        <v>0</v>
      </c>
      <c r="AW112" s="215">
        <f t="shared" si="29"/>
        <v>177012</v>
      </c>
    </row>
    <row r="113" spans="1:49" ht="15" customHeight="1">
      <c r="A113" s="140" t="s">
        <v>117</v>
      </c>
      <c r="B113" s="211" t="s">
        <v>187</v>
      </c>
      <c r="C113" s="140" t="str">
        <f t="shared" si="16"/>
        <v>Heritage Christian Schools-MPCP</v>
      </c>
      <c r="D113" s="140">
        <v>0</v>
      </c>
      <c r="E113" s="140">
        <v>0</v>
      </c>
      <c r="F113" s="140">
        <v>0</v>
      </c>
      <c r="G113" s="140">
        <v>0</v>
      </c>
      <c r="H113" s="140">
        <v>0</v>
      </c>
      <c r="I113" s="140">
        <v>29</v>
      </c>
      <c r="J113" s="140">
        <v>315</v>
      </c>
      <c r="K113" s="140">
        <v>208</v>
      </c>
      <c r="L113" s="140">
        <f t="shared" si="17"/>
        <v>552</v>
      </c>
      <c r="N113" s="140">
        <v>0</v>
      </c>
      <c r="O113" s="140">
        <v>0</v>
      </c>
      <c r="P113" s="140">
        <v>0</v>
      </c>
      <c r="Q113" s="140">
        <v>0</v>
      </c>
      <c r="R113" s="140">
        <v>0</v>
      </c>
      <c r="S113" s="140">
        <v>4</v>
      </c>
      <c r="T113" s="140">
        <v>100</v>
      </c>
      <c r="U113" s="140">
        <v>78</v>
      </c>
      <c r="V113" s="140">
        <f t="shared" si="18"/>
        <v>182</v>
      </c>
      <c r="X113" s="98">
        <v>0</v>
      </c>
      <c r="Y113" s="98">
        <v>0</v>
      </c>
      <c r="Z113" s="98">
        <v>0</v>
      </c>
      <c r="AA113" s="98">
        <v>0</v>
      </c>
      <c r="AB113" s="98">
        <v>0</v>
      </c>
      <c r="AC113" s="98">
        <v>0</v>
      </c>
      <c r="AD113" s="98">
        <v>1</v>
      </c>
      <c r="AE113" s="98">
        <v>0</v>
      </c>
      <c r="AF113" s="98">
        <f t="shared" si="19"/>
        <v>1</v>
      </c>
      <c r="AH113" s="98">
        <v>99</v>
      </c>
      <c r="AJ113" s="98">
        <v>16</v>
      </c>
      <c r="AK113" s="98">
        <v>0</v>
      </c>
      <c r="AL113" s="380">
        <v>5996.4299999999985</v>
      </c>
      <c r="AN113" s="214">
        <f t="shared" si="20"/>
        <v>757380</v>
      </c>
      <c r="AO113" s="214">
        <f t="shared" si="21"/>
        <v>0</v>
      </c>
      <c r="AP113" s="214">
        <f t="shared" si="22"/>
        <v>0</v>
      </c>
      <c r="AQ113" s="214">
        <f t="shared" si="23"/>
        <v>0</v>
      </c>
      <c r="AR113" s="214">
        <f t="shared" si="24"/>
        <v>0</v>
      </c>
      <c r="AS113" s="214">
        <f t="shared" si="25"/>
        <v>0</v>
      </c>
      <c r="AT113" s="214">
        <f t="shared" si="26"/>
        <v>16092</v>
      </c>
      <c r="AU113" s="214">
        <f t="shared" si="27"/>
        <v>402300</v>
      </c>
      <c r="AV113" s="214">
        <f t="shared" si="28"/>
        <v>338988</v>
      </c>
      <c r="AW113" s="215">
        <f t="shared" si="29"/>
        <v>757380</v>
      </c>
    </row>
    <row r="114" spans="1:49" ht="15" customHeight="1">
      <c r="A114" s="140" t="s">
        <v>117</v>
      </c>
      <c r="B114" s="211" t="s">
        <v>96</v>
      </c>
      <c r="C114" s="140" t="str">
        <f t="shared" si="16"/>
        <v>Heritage Christian Schools-WPCP</v>
      </c>
      <c r="D114" s="140">
        <v>0</v>
      </c>
      <c r="E114" s="140">
        <v>0</v>
      </c>
      <c r="F114" s="140">
        <v>0</v>
      </c>
      <c r="G114" s="140">
        <v>0</v>
      </c>
      <c r="H114" s="140">
        <v>0</v>
      </c>
      <c r="I114" s="140">
        <v>29</v>
      </c>
      <c r="J114" s="140">
        <v>315</v>
      </c>
      <c r="K114" s="140">
        <v>208</v>
      </c>
      <c r="L114" s="140">
        <f t="shared" si="17"/>
        <v>552</v>
      </c>
      <c r="N114" s="140">
        <v>0</v>
      </c>
      <c r="O114" s="140">
        <v>0</v>
      </c>
      <c r="P114" s="140">
        <v>0</v>
      </c>
      <c r="Q114" s="140">
        <v>0</v>
      </c>
      <c r="R114" s="140">
        <v>0</v>
      </c>
      <c r="S114" s="140">
        <v>14</v>
      </c>
      <c r="T114" s="140">
        <v>110</v>
      </c>
      <c r="U114" s="140">
        <v>45</v>
      </c>
      <c r="V114" s="140">
        <f t="shared" si="18"/>
        <v>169</v>
      </c>
      <c r="X114" s="98">
        <v>0</v>
      </c>
      <c r="Y114" s="98">
        <v>0</v>
      </c>
      <c r="Z114" s="98">
        <v>0</v>
      </c>
      <c r="AA114" s="98">
        <v>0</v>
      </c>
      <c r="AB114" s="98">
        <v>0</v>
      </c>
      <c r="AC114" s="98">
        <v>1</v>
      </c>
      <c r="AD114" s="98">
        <v>7</v>
      </c>
      <c r="AE114" s="98">
        <v>0</v>
      </c>
      <c r="AF114" s="98">
        <f t="shared" si="19"/>
        <v>8</v>
      </c>
      <c r="AH114" s="98">
        <v>89</v>
      </c>
      <c r="AJ114" s="98">
        <v>18</v>
      </c>
      <c r="AK114" s="98">
        <v>0</v>
      </c>
      <c r="AL114" s="380">
        <v>5712.11</v>
      </c>
      <c r="AN114" s="214">
        <f t="shared" si="20"/>
        <v>694422</v>
      </c>
      <c r="AO114" s="214">
        <f t="shared" si="21"/>
        <v>0</v>
      </c>
      <c r="AP114" s="214">
        <f t="shared" si="22"/>
        <v>0</v>
      </c>
      <c r="AQ114" s="214">
        <f t="shared" si="23"/>
        <v>0</v>
      </c>
      <c r="AR114" s="214">
        <f t="shared" si="24"/>
        <v>0</v>
      </c>
      <c r="AS114" s="214">
        <f t="shared" si="25"/>
        <v>0</v>
      </c>
      <c r="AT114" s="214">
        <f t="shared" si="26"/>
        <v>56322</v>
      </c>
      <c r="AU114" s="214">
        <f t="shared" si="27"/>
        <v>442530</v>
      </c>
      <c r="AV114" s="214">
        <f t="shared" si="28"/>
        <v>195570</v>
      </c>
      <c r="AW114" s="215">
        <f t="shared" si="29"/>
        <v>694422</v>
      </c>
    </row>
    <row r="115" spans="1:49" ht="15" customHeight="1">
      <c r="A115" s="140" t="s">
        <v>578</v>
      </c>
      <c r="B115" s="211" t="s">
        <v>96</v>
      </c>
      <c r="C115" s="140" t="str">
        <f t="shared" si="16"/>
        <v>High Point Christian School-WPCP</v>
      </c>
      <c r="D115" s="140">
        <v>0</v>
      </c>
      <c r="E115" s="140">
        <v>24</v>
      </c>
      <c r="F115" s="140">
        <v>0</v>
      </c>
      <c r="G115" s="140">
        <v>0</v>
      </c>
      <c r="H115" s="140">
        <v>0</v>
      </c>
      <c r="I115" s="140">
        <v>24</v>
      </c>
      <c r="J115" s="140">
        <v>194</v>
      </c>
      <c r="K115" s="140">
        <v>0</v>
      </c>
      <c r="L115" s="140">
        <f t="shared" si="17"/>
        <v>242</v>
      </c>
      <c r="N115" s="140">
        <v>0</v>
      </c>
      <c r="O115" s="140">
        <v>6</v>
      </c>
      <c r="P115" s="140">
        <v>0</v>
      </c>
      <c r="Q115" s="140">
        <v>0</v>
      </c>
      <c r="R115" s="140">
        <v>0</v>
      </c>
      <c r="S115" s="140">
        <v>5</v>
      </c>
      <c r="T115" s="140">
        <v>51</v>
      </c>
      <c r="U115" s="140">
        <v>0</v>
      </c>
      <c r="V115" s="140">
        <f t="shared" si="18"/>
        <v>62</v>
      </c>
      <c r="X115" s="98">
        <v>0</v>
      </c>
      <c r="Y115" s="98">
        <v>0</v>
      </c>
      <c r="Z115" s="98">
        <v>0</v>
      </c>
      <c r="AA115" s="98">
        <v>0</v>
      </c>
      <c r="AB115" s="98">
        <v>0</v>
      </c>
      <c r="AC115" s="98">
        <v>0</v>
      </c>
      <c r="AD115" s="98">
        <v>0</v>
      </c>
      <c r="AE115" s="98">
        <v>0</v>
      </c>
      <c r="AF115" s="98">
        <f t="shared" si="19"/>
        <v>0</v>
      </c>
      <c r="AH115" s="98">
        <v>38</v>
      </c>
      <c r="AJ115" s="98">
        <v>0</v>
      </c>
      <c r="AK115" s="98">
        <v>0</v>
      </c>
      <c r="AL115" s="380">
        <v>0</v>
      </c>
      <c r="AN115" s="214">
        <f t="shared" si="20"/>
        <v>239770.8</v>
      </c>
      <c r="AO115" s="214">
        <f t="shared" si="21"/>
        <v>0</v>
      </c>
      <c r="AP115" s="214">
        <f t="shared" si="22"/>
        <v>14482.8</v>
      </c>
      <c r="AQ115" s="214">
        <f t="shared" si="23"/>
        <v>0</v>
      </c>
      <c r="AR115" s="214">
        <f t="shared" si="24"/>
        <v>0</v>
      </c>
      <c r="AS115" s="214">
        <f t="shared" si="25"/>
        <v>0</v>
      </c>
      <c r="AT115" s="214">
        <f t="shared" si="26"/>
        <v>20115</v>
      </c>
      <c r="AU115" s="214">
        <f t="shared" si="27"/>
        <v>205173</v>
      </c>
      <c r="AV115" s="214">
        <f t="shared" si="28"/>
        <v>0</v>
      </c>
      <c r="AW115" s="215">
        <f t="shared" si="29"/>
        <v>239770.8</v>
      </c>
    </row>
    <row r="116" spans="1:49" ht="15" customHeight="1">
      <c r="A116" s="140" t="s">
        <v>118</v>
      </c>
      <c r="B116" s="211" t="s">
        <v>187</v>
      </c>
      <c r="C116" s="140" t="str">
        <f t="shared" si="16"/>
        <v>Hillel Academy-MPCP</v>
      </c>
      <c r="D116" s="140">
        <v>0</v>
      </c>
      <c r="E116" s="140">
        <v>0</v>
      </c>
      <c r="F116" s="140">
        <v>0</v>
      </c>
      <c r="G116" s="140">
        <v>0</v>
      </c>
      <c r="H116" s="140">
        <v>0</v>
      </c>
      <c r="I116" s="140">
        <v>17</v>
      </c>
      <c r="J116" s="140">
        <v>134</v>
      </c>
      <c r="K116" s="140">
        <v>0</v>
      </c>
      <c r="L116" s="140">
        <f t="shared" si="17"/>
        <v>151</v>
      </c>
      <c r="N116" s="140">
        <v>0</v>
      </c>
      <c r="O116" s="140">
        <v>0</v>
      </c>
      <c r="P116" s="140">
        <v>0</v>
      </c>
      <c r="Q116" s="140">
        <v>0</v>
      </c>
      <c r="R116" s="140">
        <v>0</v>
      </c>
      <c r="S116" s="140">
        <v>9</v>
      </c>
      <c r="T116" s="140">
        <v>64</v>
      </c>
      <c r="U116" s="140">
        <v>0</v>
      </c>
      <c r="V116" s="140">
        <f t="shared" si="18"/>
        <v>73</v>
      </c>
      <c r="X116" s="98">
        <v>0</v>
      </c>
      <c r="Y116" s="98">
        <v>0</v>
      </c>
      <c r="Z116" s="98">
        <v>0</v>
      </c>
      <c r="AA116" s="98">
        <v>0</v>
      </c>
      <c r="AB116" s="98">
        <v>0</v>
      </c>
      <c r="AC116" s="98">
        <v>0</v>
      </c>
      <c r="AD116" s="98">
        <v>0</v>
      </c>
      <c r="AE116" s="98">
        <v>0</v>
      </c>
      <c r="AF116" s="98">
        <f t="shared" si="19"/>
        <v>0</v>
      </c>
      <c r="AH116" s="98">
        <v>33</v>
      </c>
      <c r="AJ116" s="98">
        <v>0</v>
      </c>
      <c r="AK116" s="98">
        <v>0</v>
      </c>
      <c r="AL116" s="380">
        <v>0</v>
      </c>
      <c r="AN116" s="214">
        <f t="shared" si="20"/>
        <v>293679</v>
      </c>
      <c r="AO116" s="214">
        <f t="shared" si="21"/>
        <v>0</v>
      </c>
      <c r="AP116" s="214">
        <f t="shared" si="22"/>
        <v>0</v>
      </c>
      <c r="AQ116" s="214">
        <f t="shared" si="23"/>
        <v>0</v>
      </c>
      <c r="AR116" s="214">
        <f t="shared" si="24"/>
        <v>0</v>
      </c>
      <c r="AS116" s="214">
        <f t="shared" si="25"/>
        <v>0</v>
      </c>
      <c r="AT116" s="214">
        <f t="shared" si="26"/>
        <v>36207</v>
      </c>
      <c r="AU116" s="214">
        <f t="shared" si="27"/>
        <v>257472</v>
      </c>
      <c r="AV116" s="214">
        <f t="shared" si="28"/>
        <v>0</v>
      </c>
      <c r="AW116" s="215">
        <f t="shared" si="29"/>
        <v>293679</v>
      </c>
    </row>
    <row r="117" spans="1:49" ht="15" customHeight="1">
      <c r="A117" s="140" t="s">
        <v>118</v>
      </c>
      <c r="B117" s="211" t="s">
        <v>96</v>
      </c>
      <c r="C117" s="140" t="str">
        <f t="shared" si="16"/>
        <v>Hillel Academy-WPCP</v>
      </c>
      <c r="D117" s="140">
        <v>0</v>
      </c>
      <c r="E117" s="140">
        <v>0</v>
      </c>
      <c r="F117" s="140">
        <v>0</v>
      </c>
      <c r="G117" s="140">
        <v>0</v>
      </c>
      <c r="H117" s="140">
        <v>0</v>
      </c>
      <c r="I117" s="140">
        <v>17</v>
      </c>
      <c r="J117" s="140">
        <v>134</v>
      </c>
      <c r="K117" s="140">
        <v>0</v>
      </c>
      <c r="L117" s="140">
        <f t="shared" si="17"/>
        <v>151</v>
      </c>
      <c r="N117" s="140">
        <v>0</v>
      </c>
      <c r="O117" s="140">
        <v>0</v>
      </c>
      <c r="P117" s="140">
        <v>0</v>
      </c>
      <c r="Q117" s="140">
        <v>0</v>
      </c>
      <c r="R117" s="140">
        <v>0</v>
      </c>
      <c r="S117" s="140">
        <v>4</v>
      </c>
      <c r="T117" s="140">
        <v>26</v>
      </c>
      <c r="U117" s="140">
        <v>0</v>
      </c>
      <c r="V117" s="140">
        <f t="shared" si="18"/>
        <v>30</v>
      </c>
      <c r="X117" s="98">
        <v>0</v>
      </c>
      <c r="Y117" s="98">
        <v>0</v>
      </c>
      <c r="Z117" s="98">
        <v>0</v>
      </c>
      <c r="AA117" s="98">
        <v>0</v>
      </c>
      <c r="AB117" s="98">
        <v>0</v>
      </c>
      <c r="AC117" s="98">
        <v>0</v>
      </c>
      <c r="AD117" s="98">
        <v>0</v>
      </c>
      <c r="AE117" s="98">
        <v>0</v>
      </c>
      <c r="AF117" s="98">
        <f t="shared" si="19"/>
        <v>0</v>
      </c>
      <c r="AH117" s="98">
        <v>15</v>
      </c>
      <c r="AJ117" s="98">
        <v>0</v>
      </c>
      <c r="AK117" s="98">
        <v>0</v>
      </c>
      <c r="AL117" s="380">
        <v>0</v>
      </c>
      <c r="AN117" s="214">
        <f t="shared" si="20"/>
        <v>120690</v>
      </c>
      <c r="AO117" s="214">
        <f t="shared" si="21"/>
        <v>0</v>
      </c>
      <c r="AP117" s="214">
        <f t="shared" si="22"/>
        <v>0</v>
      </c>
      <c r="AQ117" s="214">
        <f t="shared" si="23"/>
        <v>0</v>
      </c>
      <c r="AR117" s="214">
        <f t="shared" si="24"/>
        <v>0</v>
      </c>
      <c r="AS117" s="214">
        <f t="shared" si="25"/>
        <v>0</v>
      </c>
      <c r="AT117" s="214">
        <f t="shared" si="26"/>
        <v>16092</v>
      </c>
      <c r="AU117" s="214">
        <f t="shared" si="27"/>
        <v>104598</v>
      </c>
      <c r="AV117" s="214">
        <f t="shared" si="28"/>
        <v>0</v>
      </c>
      <c r="AW117" s="215">
        <f t="shared" si="29"/>
        <v>120690</v>
      </c>
    </row>
    <row r="118" spans="1:49" ht="15" customHeight="1">
      <c r="A118" s="374" t="s">
        <v>624</v>
      </c>
      <c r="B118" s="211" t="s">
        <v>96</v>
      </c>
      <c r="C118" s="140" t="str">
        <f t="shared" si="16"/>
        <v>Holy Family School - Brillion-WPCP</v>
      </c>
      <c r="D118" s="140">
        <v>12</v>
      </c>
      <c r="E118" s="140">
        <v>0</v>
      </c>
      <c r="F118" s="140">
        <v>0</v>
      </c>
      <c r="G118" s="140">
        <v>0</v>
      </c>
      <c r="H118" s="140">
        <v>0</v>
      </c>
      <c r="I118" s="140">
        <v>9</v>
      </c>
      <c r="J118" s="140">
        <v>36</v>
      </c>
      <c r="K118" s="140">
        <v>0</v>
      </c>
      <c r="L118" s="140">
        <f t="shared" si="17"/>
        <v>57</v>
      </c>
      <c r="N118" s="140">
        <v>2</v>
      </c>
      <c r="O118" s="140">
        <v>0</v>
      </c>
      <c r="P118" s="140">
        <v>0</v>
      </c>
      <c r="Q118" s="140">
        <v>0</v>
      </c>
      <c r="R118" s="140">
        <v>0</v>
      </c>
      <c r="S118" s="140">
        <v>2</v>
      </c>
      <c r="T118" s="140">
        <v>12</v>
      </c>
      <c r="U118" s="140">
        <v>0</v>
      </c>
      <c r="V118" s="140">
        <f t="shared" si="18"/>
        <v>16</v>
      </c>
      <c r="X118" s="98">
        <v>1</v>
      </c>
      <c r="Y118" s="98">
        <v>0</v>
      </c>
      <c r="Z118" s="98">
        <v>0</v>
      </c>
      <c r="AA118" s="98">
        <v>0</v>
      </c>
      <c r="AB118" s="98">
        <v>0</v>
      </c>
      <c r="AC118" s="98">
        <v>2</v>
      </c>
      <c r="AD118" s="98">
        <v>4</v>
      </c>
      <c r="AE118" s="98">
        <v>0</v>
      </c>
      <c r="AF118" s="98">
        <f t="shared" si="19"/>
        <v>7</v>
      </c>
      <c r="AH118" s="98">
        <v>8</v>
      </c>
      <c r="AJ118" s="98">
        <v>0</v>
      </c>
      <c r="AK118" s="98">
        <v>0</v>
      </c>
      <c r="AL118" s="380">
        <v>0</v>
      </c>
      <c r="AN118" s="214">
        <f t="shared" si="20"/>
        <v>60345</v>
      </c>
      <c r="AO118" s="214">
        <f t="shared" si="21"/>
        <v>4023</v>
      </c>
      <c r="AP118" s="214">
        <f t="shared" si="22"/>
        <v>0</v>
      </c>
      <c r="AQ118" s="214">
        <f t="shared" si="23"/>
        <v>0</v>
      </c>
      <c r="AR118" s="214">
        <f t="shared" si="24"/>
        <v>0</v>
      </c>
      <c r="AS118" s="214">
        <f t="shared" si="25"/>
        <v>0</v>
      </c>
      <c r="AT118" s="214">
        <f t="shared" si="26"/>
        <v>8046</v>
      </c>
      <c r="AU118" s="214">
        <f t="shared" si="27"/>
        <v>48276</v>
      </c>
      <c r="AV118" s="214">
        <f t="shared" si="28"/>
        <v>0</v>
      </c>
      <c r="AW118" s="215">
        <f t="shared" si="29"/>
        <v>60345</v>
      </c>
    </row>
    <row r="119" spans="1:49" ht="15" customHeight="1">
      <c r="A119" s="140" t="s">
        <v>119</v>
      </c>
      <c r="B119" s="211" t="s">
        <v>187</v>
      </c>
      <c r="C119" s="140" t="str">
        <f t="shared" si="16"/>
        <v>Holy Redeemer Christian Academy-MPCP</v>
      </c>
      <c r="D119" s="140">
        <v>0</v>
      </c>
      <c r="E119" s="140">
        <v>16</v>
      </c>
      <c r="F119" s="140">
        <v>0</v>
      </c>
      <c r="G119" s="140">
        <v>0</v>
      </c>
      <c r="H119" s="140">
        <v>0</v>
      </c>
      <c r="I119" s="140">
        <v>23</v>
      </c>
      <c r="J119" s="140">
        <v>169</v>
      </c>
      <c r="K119" s="140">
        <v>151</v>
      </c>
      <c r="L119" s="140">
        <f t="shared" si="17"/>
        <v>359</v>
      </c>
      <c r="N119" s="140">
        <v>0</v>
      </c>
      <c r="O119" s="140">
        <v>15</v>
      </c>
      <c r="P119" s="140">
        <v>0</v>
      </c>
      <c r="Q119" s="140">
        <v>0</v>
      </c>
      <c r="R119" s="140">
        <v>0</v>
      </c>
      <c r="S119" s="140">
        <v>22</v>
      </c>
      <c r="T119" s="140">
        <v>162</v>
      </c>
      <c r="U119" s="140">
        <v>146</v>
      </c>
      <c r="V119" s="140">
        <f t="shared" si="18"/>
        <v>345</v>
      </c>
      <c r="X119" s="98">
        <v>0</v>
      </c>
      <c r="Y119" s="98">
        <v>0</v>
      </c>
      <c r="Z119" s="98">
        <v>0</v>
      </c>
      <c r="AA119" s="98">
        <v>0</v>
      </c>
      <c r="AB119" s="98">
        <v>0</v>
      </c>
      <c r="AC119" s="98">
        <v>0</v>
      </c>
      <c r="AD119" s="98">
        <v>0</v>
      </c>
      <c r="AE119" s="98">
        <v>0</v>
      </c>
      <c r="AF119" s="98">
        <f t="shared" si="19"/>
        <v>0</v>
      </c>
      <c r="AH119" s="98">
        <v>231</v>
      </c>
      <c r="AJ119" s="98">
        <v>0</v>
      </c>
      <c r="AK119" s="98">
        <v>0</v>
      </c>
      <c r="AL119" s="380">
        <v>0</v>
      </c>
      <c r="AN119" s="214">
        <f t="shared" si="20"/>
        <v>1410955</v>
      </c>
      <c r="AO119" s="214">
        <f t="shared" si="21"/>
        <v>0</v>
      </c>
      <c r="AP119" s="214">
        <f t="shared" si="22"/>
        <v>36207</v>
      </c>
      <c r="AQ119" s="214">
        <f t="shared" si="23"/>
        <v>0</v>
      </c>
      <c r="AR119" s="214">
        <f t="shared" si="24"/>
        <v>0</v>
      </c>
      <c r="AS119" s="214">
        <f t="shared" si="25"/>
        <v>0</v>
      </c>
      <c r="AT119" s="214">
        <f t="shared" si="26"/>
        <v>88506</v>
      </c>
      <c r="AU119" s="214">
        <f t="shared" si="27"/>
        <v>651726</v>
      </c>
      <c r="AV119" s="214">
        <f t="shared" si="28"/>
        <v>634516</v>
      </c>
      <c r="AW119" s="215">
        <f t="shared" si="29"/>
        <v>1410955</v>
      </c>
    </row>
    <row r="120" spans="1:49" ht="15" customHeight="1">
      <c r="A120" s="140" t="s">
        <v>446</v>
      </c>
      <c r="B120" s="211" t="s">
        <v>96</v>
      </c>
      <c r="C120" s="140" t="str">
        <f t="shared" si="16"/>
        <v>Holy Rosary Catholic School - Kewaunee-WPCP</v>
      </c>
      <c r="D120" s="140">
        <v>10</v>
      </c>
      <c r="E120" s="140">
        <v>0</v>
      </c>
      <c r="F120" s="140">
        <v>0</v>
      </c>
      <c r="G120" s="140">
        <v>0</v>
      </c>
      <c r="H120" s="140">
        <v>0</v>
      </c>
      <c r="I120" s="140">
        <v>11</v>
      </c>
      <c r="J120" s="140">
        <v>53</v>
      </c>
      <c r="K120" s="140">
        <v>0</v>
      </c>
      <c r="L120" s="140">
        <f t="shared" si="17"/>
        <v>74</v>
      </c>
      <c r="N120" s="140">
        <v>4</v>
      </c>
      <c r="O120" s="140">
        <v>0</v>
      </c>
      <c r="P120" s="140">
        <v>0</v>
      </c>
      <c r="Q120" s="140">
        <v>0</v>
      </c>
      <c r="R120" s="140">
        <v>0</v>
      </c>
      <c r="S120" s="140">
        <v>2</v>
      </c>
      <c r="T120" s="140">
        <v>9</v>
      </c>
      <c r="U120" s="140">
        <v>0</v>
      </c>
      <c r="V120" s="140">
        <f t="shared" si="18"/>
        <v>15</v>
      </c>
      <c r="X120" s="98">
        <v>0</v>
      </c>
      <c r="Y120" s="98">
        <v>0</v>
      </c>
      <c r="Z120" s="98">
        <v>0</v>
      </c>
      <c r="AA120" s="98">
        <v>0</v>
      </c>
      <c r="AB120" s="98">
        <v>0</v>
      </c>
      <c r="AC120" s="98">
        <v>0</v>
      </c>
      <c r="AD120" s="98">
        <v>0</v>
      </c>
      <c r="AE120" s="98">
        <v>0</v>
      </c>
      <c r="AF120" s="98">
        <f t="shared" si="19"/>
        <v>0</v>
      </c>
      <c r="AH120" s="98">
        <v>11</v>
      </c>
      <c r="AJ120" s="98">
        <v>0</v>
      </c>
      <c r="AK120" s="98">
        <v>0</v>
      </c>
      <c r="AL120" s="380">
        <v>0</v>
      </c>
      <c r="AN120" s="214">
        <f t="shared" si="20"/>
        <v>52299</v>
      </c>
      <c r="AO120" s="214">
        <f t="shared" si="21"/>
        <v>8046</v>
      </c>
      <c r="AP120" s="214">
        <f t="shared" si="22"/>
        <v>0</v>
      </c>
      <c r="AQ120" s="214">
        <f t="shared" si="23"/>
        <v>0</v>
      </c>
      <c r="AR120" s="214">
        <f t="shared" si="24"/>
        <v>0</v>
      </c>
      <c r="AS120" s="214">
        <f t="shared" si="25"/>
        <v>0</v>
      </c>
      <c r="AT120" s="214">
        <f t="shared" si="26"/>
        <v>8046</v>
      </c>
      <c r="AU120" s="214">
        <f t="shared" si="27"/>
        <v>36207</v>
      </c>
      <c r="AV120" s="214">
        <f t="shared" si="28"/>
        <v>0</v>
      </c>
      <c r="AW120" s="215">
        <f t="shared" si="29"/>
        <v>52299</v>
      </c>
    </row>
    <row r="121" spans="1:49" ht="15" customHeight="1">
      <c r="A121" s="140" t="s">
        <v>375</v>
      </c>
      <c r="B121" s="211" t="s">
        <v>96</v>
      </c>
      <c r="C121" s="140" t="str">
        <f t="shared" si="16"/>
        <v>Holy Rosary Catholic School - Medford-WPCP</v>
      </c>
      <c r="D121" s="140">
        <v>19</v>
      </c>
      <c r="E121" s="140">
        <v>0</v>
      </c>
      <c r="F121" s="140">
        <v>0</v>
      </c>
      <c r="G121" s="140">
        <v>0</v>
      </c>
      <c r="H121" s="140">
        <v>0</v>
      </c>
      <c r="I121" s="140">
        <v>15</v>
      </c>
      <c r="J121" s="140">
        <v>44</v>
      </c>
      <c r="K121" s="140">
        <v>0</v>
      </c>
      <c r="L121" s="140">
        <f t="shared" si="17"/>
        <v>78</v>
      </c>
      <c r="N121" s="140">
        <v>5</v>
      </c>
      <c r="O121" s="140">
        <v>0</v>
      </c>
      <c r="P121" s="140">
        <v>0</v>
      </c>
      <c r="Q121" s="140">
        <v>0</v>
      </c>
      <c r="R121" s="140">
        <v>0</v>
      </c>
      <c r="S121" s="140">
        <v>4</v>
      </c>
      <c r="T121" s="140">
        <v>10</v>
      </c>
      <c r="U121" s="140">
        <v>0</v>
      </c>
      <c r="V121" s="140">
        <f t="shared" si="18"/>
        <v>19</v>
      </c>
      <c r="X121" s="98">
        <v>0</v>
      </c>
      <c r="Y121" s="98">
        <v>0</v>
      </c>
      <c r="Z121" s="98">
        <v>0</v>
      </c>
      <c r="AA121" s="98">
        <v>0</v>
      </c>
      <c r="AB121" s="98">
        <v>0</v>
      </c>
      <c r="AC121" s="98">
        <v>0</v>
      </c>
      <c r="AD121" s="98">
        <v>0</v>
      </c>
      <c r="AE121" s="98">
        <v>0</v>
      </c>
      <c r="AF121" s="98">
        <f t="shared" si="19"/>
        <v>0</v>
      </c>
      <c r="AH121" s="98">
        <v>13</v>
      </c>
      <c r="AJ121" s="98">
        <v>0</v>
      </c>
      <c r="AK121" s="98">
        <v>0</v>
      </c>
      <c r="AL121" s="380">
        <v>0</v>
      </c>
      <c r="AN121" s="214">
        <f t="shared" si="20"/>
        <v>66379.5</v>
      </c>
      <c r="AO121" s="214">
        <f t="shared" si="21"/>
        <v>10057.5</v>
      </c>
      <c r="AP121" s="214">
        <f t="shared" si="22"/>
        <v>0</v>
      </c>
      <c r="AQ121" s="214">
        <f t="shared" si="23"/>
        <v>0</v>
      </c>
      <c r="AR121" s="214">
        <f t="shared" si="24"/>
        <v>0</v>
      </c>
      <c r="AS121" s="214">
        <f t="shared" si="25"/>
        <v>0</v>
      </c>
      <c r="AT121" s="214">
        <f t="shared" si="26"/>
        <v>16092</v>
      </c>
      <c r="AU121" s="214">
        <f t="shared" si="27"/>
        <v>40230</v>
      </c>
      <c r="AV121" s="214">
        <f t="shared" si="28"/>
        <v>0</v>
      </c>
      <c r="AW121" s="215">
        <f t="shared" si="29"/>
        <v>66379.5</v>
      </c>
    </row>
    <row r="122" spans="1:49" ht="15" customHeight="1">
      <c r="A122" s="140" t="s">
        <v>579</v>
      </c>
      <c r="B122" s="211" t="s">
        <v>96</v>
      </c>
      <c r="C122" s="140" t="str">
        <f t="shared" si="16"/>
        <v>Holy Trinity School-WPCP</v>
      </c>
      <c r="D122" s="140">
        <v>6</v>
      </c>
      <c r="E122" s="140">
        <v>0</v>
      </c>
      <c r="F122" s="140">
        <v>0</v>
      </c>
      <c r="G122" s="140">
        <v>0</v>
      </c>
      <c r="H122" s="140">
        <v>0</v>
      </c>
      <c r="I122" s="140">
        <v>3</v>
      </c>
      <c r="J122" s="140">
        <v>19</v>
      </c>
      <c r="K122" s="140">
        <v>0</v>
      </c>
      <c r="L122" s="140">
        <f t="shared" si="17"/>
        <v>28</v>
      </c>
      <c r="N122" s="140">
        <v>2</v>
      </c>
      <c r="O122" s="140">
        <v>0</v>
      </c>
      <c r="P122" s="140">
        <v>0</v>
      </c>
      <c r="Q122" s="140">
        <v>0</v>
      </c>
      <c r="R122" s="140">
        <v>0</v>
      </c>
      <c r="S122" s="140">
        <v>1</v>
      </c>
      <c r="T122" s="140">
        <v>1</v>
      </c>
      <c r="U122" s="140">
        <v>0</v>
      </c>
      <c r="V122" s="140">
        <f t="shared" si="18"/>
        <v>4</v>
      </c>
      <c r="X122" s="98">
        <v>0</v>
      </c>
      <c r="Y122" s="98">
        <v>0</v>
      </c>
      <c r="Z122" s="98">
        <v>0</v>
      </c>
      <c r="AA122" s="98">
        <v>0</v>
      </c>
      <c r="AB122" s="98">
        <v>0</v>
      </c>
      <c r="AC122" s="98">
        <v>0</v>
      </c>
      <c r="AD122" s="98">
        <v>0</v>
      </c>
      <c r="AE122" s="98">
        <v>0</v>
      </c>
      <c r="AF122" s="98">
        <f t="shared" si="19"/>
        <v>0</v>
      </c>
      <c r="AH122" s="98">
        <v>3</v>
      </c>
      <c r="AJ122" s="98">
        <v>0</v>
      </c>
      <c r="AK122" s="98">
        <v>0</v>
      </c>
      <c r="AL122" s="380">
        <v>0</v>
      </c>
      <c r="AN122" s="214">
        <f t="shared" si="20"/>
        <v>12069</v>
      </c>
      <c r="AO122" s="214">
        <f t="shared" si="21"/>
        <v>4023</v>
      </c>
      <c r="AP122" s="214">
        <f t="shared" si="22"/>
        <v>0</v>
      </c>
      <c r="AQ122" s="214">
        <f t="shared" si="23"/>
        <v>0</v>
      </c>
      <c r="AR122" s="214">
        <f t="shared" si="24"/>
        <v>0</v>
      </c>
      <c r="AS122" s="214">
        <f t="shared" si="25"/>
        <v>0</v>
      </c>
      <c r="AT122" s="214">
        <f t="shared" si="26"/>
        <v>4023</v>
      </c>
      <c r="AU122" s="214">
        <f t="shared" si="27"/>
        <v>4023</v>
      </c>
      <c r="AV122" s="214">
        <f t="shared" si="28"/>
        <v>0</v>
      </c>
      <c r="AW122" s="215">
        <f t="shared" si="29"/>
        <v>12069</v>
      </c>
    </row>
    <row r="123" spans="1:49" ht="15" customHeight="1">
      <c r="A123" s="140" t="s">
        <v>447</v>
      </c>
      <c r="B123" s="211" t="s">
        <v>96</v>
      </c>
      <c r="C123" s="140" t="str">
        <f t="shared" si="16"/>
        <v>Holyland Catholic School-WPCP</v>
      </c>
      <c r="D123" s="140">
        <v>9</v>
      </c>
      <c r="E123" s="140">
        <v>0</v>
      </c>
      <c r="F123" s="140">
        <v>0</v>
      </c>
      <c r="G123" s="140">
        <v>0</v>
      </c>
      <c r="H123" s="140">
        <v>0</v>
      </c>
      <c r="I123" s="140">
        <v>6</v>
      </c>
      <c r="J123" s="140">
        <v>45</v>
      </c>
      <c r="K123" s="140">
        <v>0</v>
      </c>
      <c r="L123" s="140">
        <f t="shared" si="17"/>
        <v>60</v>
      </c>
      <c r="N123" s="140">
        <v>1</v>
      </c>
      <c r="O123" s="140">
        <v>0</v>
      </c>
      <c r="P123" s="140">
        <v>0</v>
      </c>
      <c r="Q123" s="140">
        <v>0</v>
      </c>
      <c r="R123" s="140">
        <v>0</v>
      </c>
      <c r="S123" s="140">
        <v>0</v>
      </c>
      <c r="T123" s="140">
        <v>4</v>
      </c>
      <c r="U123" s="140">
        <v>0</v>
      </c>
      <c r="V123" s="140">
        <f t="shared" si="18"/>
        <v>5</v>
      </c>
      <c r="X123" s="98">
        <v>0</v>
      </c>
      <c r="Y123" s="98">
        <v>0</v>
      </c>
      <c r="Z123" s="98">
        <v>0</v>
      </c>
      <c r="AA123" s="98">
        <v>0</v>
      </c>
      <c r="AB123" s="98">
        <v>0</v>
      </c>
      <c r="AC123" s="98">
        <v>0</v>
      </c>
      <c r="AD123" s="98">
        <v>0</v>
      </c>
      <c r="AE123" s="98">
        <v>0</v>
      </c>
      <c r="AF123" s="98">
        <f t="shared" si="19"/>
        <v>0</v>
      </c>
      <c r="AH123" s="98">
        <v>4</v>
      </c>
      <c r="AJ123" s="98">
        <v>0</v>
      </c>
      <c r="AK123" s="98">
        <v>0</v>
      </c>
      <c r="AL123" s="380">
        <v>0</v>
      </c>
      <c r="AN123" s="214">
        <f t="shared" si="20"/>
        <v>18103.5</v>
      </c>
      <c r="AO123" s="214">
        <f t="shared" si="21"/>
        <v>2011.5</v>
      </c>
      <c r="AP123" s="214">
        <f t="shared" si="22"/>
        <v>0</v>
      </c>
      <c r="AQ123" s="214">
        <f t="shared" si="23"/>
        <v>0</v>
      </c>
      <c r="AR123" s="214">
        <f t="shared" si="24"/>
        <v>0</v>
      </c>
      <c r="AS123" s="214">
        <f t="shared" si="25"/>
        <v>0</v>
      </c>
      <c r="AT123" s="214">
        <f t="shared" si="26"/>
        <v>0</v>
      </c>
      <c r="AU123" s="214">
        <f t="shared" si="27"/>
        <v>16092</v>
      </c>
      <c r="AV123" s="214">
        <f t="shared" si="28"/>
        <v>0</v>
      </c>
      <c r="AW123" s="215">
        <f t="shared" si="29"/>
        <v>18103.5</v>
      </c>
    </row>
    <row r="124" spans="1:49" ht="15" customHeight="1">
      <c r="A124" s="140" t="s">
        <v>120</v>
      </c>
      <c r="B124" s="211" t="s">
        <v>187</v>
      </c>
      <c r="C124" s="140" t="str">
        <f t="shared" si="16"/>
        <v>Hope Christian High School-MPCP</v>
      </c>
      <c r="D124" s="140">
        <v>0</v>
      </c>
      <c r="E124" s="140">
        <v>0</v>
      </c>
      <c r="F124" s="140">
        <v>0</v>
      </c>
      <c r="G124" s="140">
        <v>0</v>
      </c>
      <c r="H124" s="140">
        <v>0</v>
      </c>
      <c r="I124" s="140">
        <v>0</v>
      </c>
      <c r="J124" s="140">
        <v>0</v>
      </c>
      <c r="K124" s="140">
        <v>261</v>
      </c>
      <c r="L124" s="140">
        <f t="shared" si="17"/>
        <v>261</v>
      </c>
      <c r="N124" s="140">
        <v>0</v>
      </c>
      <c r="O124" s="140">
        <v>0</v>
      </c>
      <c r="P124" s="140">
        <v>0</v>
      </c>
      <c r="Q124" s="140">
        <v>0</v>
      </c>
      <c r="R124" s="140">
        <v>0</v>
      </c>
      <c r="S124" s="140">
        <v>0</v>
      </c>
      <c r="T124" s="140">
        <v>0</v>
      </c>
      <c r="U124" s="140">
        <v>261</v>
      </c>
      <c r="V124" s="140">
        <f t="shared" si="18"/>
        <v>261</v>
      </c>
      <c r="X124" s="98">
        <v>0</v>
      </c>
      <c r="Y124" s="98">
        <v>0</v>
      </c>
      <c r="Z124" s="98">
        <v>0</v>
      </c>
      <c r="AA124" s="98">
        <v>0</v>
      </c>
      <c r="AB124" s="98">
        <v>0</v>
      </c>
      <c r="AC124" s="98">
        <v>0</v>
      </c>
      <c r="AD124" s="98">
        <v>0</v>
      </c>
      <c r="AE124" s="98">
        <v>0</v>
      </c>
      <c r="AF124" s="98">
        <f t="shared" si="19"/>
        <v>0</v>
      </c>
      <c r="AH124" s="98">
        <v>233</v>
      </c>
      <c r="AJ124" s="98">
        <v>0</v>
      </c>
      <c r="AK124" s="98">
        <v>0</v>
      </c>
      <c r="AL124" s="380">
        <v>0</v>
      </c>
      <c r="AN124" s="214">
        <f t="shared" si="20"/>
        <v>1134306</v>
      </c>
      <c r="AO124" s="214">
        <f t="shared" si="21"/>
        <v>0</v>
      </c>
      <c r="AP124" s="214">
        <f t="shared" si="22"/>
        <v>0</v>
      </c>
      <c r="AQ124" s="214">
        <f t="shared" si="23"/>
        <v>0</v>
      </c>
      <c r="AR124" s="214">
        <f t="shared" si="24"/>
        <v>0</v>
      </c>
      <c r="AS124" s="214">
        <f t="shared" si="25"/>
        <v>0</v>
      </c>
      <c r="AT124" s="214">
        <f t="shared" si="26"/>
        <v>0</v>
      </c>
      <c r="AU124" s="214">
        <f t="shared" si="27"/>
        <v>0</v>
      </c>
      <c r="AV124" s="214">
        <f t="shared" si="28"/>
        <v>1134306</v>
      </c>
      <c r="AW124" s="215">
        <f t="shared" si="29"/>
        <v>1134306</v>
      </c>
    </row>
    <row r="125" spans="1:49" ht="15" customHeight="1">
      <c r="A125" s="140" t="s">
        <v>121</v>
      </c>
      <c r="B125" s="211" t="s">
        <v>187</v>
      </c>
      <c r="C125" s="140" t="str">
        <f t="shared" si="16"/>
        <v>Hope Christian School: Caritas-MPCP</v>
      </c>
      <c r="D125" s="140">
        <v>0</v>
      </c>
      <c r="E125" s="140">
        <v>52</v>
      </c>
      <c r="F125" s="140">
        <v>0</v>
      </c>
      <c r="G125" s="140">
        <v>0</v>
      </c>
      <c r="H125" s="140">
        <v>0</v>
      </c>
      <c r="I125" s="140">
        <v>67</v>
      </c>
      <c r="J125" s="140">
        <v>374</v>
      </c>
      <c r="K125" s="140">
        <v>0</v>
      </c>
      <c r="L125" s="140">
        <f t="shared" si="17"/>
        <v>493</v>
      </c>
      <c r="N125" s="140">
        <v>0</v>
      </c>
      <c r="O125" s="140">
        <v>52</v>
      </c>
      <c r="P125" s="140">
        <v>0</v>
      </c>
      <c r="Q125" s="140">
        <v>0</v>
      </c>
      <c r="R125" s="140">
        <v>0</v>
      </c>
      <c r="S125" s="140">
        <v>67</v>
      </c>
      <c r="T125" s="140">
        <v>374</v>
      </c>
      <c r="U125" s="140">
        <v>0</v>
      </c>
      <c r="V125" s="140">
        <f t="shared" si="18"/>
        <v>493</v>
      </c>
      <c r="X125" s="98">
        <v>0</v>
      </c>
      <c r="Y125" s="98">
        <v>0</v>
      </c>
      <c r="Z125" s="98">
        <v>0</v>
      </c>
      <c r="AA125" s="98">
        <v>0</v>
      </c>
      <c r="AB125" s="98">
        <v>0</v>
      </c>
      <c r="AC125" s="98">
        <v>0</v>
      </c>
      <c r="AD125" s="98">
        <v>0</v>
      </c>
      <c r="AE125" s="98">
        <v>0</v>
      </c>
      <c r="AF125" s="98">
        <f t="shared" si="19"/>
        <v>0</v>
      </c>
      <c r="AH125" s="98">
        <v>317</v>
      </c>
      <c r="AJ125" s="98">
        <v>0</v>
      </c>
      <c r="AK125" s="98">
        <v>0</v>
      </c>
      <c r="AL125" s="380">
        <v>0</v>
      </c>
      <c r="AN125" s="214">
        <f t="shared" si="20"/>
        <v>1899660.6</v>
      </c>
      <c r="AO125" s="214">
        <f t="shared" si="21"/>
        <v>0</v>
      </c>
      <c r="AP125" s="214">
        <f t="shared" si="22"/>
        <v>125517.6</v>
      </c>
      <c r="AQ125" s="214">
        <f t="shared" si="23"/>
        <v>0</v>
      </c>
      <c r="AR125" s="214">
        <f t="shared" si="24"/>
        <v>0</v>
      </c>
      <c r="AS125" s="214">
        <f t="shared" si="25"/>
        <v>0</v>
      </c>
      <c r="AT125" s="214">
        <f t="shared" si="26"/>
        <v>269541</v>
      </c>
      <c r="AU125" s="214">
        <f t="shared" si="27"/>
        <v>1504602</v>
      </c>
      <c r="AV125" s="214">
        <f t="shared" si="28"/>
        <v>0</v>
      </c>
      <c r="AW125" s="215">
        <f t="shared" si="29"/>
        <v>1899660.6</v>
      </c>
    </row>
    <row r="126" spans="1:49" ht="15" customHeight="1">
      <c r="A126" s="140" t="s">
        <v>313</v>
      </c>
      <c r="B126" s="211" t="s">
        <v>187</v>
      </c>
      <c r="C126" s="140" t="str">
        <f t="shared" si="16"/>
        <v>Hope Christian School: Fidelis-MPCP</v>
      </c>
      <c r="D126" s="140">
        <v>0</v>
      </c>
      <c r="E126" s="140">
        <v>63</v>
      </c>
      <c r="F126" s="140">
        <v>0</v>
      </c>
      <c r="G126" s="140">
        <v>0</v>
      </c>
      <c r="H126" s="140">
        <v>0</v>
      </c>
      <c r="I126" s="140">
        <v>67</v>
      </c>
      <c r="J126" s="140">
        <v>354</v>
      </c>
      <c r="K126" s="140">
        <v>0</v>
      </c>
      <c r="L126" s="140">
        <f t="shared" si="17"/>
        <v>484</v>
      </c>
      <c r="N126" s="140">
        <v>0</v>
      </c>
      <c r="O126" s="140">
        <v>63</v>
      </c>
      <c r="P126" s="140">
        <v>0</v>
      </c>
      <c r="Q126" s="140">
        <v>0</v>
      </c>
      <c r="R126" s="140">
        <v>0</v>
      </c>
      <c r="S126" s="140">
        <v>67</v>
      </c>
      <c r="T126" s="140">
        <v>353</v>
      </c>
      <c r="U126" s="140">
        <v>0</v>
      </c>
      <c r="V126" s="140">
        <f t="shared" si="18"/>
        <v>483</v>
      </c>
      <c r="X126" s="98">
        <v>0</v>
      </c>
      <c r="Y126" s="98">
        <v>0</v>
      </c>
      <c r="Z126" s="98">
        <v>0</v>
      </c>
      <c r="AA126" s="98">
        <v>0</v>
      </c>
      <c r="AB126" s="98">
        <v>0</v>
      </c>
      <c r="AC126" s="98">
        <v>2</v>
      </c>
      <c r="AD126" s="98">
        <v>42</v>
      </c>
      <c r="AE126" s="98">
        <v>0</v>
      </c>
      <c r="AF126" s="98">
        <f t="shared" si="19"/>
        <v>44</v>
      </c>
      <c r="AH126" s="98">
        <v>330</v>
      </c>
      <c r="AJ126" s="98">
        <v>0</v>
      </c>
      <c r="AK126" s="98">
        <v>0</v>
      </c>
      <c r="AL126" s="380">
        <v>0</v>
      </c>
      <c r="AN126" s="214">
        <f t="shared" si="20"/>
        <v>1841729.4</v>
      </c>
      <c r="AO126" s="214">
        <f t="shared" si="21"/>
        <v>0</v>
      </c>
      <c r="AP126" s="214">
        <f t="shared" si="22"/>
        <v>152069.4</v>
      </c>
      <c r="AQ126" s="214">
        <f t="shared" si="23"/>
        <v>0</v>
      </c>
      <c r="AR126" s="214">
        <f t="shared" si="24"/>
        <v>0</v>
      </c>
      <c r="AS126" s="214">
        <f t="shared" si="25"/>
        <v>0</v>
      </c>
      <c r="AT126" s="214">
        <f t="shared" si="26"/>
        <v>269541</v>
      </c>
      <c r="AU126" s="214">
        <f t="shared" si="27"/>
        <v>1420119</v>
      </c>
      <c r="AV126" s="214">
        <f t="shared" si="28"/>
        <v>0</v>
      </c>
      <c r="AW126" s="215">
        <f t="shared" si="29"/>
        <v>1841729.4</v>
      </c>
    </row>
    <row r="127" spans="1:49" ht="15" customHeight="1">
      <c r="A127" s="140" t="s">
        <v>122</v>
      </c>
      <c r="B127" s="211" t="s">
        <v>187</v>
      </c>
      <c r="C127" s="140" t="str">
        <f t="shared" si="16"/>
        <v>Hope Christian School: Fortis-MPCP</v>
      </c>
      <c r="D127" s="140">
        <v>0</v>
      </c>
      <c r="E127" s="140">
        <v>26</v>
      </c>
      <c r="F127" s="140">
        <v>0</v>
      </c>
      <c r="G127" s="140">
        <v>0</v>
      </c>
      <c r="H127" s="140">
        <v>0</v>
      </c>
      <c r="I127" s="140">
        <v>30</v>
      </c>
      <c r="J127" s="140">
        <v>439</v>
      </c>
      <c r="K127" s="140">
        <v>0</v>
      </c>
      <c r="L127" s="140">
        <f t="shared" si="17"/>
        <v>495</v>
      </c>
      <c r="N127" s="140">
        <v>0</v>
      </c>
      <c r="O127" s="140">
        <v>26</v>
      </c>
      <c r="P127" s="140">
        <v>0</v>
      </c>
      <c r="Q127" s="140">
        <v>0</v>
      </c>
      <c r="R127" s="140">
        <v>0</v>
      </c>
      <c r="S127" s="140">
        <v>30</v>
      </c>
      <c r="T127" s="140">
        <v>439</v>
      </c>
      <c r="U127" s="140">
        <v>0</v>
      </c>
      <c r="V127" s="140">
        <f t="shared" si="18"/>
        <v>495</v>
      </c>
      <c r="X127" s="98">
        <v>0</v>
      </c>
      <c r="Y127" s="98">
        <v>5</v>
      </c>
      <c r="Z127" s="98">
        <v>0</v>
      </c>
      <c r="AA127" s="98">
        <v>0</v>
      </c>
      <c r="AB127" s="98">
        <v>0</v>
      </c>
      <c r="AC127" s="98">
        <v>0</v>
      </c>
      <c r="AD127" s="98">
        <v>0</v>
      </c>
      <c r="AE127" s="98">
        <v>0</v>
      </c>
      <c r="AF127" s="98">
        <f t="shared" si="19"/>
        <v>5</v>
      </c>
      <c r="AH127" s="98">
        <v>303</v>
      </c>
      <c r="AJ127" s="98">
        <v>0</v>
      </c>
      <c r="AK127" s="98">
        <v>0</v>
      </c>
      <c r="AL127" s="380">
        <v>0</v>
      </c>
      <c r="AN127" s="214">
        <f t="shared" si="20"/>
        <v>1949545.8</v>
      </c>
      <c r="AO127" s="214">
        <f t="shared" si="21"/>
        <v>0</v>
      </c>
      <c r="AP127" s="214">
        <f t="shared" si="22"/>
        <v>62758.8</v>
      </c>
      <c r="AQ127" s="214">
        <f t="shared" si="23"/>
        <v>0</v>
      </c>
      <c r="AR127" s="214">
        <f t="shared" si="24"/>
        <v>0</v>
      </c>
      <c r="AS127" s="214">
        <f t="shared" si="25"/>
        <v>0</v>
      </c>
      <c r="AT127" s="214">
        <f t="shared" si="26"/>
        <v>120690</v>
      </c>
      <c r="AU127" s="214">
        <f t="shared" si="27"/>
        <v>1766097</v>
      </c>
      <c r="AV127" s="214">
        <f t="shared" si="28"/>
        <v>0</v>
      </c>
      <c r="AW127" s="215">
        <f t="shared" si="29"/>
        <v>1949545.8</v>
      </c>
    </row>
    <row r="128" spans="1:49" ht="15" customHeight="1">
      <c r="A128" s="140" t="s">
        <v>123</v>
      </c>
      <c r="B128" s="211" t="s">
        <v>187</v>
      </c>
      <c r="C128" s="140" t="str">
        <f t="shared" si="16"/>
        <v>Hope Christian School: Prima-MPCP</v>
      </c>
      <c r="D128" s="140">
        <v>0</v>
      </c>
      <c r="E128" s="140">
        <v>49</v>
      </c>
      <c r="F128" s="140">
        <v>0</v>
      </c>
      <c r="G128" s="140">
        <v>0</v>
      </c>
      <c r="H128" s="140">
        <v>0</v>
      </c>
      <c r="I128" s="140">
        <v>55</v>
      </c>
      <c r="J128" s="140">
        <v>470</v>
      </c>
      <c r="K128" s="140">
        <v>0</v>
      </c>
      <c r="L128" s="140">
        <f t="shared" si="17"/>
        <v>574</v>
      </c>
      <c r="N128" s="140">
        <v>0</v>
      </c>
      <c r="O128" s="140">
        <v>49</v>
      </c>
      <c r="P128" s="140">
        <v>0</v>
      </c>
      <c r="Q128" s="140">
        <v>0</v>
      </c>
      <c r="R128" s="140">
        <v>0</v>
      </c>
      <c r="S128" s="140">
        <v>55</v>
      </c>
      <c r="T128" s="140">
        <v>469</v>
      </c>
      <c r="U128" s="140">
        <v>0</v>
      </c>
      <c r="V128" s="140">
        <f t="shared" si="18"/>
        <v>573</v>
      </c>
      <c r="X128" s="98">
        <v>0</v>
      </c>
      <c r="Y128" s="98">
        <v>0</v>
      </c>
      <c r="Z128" s="98">
        <v>0</v>
      </c>
      <c r="AA128" s="98">
        <v>0</v>
      </c>
      <c r="AB128" s="98">
        <v>0</v>
      </c>
      <c r="AC128" s="98">
        <v>0</v>
      </c>
      <c r="AD128" s="98">
        <v>0</v>
      </c>
      <c r="AE128" s="98">
        <v>0</v>
      </c>
      <c r="AF128" s="98">
        <f t="shared" si="19"/>
        <v>0</v>
      </c>
      <c r="AH128" s="98">
        <v>373</v>
      </c>
      <c r="AJ128" s="98">
        <v>0</v>
      </c>
      <c r="AK128" s="98">
        <v>0</v>
      </c>
      <c r="AL128" s="380">
        <v>0</v>
      </c>
      <c r="AN128" s="214">
        <f t="shared" si="20"/>
        <v>2226328.2</v>
      </c>
      <c r="AO128" s="214">
        <f t="shared" si="21"/>
        <v>0</v>
      </c>
      <c r="AP128" s="214">
        <f t="shared" si="22"/>
        <v>118276.2</v>
      </c>
      <c r="AQ128" s="214">
        <f t="shared" si="23"/>
        <v>0</v>
      </c>
      <c r="AR128" s="214">
        <f t="shared" si="24"/>
        <v>0</v>
      </c>
      <c r="AS128" s="214">
        <f t="shared" si="25"/>
        <v>0</v>
      </c>
      <c r="AT128" s="214">
        <f t="shared" si="26"/>
        <v>221265</v>
      </c>
      <c r="AU128" s="214">
        <f t="shared" si="27"/>
        <v>1886787</v>
      </c>
      <c r="AV128" s="214">
        <f t="shared" si="28"/>
        <v>0</v>
      </c>
      <c r="AW128" s="215">
        <f t="shared" si="29"/>
        <v>2226328.2</v>
      </c>
    </row>
    <row r="129" spans="1:49" ht="15" customHeight="1">
      <c r="A129" s="140" t="s">
        <v>124</v>
      </c>
      <c r="B129" s="211" t="s">
        <v>187</v>
      </c>
      <c r="C129" s="140" t="str">
        <f t="shared" si="16"/>
        <v>Hope Christian School: Semper-MPCP</v>
      </c>
      <c r="D129" s="140">
        <v>0</v>
      </c>
      <c r="E129" s="140">
        <v>29</v>
      </c>
      <c r="F129" s="140">
        <v>0</v>
      </c>
      <c r="G129" s="140">
        <v>0</v>
      </c>
      <c r="H129" s="140">
        <v>0</v>
      </c>
      <c r="I129" s="140">
        <v>60</v>
      </c>
      <c r="J129" s="140">
        <v>333</v>
      </c>
      <c r="K129" s="140">
        <v>0</v>
      </c>
      <c r="L129" s="140">
        <f t="shared" si="17"/>
        <v>422</v>
      </c>
      <c r="N129" s="140">
        <v>0</v>
      </c>
      <c r="O129" s="140">
        <v>27</v>
      </c>
      <c r="P129" s="140">
        <v>0</v>
      </c>
      <c r="Q129" s="140">
        <v>0</v>
      </c>
      <c r="R129" s="140">
        <v>0</v>
      </c>
      <c r="S129" s="140">
        <v>58</v>
      </c>
      <c r="T129" s="140">
        <v>333</v>
      </c>
      <c r="U129" s="140">
        <v>0</v>
      </c>
      <c r="V129" s="140">
        <f t="shared" si="18"/>
        <v>418</v>
      </c>
      <c r="X129" s="98">
        <v>0</v>
      </c>
      <c r="Y129" s="98">
        <v>0</v>
      </c>
      <c r="Z129" s="98">
        <v>0</v>
      </c>
      <c r="AA129" s="98">
        <v>0</v>
      </c>
      <c r="AB129" s="98">
        <v>0</v>
      </c>
      <c r="AC129" s="98">
        <v>0</v>
      </c>
      <c r="AD129" s="98">
        <v>0</v>
      </c>
      <c r="AE129" s="98">
        <v>0</v>
      </c>
      <c r="AF129" s="98">
        <f t="shared" si="19"/>
        <v>0</v>
      </c>
      <c r="AH129" s="98">
        <v>253</v>
      </c>
      <c r="AJ129" s="98">
        <v>0</v>
      </c>
      <c r="AK129" s="98">
        <v>0</v>
      </c>
      <c r="AL129" s="380">
        <v>0</v>
      </c>
      <c r="AN129" s="214">
        <f t="shared" si="20"/>
        <v>1638165.6</v>
      </c>
      <c r="AO129" s="214">
        <f t="shared" si="21"/>
        <v>0</v>
      </c>
      <c r="AP129" s="214">
        <f t="shared" si="22"/>
        <v>65172.6</v>
      </c>
      <c r="AQ129" s="214">
        <f t="shared" si="23"/>
        <v>0</v>
      </c>
      <c r="AR129" s="214">
        <f t="shared" si="24"/>
        <v>0</v>
      </c>
      <c r="AS129" s="214">
        <f t="shared" si="25"/>
        <v>0</v>
      </c>
      <c r="AT129" s="214">
        <f t="shared" si="26"/>
        <v>233334</v>
      </c>
      <c r="AU129" s="214">
        <f t="shared" si="27"/>
        <v>1339659</v>
      </c>
      <c r="AV129" s="214">
        <f t="shared" si="28"/>
        <v>0</v>
      </c>
      <c r="AW129" s="215">
        <f t="shared" si="29"/>
        <v>1638165.6</v>
      </c>
    </row>
    <row r="130" spans="1:49" ht="15" customHeight="1">
      <c r="A130" s="140" t="s">
        <v>172</v>
      </c>
      <c r="B130" s="211" t="s">
        <v>188</v>
      </c>
      <c r="C130" s="140" t="str">
        <f t="shared" si="16"/>
        <v>Hope Christian School: Via-RPCP</v>
      </c>
      <c r="D130" s="140">
        <v>0</v>
      </c>
      <c r="E130" s="140">
        <v>0</v>
      </c>
      <c r="F130" s="140">
        <v>0</v>
      </c>
      <c r="G130" s="140">
        <v>0</v>
      </c>
      <c r="H130" s="140">
        <v>0</v>
      </c>
      <c r="I130" s="140">
        <v>55</v>
      </c>
      <c r="J130" s="140">
        <v>325</v>
      </c>
      <c r="K130" s="140">
        <v>0</v>
      </c>
      <c r="L130" s="140">
        <f t="shared" si="17"/>
        <v>380</v>
      </c>
      <c r="N130" s="140">
        <v>0</v>
      </c>
      <c r="O130" s="140">
        <v>0</v>
      </c>
      <c r="P130" s="140">
        <v>0</v>
      </c>
      <c r="Q130" s="140">
        <v>0</v>
      </c>
      <c r="R130" s="140">
        <v>0</v>
      </c>
      <c r="S130" s="140">
        <v>55</v>
      </c>
      <c r="T130" s="140">
        <v>325</v>
      </c>
      <c r="U130" s="140">
        <v>0</v>
      </c>
      <c r="V130" s="140">
        <f t="shared" si="18"/>
        <v>380</v>
      </c>
      <c r="X130" s="98">
        <v>0</v>
      </c>
      <c r="Y130" s="98">
        <v>0</v>
      </c>
      <c r="Z130" s="98">
        <v>0</v>
      </c>
      <c r="AA130" s="98">
        <v>0</v>
      </c>
      <c r="AB130" s="98">
        <v>0</v>
      </c>
      <c r="AC130" s="98">
        <v>0</v>
      </c>
      <c r="AD130" s="98">
        <v>2</v>
      </c>
      <c r="AE130" s="98">
        <v>0</v>
      </c>
      <c r="AF130" s="98">
        <f t="shared" si="19"/>
        <v>2</v>
      </c>
      <c r="AH130" s="98">
        <v>251</v>
      </c>
      <c r="AJ130" s="98">
        <v>0</v>
      </c>
      <c r="AK130" s="98">
        <v>0</v>
      </c>
      <c r="AL130" s="380">
        <v>0</v>
      </c>
      <c r="AN130" s="214">
        <f t="shared" si="20"/>
        <v>1528740</v>
      </c>
      <c r="AO130" s="214">
        <f t="shared" si="21"/>
        <v>0</v>
      </c>
      <c r="AP130" s="214">
        <f t="shared" si="22"/>
        <v>0</v>
      </c>
      <c r="AQ130" s="214">
        <f t="shared" si="23"/>
        <v>0</v>
      </c>
      <c r="AR130" s="214">
        <f t="shared" si="24"/>
        <v>0</v>
      </c>
      <c r="AS130" s="214">
        <f t="shared" si="25"/>
        <v>0</v>
      </c>
      <c r="AT130" s="214">
        <f t="shared" si="26"/>
        <v>221265</v>
      </c>
      <c r="AU130" s="214">
        <f t="shared" si="27"/>
        <v>1307475</v>
      </c>
      <c r="AV130" s="214">
        <f t="shared" si="28"/>
        <v>0</v>
      </c>
      <c r="AW130" s="215">
        <f t="shared" si="29"/>
        <v>1528740</v>
      </c>
    </row>
    <row r="131" spans="1:49" ht="15" customHeight="1">
      <c r="A131" s="140" t="s">
        <v>125</v>
      </c>
      <c r="B131" s="211" t="s">
        <v>187</v>
      </c>
      <c r="C131" s="140" t="str">
        <f aca="true" t="shared" si="30" ref="C131:C194">A131&amp;"-"&amp;B131</f>
        <v>Immanuel Lutheran School - Brookfield-MPCP</v>
      </c>
      <c r="D131" s="140">
        <v>50</v>
      </c>
      <c r="E131" s="140">
        <v>0</v>
      </c>
      <c r="F131" s="140">
        <v>0</v>
      </c>
      <c r="G131" s="140">
        <v>0</v>
      </c>
      <c r="H131" s="140">
        <v>0</v>
      </c>
      <c r="I131" s="140">
        <v>42</v>
      </c>
      <c r="J131" s="140">
        <v>258</v>
      </c>
      <c r="K131" s="140">
        <v>0</v>
      </c>
      <c r="L131" s="140">
        <f aca="true" t="shared" si="31" ref="L131:L194">SUM(D131:K131)</f>
        <v>350</v>
      </c>
      <c r="N131" s="140">
        <v>14</v>
      </c>
      <c r="O131" s="140">
        <v>0</v>
      </c>
      <c r="P131" s="140">
        <v>0</v>
      </c>
      <c r="Q131" s="140">
        <v>0</v>
      </c>
      <c r="R131" s="140">
        <v>0</v>
      </c>
      <c r="S131" s="140">
        <v>18</v>
      </c>
      <c r="T131" s="140">
        <v>118</v>
      </c>
      <c r="U131" s="140">
        <v>0</v>
      </c>
      <c r="V131" s="140">
        <f aca="true" t="shared" si="32" ref="V131:V194">SUM(N131:U131)</f>
        <v>150</v>
      </c>
      <c r="X131" s="98">
        <v>0</v>
      </c>
      <c r="Y131" s="98">
        <v>0</v>
      </c>
      <c r="Z131" s="98">
        <v>0</v>
      </c>
      <c r="AA131" s="98">
        <v>0</v>
      </c>
      <c r="AB131" s="98">
        <v>0</v>
      </c>
      <c r="AC131" s="98">
        <v>0</v>
      </c>
      <c r="AD131" s="98">
        <v>1</v>
      </c>
      <c r="AE131" s="98">
        <v>0</v>
      </c>
      <c r="AF131" s="98">
        <f aca="true" t="shared" si="33" ref="AF131:AF175">SUM(X131:AE131)</f>
        <v>1</v>
      </c>
      <c r="AH131" s="98">
        <v>105</v>
      </c>
      <c r="AJ131" s="98">
        <v>20</v>
      </c>
      <c r="AK131" s="98">
        <v>0</v>
      </c>
      <c r="AL131" s="380">
        <v>5324.400000000001</v>
      </c>
      <c r="AN131" s="214">
        <f aca="true" t="shared" si="34" ref="AN131:AN194">SUM(AO131:AV131)</f>
        <v>575289</v>
      </c>
      <c r="AO131" s="214">
        <f aca="true" t="shared" si="35" ref="AO131:AO194">ROUND(AO$1*AO$2*N131,2)</f>
        <v>28161</v>
      </c>
      <c r="AP131" s="214">
        <f aca="true" t="shared" si="36" ref="AP131:AP194">ROUND(AP$1*AP$2*O131,2)</f>
        <v>0</v>
      </c>
      <c r="AQ131" s="214">
        <f aca="true" t="shared" si="37" ref="AQ131:AQ194">ROUND(AQ$1*AQ$2*P131,2)</f>
        <v>0</v>
      </c>
      <c r="AR131" s="214">
        <f aca="true" t="shared" si="38" ref="AR131:AR194">ROUND(AR$1*AR$2*Q131,2)</f>
        <v>0</v>
      </c>
      <c r="AS131" s="214">
        <f aca="true" t="shared" si="39" ref="AS131:AS194">ROUND(AS$1*AS$2*R131,2)</f>
        <v>0</v>
      </c>
      <c r="AT131" s="214">
        <f aca="true" t="shared" si="40" ref="AT131:AT194">ROUND(AT$1*AT$2*S131,2)</f>
        <v>72414</v>
      </c>
      <c r="AU131" s="214">
        <f aca="true" t="shared" si="41" ref="AU131:AU194">ROUND(AU$1*AU$2*T131,2)</f>
        <v>474714</v>
      </c>
      <c r="AV131" s="214">
        <f aca="true" t="shared" si="42" ref="AV131:AV194">ROUND(AV$1*AV$2*U131,2)</f>
        <v>0</v>
      </c>
      <c r="AW131" s="215">
        <f aca="true" t="shared" si="43" ref="AW131:AW194">SUM(AO131:AV131)</f>
        <v>575289</v>
      </c>
    </row>
    <row r="132" spans="1:49" ht="15" customHeight="1">
      <c r="A132" s="140" t="s">
        <v>125</v>
      </c>
      <c r="B132" s="211" t="s">
        <v>96</v>
      </c>
      <c r="C132" s="140" t="str">
        <f t="shared" si="30"/>
        <v>Immanuel Lutheran School - Brookfield-WPCP</v>
      </c>
      <c r="D132" s="140">
        <v>50</v>
      </c>
      <c r="E132" s="140">
        <v>0</v>
      </c>
      <c r="F132" s="140">
        <v>0</v>
      </c>
      <c r="G132" s="140">
        <v>0</v>
      </c>
      <c r="H132" s="140">
        <v>0</v>
      </c>
      <c r="I132" s="140">
        <v>42</v>
      </c>
      <c r="J132" s="140">
        <v>258</v>
      </c>
      <c r="K132" s="140">
        <v>0</v>
      </c>
      <c r="L132" s="140">
        <f t="shared" si="31"/>
        <v>350</v>
      </c>
      <c r="N132" s="140">
        <v>6</v>
      </c>
      <c r="O132" s="140">
        <v>0</v>
      </c>
      <c r="P132" s="140">
        <v>0</v>
      </c>
      <c r="Q132" s="140">
        <v>0</v>
      </c>
      <c r="R132" s="140">
        <v>0</v>
      </c>
      <c r="S132" s="140">
        <v>6</v>
      </c>
      <c r="T132" s="140">
        <v>17</v>
      </c>
      <c r="U132" s="140">
        <v>0</v>
      </c>
      <c r="V132" s="140">
        <f t="shared" si="32"/>
        <v>29</v>
      </c>
      <c r="X132" s="98">
        <v>0</v>
      </c>
      <c r="Y132" s="98">
        <v>0</v>
      </c>
      <c r="Z132" s="98">
        <v>0</v>
      </c>
      <c r="AA132" s="98">
        <v>0</v>
      </c>
      <c r="AB132" s="98">
        <v>0</v>
      </c>
      <c r="AC132" s="98">
        <v>1</v>
      </c>
      <c r="AD132" s="98">
        <v>0</v>
      </c>
      <c r="AE132" s="98">
        <v>0</v>
      </c>
      <c r="AF132" s="98">
        <f t="shared" si="33"/>
        <v>1</v>
      </c>
      <c r="AH132" s="98">
        <v>19</v>
      </c>
      <c r="AJ132" s="98">
        <v>6</v>
      </c>
      <c r="AK132" s="98">
        <v>0</v>
      </c>
      <c r="AL132" s="380">
        <v>1395.73</v>
      </c>
      <c r="AN132" s="214">
        <f t="shared" si="34"/>
        <v>104598</v>
      </c>
      <c r="AO132" s="214">
        <f t="shared" si="35"/>
        <v>12069</v>
      </c>
      <c r="AP132" s="214">
        <f t="shared" si="36"/>
        <v>0</v>
      </c>
      <c r="AQ132" s="214">
        <f t="shared" si="37"/>
        <v>0</v>
      </c>
      <c r="AR132" s="214">
        <f t="shared" si="38"/>
        <v>0</v>
      </c>
      <c r="AS132" s="214">
        <f t="shared" si="39"/>
        <v>0</v>
      </c>
      <c r="AT132" s="214">
        <f t="shared" si="40"/>
        <v>24138</v>
      </c>
      <c r="AU132" s="214">
        <f t="shared" si="41"/>
        <v>68391</v>
      </c>
      <c r="AV132" s="214">
        <f t="shared" si="42"/>
        <v>0</v>
      </c>
      <c r="AW132" s="215">
        <f t="shared" si="43"/>
        <v>104598</v>
      </c>
    </row>
    <row r="133" spans="1:49" ht="15" customHeight="1">
      <c r="A133" s="140" t="s">
        <v>173</v>
      </c>
      <c r="B133" s="211" t="s">
        <v>96</v>
      </c>
      <c r="C133" s="140" t="str">
        <f t="shared" si="30"/>
        <v>Immanuel Lutheran School - Sheboygan-WPCP</v>
      </c>
      <c r="D133" s="140">
        <v>6</v>
      </c>
      <c r="E133" s="140">
        <v>0</v>
      </c>
      <c r="F133" s="140">
        <v>0</v>
      </c>
      <c r="G133" s="140">
        <v>0</v>
      </c>
      <c r="H133" s="140">
        <v>0</v>
      </c>
      <c r="I133" s="140">
        <v>4</v>
      </c>
      <c r="J133" s="140">
        <v>11</v>
      </c>
      <c r="K133" s="140">
        <v>0</v>
      </c>
      <c r="L133" s="140">
        <f t="shared" si="31"/>
        <v>21</v>
      </c>
      <c r="N133" s="140">
        <v>4</v>
      </c>
      <c r="O133" s="140">
        <v>0</v>
      </c>
      <c r="P133" s="140">
        <v>0</v>
      </c>
      <c r="Q133" s="140">
        <v>0</v>
      </c>
      <c r="R133" s="140">
        <v>0</v>
      </c>
      <c r="S133" s="140">
        <v>4</v>
      </c>
      <c r="T133" s="140">
        <v>10</v>
      </c>
      <c r="U133" s="140">
        <v>0</v>
      </c>
      <c r="V133" s="140">
        <f t="shared" si="32"/>
        <v>18</v>
      </c>
      <c r="X133" s="98">
        <v>0</v>
      </c>
      <c r="Y133" s="98">
        <v>0</v>
      </c>
      <c r="Z133" s="98">
        <v>0</v>
      </c>
      <c r="AA133" s="98">
        <v>0</v>
      </c>
      <c r="AB133" s="98">
        <v>0</v>
      </c>
      <c r="AC133" s="98">
        <v>0</v>
      </c>
      <c r="AD133" s="98">
        <v>0</v>
      </c>
      <c r="AE133" s="98">
        <v>0</v>
      </c>
      <c r="AF133" s="98">
        <f t="shared" si="33"/>
        <v>0</v>
      </c>
      <c r="AH133" s="98">
        <v>13</v>
      </c>
      <c r="AJ133" s="98">
        <v>0</v>
      </c>
      <c r="AK133" s="98">
        <v>0</v>
      </c>
      <c r="AL133" s="380">
        <v>0</v>
      </c>
      <c r="AN133" s="214">
        <f t="shared" si="34"/>
        <v>64368</v>
      </c>
      <c r="AO133" s="214">
        <f t="shared" si="35"/>
        <v>8046</v>
      </c>
      <c r="AP133" s="214">
        <f t="shared" si="36"/>
        <v>0</v>
      </c>
      <c r="AQ133" s="214">
        <f t="shared" si="37"/>
        <v>0</v>
      </c>
      <c r="AR133" s="214">
        <f t="shared" si="38"/>
        <v>0</v>
      </c>
      <c r="AS133" s="214">
        <f t="shared" si="39"/>
        <v>0</v>
      </c>
      <c r="AT133" s="214">
        <f t="shared" si="40"/>
        <v>16092</v>
      </c>
      <c r="AU133" s="214">
        <f t="shared" si="41"/>
        <v>40230</v>
      </c>
      <c r="AV133" s="214">
        <f t="shared" si="42"/>
        <v>0</v>
      </c>
      <c r="AW133" s="215">
        <f t="shared" si="43"/>
        <v>64368</v>
      </c>
    </row>
    <row r="134" spans="1:49" ht="15" customHeight="1">
      <c r="A134" s="140" t="s">
        <v>448</v>
      </c>
      <c r="B134" s="211" t="s">
        <v>96</v>
      </c>
      <c r="C134" s="140" t="str">
        <f t="shared" si="30"/>
        <v>Immanuel Lutheran School - Wisconsin Rapids-WPCP</v>
      </c>
      <c r="D134" s="140">
        <v>22</v>
      </c>
      <c r="E134" s="140">
        <v>0</v>
      </c>
      <c r="F134" s="140">
        <v>0</v>
      </c>
      <c r="G134" s="140">
        <v>0</v>
      </c>
      <c r="H134" s="140">
        <v>0</v>
      </c>
      <c r="I134" s="140">
        <v>24</v>
      </c>
      <c r="J134" s="140">
        <v>135</v>
      </c>
      <c r="K134" s="140">
        <v>0</v>
      </c>
      <c r="L134" s="140">
        <f t="shared" si="31"/>
        <v>181</v>
      </c>
      <c r="N134" s="140">
        <v>12</v>
      </c>
      <c r="O134" s="140">
        <v>0</v>
      </c>
      <c r="P134" s="140">
        <v>0</v>
      </c>
      <c r="Q134" s="140">
        <v>0</v>
      </c>
      <c r="R134" s="140">
        <v>0</v>
      </c>
      <c r="S134" s="140">
        <v>17</v>
      </c>
      <c r="T134" s="140">
        <v>65</v>
      </c>
      <c r="U134" s="140">
        <v>0</v>
      </c>
      <c r="V134" s="140">
        <f t="shared" si="32"/>
        <v>94</v>
      </c>
      <c r="X134" s="98">
        <v>0</v>
      </c>
      <c r="Y134" s="98">
        <v>0</v>
      </c>
      <c r="Z134" s="98">
        <v>0</v>
      </c>
      <c r="AA134" s="98">
        <v>0</v>
      </c>
      <c r="AB134" s="98">
        <v>0</v>
      </c>
      <c r="AC134" s="98">
        <v>0</v>
      </c>
      <c r="AD134" s="98">
        <v>0</v>
      </c>
      <c r="AE134" s="98">
        <v>0</v>
      </c>
      <c r="AF134" s="98">
        <f t="shared" si="33"/>
        <v>0</v>
      </c>
      <c r="AH134" s="98">
        <v>58</v>
      </c>
      <c r="AJ134" s="98">
        <v>0</v>
      </c>
      <c r="AK134" s="98">
        <v>0</v>
      </c>
      <c r="AL134" s="380">
        <v>0</v>
      </c>
      <c r="AN134" s="214">
        <f t="shared" si="34"/>
        <v>354024</v>
      </c>
      <c r="AO134" s="214">
        <f t="shared" si="35"/>
        <v>24138</v>
      </c>
      <c r="AP134" s="214">
        <f t="shared" si="36"/>
        <v>0</v>
      </c>
      <c r="AQ134" s="214">
        <f t="shared" si="37"/>
        <v>0</v>
      </c>
      <c r="AR134" s="214">
        <f t="shared" si="38"/>
        <v>0</v>
      </c>
      <c r="AS134" s="214">
        <f t="shared" si="39"/>
        <v>0</v>
      </c>
      <c r="AT134" s="214">
        <f t="shared" si="40"/>
        <v>68391</v>
      </c>
      <c r="AU134" s="214">
        <f t="shared" si="41"/>
        <v>261495</v>
      </c>
      <c r="AV134" s="214">
        <f t="shared" si="42"/>
        <v>0</v>
      </c>
      <c r="AW134" s="215">
        <f t="shared" si="43"/>
        <v>354024</v>
      </c>
    </row>
    <row r="135" spans="1:49" ht="15" customHeight="1">
      <c r="A135" s="140" t="s">
        <v>225</v>
      </c>
      <c r="B135" s="211" t="s">
        <v>187</v>
      </c>
      <c r="C135" s="140" t="str">
        <f t="shared" si="30"/>
        <v>Institute of Technology and Academics-MPCP</v>
      </c>
      <c r="D135" s="140">
        <v>0</v>
      </c>
      <c r="E135" s="140">
        <v>31</v>
      </c>
      <c r="F135" s="140">
        <v>0</v>
      </c>
      <c r="G135" s="140">
        <v>0</v>
      </c>
      <c r="H135" s="140">
        <v>0</v>
      </c>
      <c r="I135" s="140">
        <v>27</v>
      </c>
      <c r="J135" s="140">
        <v>261</v>
      </c>
      <c r="K135" s="140">
        <v>0</v>
      </c>
      <c r="L135" s="140">
        <f t="shared" si="31"/>
        <v>319</v>
      </c>
      <c r="N135" s="140">
        <v>0</v>
      </c>
      <c r="O135" s="140">
        <v>30</v>
      </c>
      <c r="P135" s="140">
        <v>0</v>
      </c>
      <c r="Q135" s="140">
        <v>0</v>
      </c>
      <c r="R135" s="140">
        <v>0</v>
      </c>
      <c r="S135" s="140">
        <v>27</v>
      </c>
      <c r="T135" s="140">
        <v>259</v>
      </c>
      <c r="U135" s="140">
        <v>0</v>
      </c>
      <c r="V135" s="140">
        <f t="shared" si="32"/>
        <v>316</v>
      </c>
      <c r="X135" s="98">
        <v>0</v>
      </c>
      <c r="Y135" s="98">
        <v>0</v>
      </c>
      <c r="Z135" s="98">
        <v>0</v>
      </c>
      <c r="AA135" s="98">
        <v>0</v>
      </c>
      <c r="AB135" s="98">
        <v>0</v>
      </c>
      <c r="AC135" s="98">
        <v>0</v>
      </c>
      <c r="AD135" s="98">
        <v>0</v>
      </c>
      <c r="AE135" s="98">
        <v>0</v>
      </c>
      <c r="AF135" s="98">
        <f t="shared" si="33"/>
        <v>0</v>
      </c>
      <c r="AH135" s="98">
        <v>179</v>
      </c>
      <c r="AJ135" s="98">
        <v>0</v>
      </c>
      <c r="AK135" s="98">
        <v>0</v>
      </c>
      <c r="AL135" s="380">
        <v>0</v>
      </c>
      <c r="AN135" s="214">
        <f t="shared" si="34"/>
        <v>1222992</v>
      </c>
      <c r="AO135" s="214">
        <f t="shared" si="35"/>
        <v>0</v>
      </c>
      <c r="AP135" s="214">
        <f t="shared" si="36"/>
        <v>72414</v>
      </c>
      <c r="AQ135" s="214">
        <f t="shared" si="37"/>
        <v>0</v>
      </c>
      <c r="AR135" s="214">
        <f t="shared" si="38"/>
        <v>0</v>
      </c>
      <c r="AS135" s="214">
        <f t="shared" si="39"/>
        <v>0</v>
      </c>
      <c r="AT135" s="214">
        <f t="shared" si="40"/>
        <v>108621</v>
      </c>
      <c r="AU135" s="214">
        <f t="shared" si="41"/>
        <v>1041957</v>
      </c>
      <c r="AV135" s="214">
        <f t="shared" si="42"/>
        <v>0</v>
      </c>
      <c r="AW135" s="215">
        <f t="shared" si="43"/>
        <v>1222992</v>
      </c>
    </row>
    <row r="136" spans="1:49" ht="15" customHeight="1">
      <c r="A136" s="140" t="s">
        <v>126</v>
      </c>
      <c r="B136" s="211" t="s">
        <v>187</v>
      </c>
      <c r="C136" s="140" t="str">
        <f t="shared" si="30"/>
        <v>Jo's Learning Academy-MPCP</v>
      </c>
      <c r="D136" s="140">
        <v>0</v>
      </c>
      <c r="E136" s="140">
        <v>16</v>
      </c>
      <c r="F136" s="140">
        <v>0</v>
      </c>
      <c r="G136" s="140">
        <v>0</v>
      </c>
      <c r="H136" s="140">
        <v>0</v>
      </c>
      <c r="I136" s="140">
        <v>13</v>
      </c>
      <c r="J136" s="140">
        <v>11</v>
      </c>
      <c r="K136" s="140">
        <v>0</v>
      </c>
      <c r="L136" s="140">
        <f t="shared" si="31"/>
        <v>40</v>
      </c>
      <c r="N136" s="140">
        <v>0</v>
      </c>
      <c r="O136" s="140">
        <v>16</v>
      </c>
      <c r="P136" s="140">
        <v>0</v>
      </c>
      <c r="Q136" s="140">
        <v>0</v>
      </c>
      <c r="R136" s="140">
        <v>0</v>
      </c>
      <c r="S136" s="140">
        <v>13</v>
      </c>
      <c r="T136" s="140">
        <v>11</v>
      </c>
      <c r="U136" s="140">
        <v>0</v>
      </c>
      <c r="V136" s="140">
        <f t="shared" si="32"/>
        <v>40</v>
      </c>
      <c r="X136" s="98">
        <v>0</v>
      </c>
      <c r="Y136" s="98">
        <v>0</v>
      </c>
      <c r="Z136" s="98">
        <v>0</v>
      </c>
      <c r="AA136" s="98">
        <v>0</v>
      </c>
      <c r="AB136" s="98">
        <v>0</v>
      </c>
      <c r="AC136" s="98">
        <v>0</v>
      </c>
      <c r="AD136" s="98">
        <v>0</v>
      </c>
      <c r="AE136" s="98">
        <v>0</v>
      </c>
      <c r="AF136" s="98">
        <f t="shared" si="33"/>
        <v>0</v>
      </c>
      <c r="AH136" s="98">
        <v>33</v>
      </c>
      <c r="AJ136" s="98">
        <v>53</v>
      </c>
      <c r="AK136" s="98">
        <v>0</v>
      </c>
      <c r="AL136" s="380">
        <v>18170.210000000014</v>
      </c>
      <c r="AN136" s="214">
        <f t="shared" si="34"/>
        <v>135172.8</v>
      </c>
      <c r="AO136" s="214">
        <f t="shared" si="35"/>
        <v>0</v>
      </c>
      <c r="AP136" s="214">
        <f t="shared" si="36"/>
        <v>38620.8</v>
      </c>
      <c r="AQ136" s="214">
        <f t="shared" si="37"/>
        <v>0</v>
      </c>
      <c r="AR136" s="214">
        <f t="shared" si="38"/>
        <v>0</v>
      </c>
      <c r="AS136" s="214">
        <f t="shared" si="39"/>
        <v>0</v>
      </c>
      <c r="AT136" s="214">
        <f t="shared" si="40"/>
        <v>52299</v>
      </c>
      <c r="AU136" s="214">
        <f t="shared" si="41"/>
        <v>44253</v>
      </c>
      <c r="AV136" s="214">
        <f t="shared" si="42"/>
        <v>0</v>
      </c>
      <c r="AW136" s="215">
        <f t="shared" si="43"/>
        <v>135172.8</v>
      </c>
    </row>
    <row r="137" spans="1:49" ht="15" customHeight="1">
      <c r="A137" s="140" t="s">
        <v>226</v>
      </c>
      <c r="B137" s="211" t="s">
        <v>187</v>
      </c>
      <c r="C137" s="140" t="str">
        <f t="shared" si="30"/>
        <v>Kettle Moraine Lutheran High School-MPCP</v>
      </c>
      <c r="D137" s="140">
        <v>0</v>
      </c>
      <c r="E137" s="140">
        <v>0</v>
      </c>
      <c r="F137" s="140">
        <v>0</v>
      </c>
      <c r="G137" s="140">
        <v>0</v>
      </c>
      <c r="H137" s="140">
        <v>0</v>
      </c>
      <c r="I137" s="140">
        <v>0</v>
      </c>
      <c r="J137" s="140">
        <v>0</v>
      </c>
      <c r="K137" s="140">
        <v>508</v>
      </c>
      <c r="L137" s="140">
        <f t="shared" si="31"/>
        <v>508</v>
      </c>
      <c r="N137" s="140">
        <v>0</v>
      </c>
      <c r="O137" s="140">
        <v>0</v>
      </c>
      <c r="P137" s="140">
        <v>0</v>
      </c>
      <c r="Q137" s="140">
        <v>0</v>
      </c>
      <c r="R137" s="140">
        <v>0</v>
      </c>
      <c r="S137" s="140">
        <v>0</v>
      </c>
      <c r="T137" s="140">
        <v>0</v>
      </c>
      <c r="U137" s="140">
        <v>17</v>
      </c>
      <c r="V137" s="140">
        <f t="shared" si="32"/>
        <v>17</v>
      </c>
      <c r="X137" s="98">
        <v>0</v>
      </c>
      <c r="Y137" s="98">
        <v>0</v>
      </c>
      <c r="Z137" s="98">
        <v>0</v>
      </c>
      <c r="AA137" s="98">
        <v>0</v>
      </c>
      <c r="AB137" s="98">
        <v>0</v>
      </c>
      <c r="AC137" s="98">
        <v>0</v>
      </c>
      <c r="AD137" s="98">
        <v>0</v>
      </c>
      <c r="AE137" s="98">
        <v>0</v>
      </c>
      <c r="AF137" s="98">
        <f t="shared" si="33"/>
        <v>0</v>
      </c>
      <c r="AH137" s="98">
        <v>12</v>
      </c>
      <c r="AJ137" s="98">
        <v>0</v>
      </c>
      <c r="AK137" s="98">
        <v>0</v>
      </c>
      <c r="AL137" s="380">
        <v>0</v>
      </c>
      <c r="AN137" s="214">
        <f t="shared" si="34"/>
        <v>73882</v>
      </c>
      <c r="AO137" s="214">
        <f t="shared" si="35"/>
        <v>0</v>
      </c>
      <c r="AP137" s="214">
        <f t="shared" si="36"/>
        <v>0</v>
      </c>
      <c r="AQ137" s="214">
        <f t="shared" si="37"/>
        <v>0</v>
      </c>
      <c r="AR137" s="214">
        <f t="shared" si="38"/>
        <v>0</v>
      </c>
      <c r="AS137" s="214">
        <f t="shared" si="39"/>
        <v>0</v>
      </c>
      <c r="AT137" s="214">
        <f t="shared" si="40"/>
        <v>0</v>
      </c>
      <c r="AU137" s="214">
        <f t="shared" si="41"/>
        <v>0</v>
      </c>
      <c r="AV137" s="214">
        <f t="shared" si="42"/>
        <v>73882</v>
      </c>
      <c r="AW137" s="215">
        <f t="shared" si="43"/>
        <v>73882</v>
      </c>
    </row>
    <row r="138" spans="1:49" ht="15" customHeight="1">
      <c r="A138" s="140" t="s">
        <v>226</v>
      </c>
      <c r="B138" s="211" t="s">
        <v>96</v>
      </c>
      <c r="C138" s="140" t="str">
        <f t="shared" si="30"/>
        <v>Kettle Moraine Lutheran High School-WPCP</v>
      </c>
      <c r="D138" s="140">
        <v>0</v>
      </c>
      <c r="E138" s="140">
        <v>0</v>
      </c>
      <c r="F138" s="140">
        <v>0</v>
      </c>
      <c r="G138" s="140">
        <v>0</v>
      </c>
      <c r="H138" s="140">
        <v>0</v>
      </c>
      <c r="I138" s="140">
        <v>0</v>
      </c>
      <c r="J138" s="140">
        <v>0</v>
      </c>
      <c r="K138" s="140">
        <v>508</v>
      </c>
      <c r="L138" s="140">
        <f t="shared" si="31"/>
        <v>508</v>
      </c>
      <c r="N138" s="140">
        <v>0</v>
      </c>
      <c r="O138" s="140">
        <v>0</v>
      </c>
      <c r="P138" s="140">
        <v>0</v>
      </c>
      <c r="Q138" s="140">
        <v>0</v>
      </c>
      <c r="R138" s="140">
        <v>0</v>
      </c>
      <c r="S138" s="140">
        <v>0</v>
      </c>
      <c r="T138" s="140">
        <v>0</v>
      </c>
      <c r="U138" s="140">
        <v>105</v>
      </c>
      <c r="V138" s="140">
        <f t="shared" si="32"/>
        <v>105</v>
      </c>
      <c r="X138" s="98">
        <v>0</v>
      </c>
      <c r="Y138" s="98">
        <v>0</v>
      </c>
      <c r="Z138" s="98">
        <v>0</v>
      </c>
      <c r="AA138" s="98">
        <v>0</v>
      </c>
      <c r="AB138" s="98">
        <v>0</v>
      </c>
      <c r="AC138" s="98">
        <v>0</v>
      </c>
      <c r="AD138" s="98">
        <v>0</v>
      </c>
      <c r="AE138" s="98">
        <v>0</v>
      </c>
      <c r="AF138" s="98">
        <f t="shared" si="33"/>
        <v>0</v>
      </c>
      <c r="AH138" s="98">
        <v>83</v>
      </c>
      <c r="AJ138" s="98">
        <v>0</v>
      </c>
      <c r="AK138" s="98">
        <v>0</v>
      </c>
      <c r="AL138" s="380">
        <v>0</v>
      </c>
      <c r="AN138" s="214">
        <f t="shared" si="34"/>
        <v>456330</v>
      </c>
      <c r="AO138" s="214">
        <f t="shared" si="35"/>
        <v>0</v>
      </c>
      <c r="AP138" s="214">
        <f t="shared" si="36"/>
        <v>0</v>
      </c>
      <c r="AQ138" s="214">
        <f t="shared" si="37"/>
        <v>0</v>
      </c>
      <c r="AR138" s="214">
        <f t="shared" si="38"/>
        <v>0</v>
      </c>
      <c r="AS138" s="214">
        <f t="shared" si="39"/>
        <v>0</v>
      </c>
      <c r="AT138" s="214">
        <f t="shared" si="40"/>
        <v>0</v>
      </c>
      <c r="AU138" s="214">
        <f t="shared" si="41"/>
        <v>0</v>
      </c>
      <c r="AV138" s="214">
        <f t="shared" si="42"/>
        <v>456330</v>
      </c>
      <c r="AW138" s="215">
        <f t="shared" si="43"/>
        <v>456330</v>
      </c>
    </row>
    <row r="139" spans="1:49" ht="15" customHeight="1">
      <c r="A139" s="140" t="s">
        <v>449</v>
      </c>
      <c r="B139" s="211" t="s">
        <v>187</v>
      </c>
      <c r="C139" s="140" t="str">
        <f t="shared" si="30"/>
        <v>Kingdom Prep Lutheran High School-MPCP</v>
      </c>
      <c r="D139" s="140">
        <v>0</v>
      </c>
      <c r="E139" s="140">
        <v>0</v>
      </c>
      <c r="F139" s="140">
        <v>0</v>
      </c>
      <c r="G139" s="140">
        <v>0</v>
      </c>
      <c r="H139" s="140">
        <v>0</v>
      </c>
      <c r="I139" s="140">
        <v>0</v>
      </c>
      <c r="J139" s="140">
        <v>0</v>
      </c>
      <c r="K139" s="140">
        <v>103</v>
      </c>
      <c r="L139" s="140">
        <f t="shared" si="31"/>
        <v>103</v>
      </c>
      <c r="N139" s="140">
        <v>0</v>
      </c>
      <c r="O139" s="140">
        <v>0</v>
      </c>
      <c r="P139" s="140">
        <v>0</v>
      </c>
      <c r="Q139" s="140">
        <v>0</v>
      </c>
      <c r="R139" s="140">
        <v>0</v>
      </c>
      <c r="S139" s="140">
        <v>0</v>
      </c>
      <c r="T139" s="140">
        <v>0</v>
      </c>
      <c r="U139" s="140">
        <v>96</v>
      </c>
      <c r="V139" s="140">
        <f t="shared" si="32"/>
        <v>96</v>
      </c>
      <c r="X139" s="98">
        <v>0</v>
      </c>
      <c r="Y139" s="98">
        <v>0</v>
      </c>
      <c r="Z139" s="98">
        <v>0</v>
      </c>
      <c r="AA139" s="98">
        <v>0</v>
      </c>
      <c r="AB139" s="98">
        <v>0</v>
      </c>
      <c r="AC139" s="98">
        <v>0</v>
      </c>
      <c r="AD139" s="98">
        <v>0</v>
      </c>
      <c r="AE139" s="98">
        <v>0</v>
      </c>
      <c r="AF139" s="98">
        <f t="shared" si="33"/>
        <v>0</v>
      </c>
      <c r="AH139" s="98">
        <v>95</v>
      </c>
      <c r="AJ139" s="98">
        <v>0</v>
      </c>
      <c r="AK139" s="98">
        <v>0</v>
      </c>
      <c r="AL139" s="380">
        <v>0</v>
      </c>
      <c r="AN139" s="214">
        <f t="shared" si="34"/>
        <v>417216</v>
      </c>
      <c r="AO139" s="214">
        <f t="shared" si="35"/>
        <v>0</v>
      </c>
      <c r="AP139" s="214">
        <f t="shared" si="36"/>
        <v>0</v>
      </c>
      <c r="AQ139" s="214">
        <f t="shared" si="37"/>
        <v>0</v>
      </c>
      <c r="AR139" s="214">
        <f t="shared" si="38"/>
        <v>0</v>
      </c>
      <c r="AS139" s="214">
        <f t="shared" si="39"/>
        <v>0</v>
      </c>
      <c r="AT139" s="214">
        <f t="shared" si="40"/>
        <v>0</v>
      </c>
      <c r="AU139" s="214">
        <f t="shared" si="41"/>
        <v>0</v>
      </c>
      <c r="AV139" s="214">
        <f t="shared" si="42"/>
        <v>417216</v>
      </c>
      <c r="AW139" s="215">
        <f t="shared" si="43"/>
        <v>417216</v>
      </c>
    </row>
    <row r="140" spans="1:49" ht="15" customHeight="1">
      <c r="A140" s="140" t="s">
        <v>449</v>
      </c>
      <c r="B140" s="211" t="s">
        <v>96</v>
      </c>
      <c r="C140" s="140" t="str">
        <f t="shared" si="30"/>
        <v>Kingdom Prep Lutheran High School-WPCP</v>
      </c>
      <c r="D140" s="140">
        <v>0</v>
      </c>
      <c r="E140" s="140">
        <v>0</v>
      </c>
      <c r="F140" s="140">
        <v>0</v>
      </c>
      <c r="G140" s="140">
        <v>0</v>
      </c>
      <c r="H140" s="140">
        <v>0</v>
      </c>
      <c r="I140" s="140">
        <v>0</v>
      </c>
      <c r="J140" s="140">
        <v>0</v>
      </c>
      <c r="K140" s="140">
        <v>103</v>
      </c>
      <c r="L140" s="140">
        <f t="shared" si="31"/>
        <v>103</v>
      </c>
      <c r="N140" s="140">
        <v>0</v>
      </c>
      <c r="O140" s="140">
        <v>0</v>
      </c>
      <c r="P140" s="140">
        <v>0</v>
      </c>
      <c r="Q140" s="140">
        <v>0</v>
      </c>
      <c r="R140" s="140">
        <v>0</v>
      </c>
      <c r="S140" s="140">
        <v>0</v>
      </c>
      <c r="T140" s="140">
        <v>0</v>
      </c>
      <c r="U140" s="140">
        <v>1</v>
      </c>
      <c r="V140" s="140">
        <f t="shared" si="32"/>
        <v>1</v>
      </c>
      <c r="X140" s="98">
        <v>0</v>
      </c>
      <c r="Y140" s="98">
        <v>0</v>
      </c>
      <c r="Z140" s="98">
        <v>0</v>
      </c>
      <c r="AA140" s="98">
        <v>0</v>
      </c>
      <c r="AB140" s="98">
        <v>0</v>
      </c>
      <c r="AC140" s="98">
        <v>0</v>
      </c>
      <c r="AD140" s="98">
        <v>0</v>
      </c>
      <c r="AE140" s="98">
        <v>0</v>
      </c>
      <c r="AF140" s="98">
        <f t="shared" si="33"/>
        <v>0</v>
      </c>
      <c r="AH140" s="98">
        <v>1</v>
      </c>
      <c r="AJ140" s="98">
        <v>0</v>
      </c>
      <c r="AK140" s="98">
        <v>0</v>
      </c>
      <c r="AL140" s="380">
        <v>0</v>
      </c>
      <c r="AN140" s="214">
        <f t="shared" si="34"/>
        <v>4346</v>
      </c>
      <c r="AO140" s="214">
        <f t="shared" si="35"/>
        <v>0</v>
      </c>
      <c r="AP140" s="214">
        <f t="shared" si="36"/>
        <v>0</v>
      </c>
      <c r="AQ140" s="214">
        <f t="shared" si="37"/>
        <v>0</v>
      </c>
      <c r="AR140" s="214">
        <f t="shared" si="38"/>
        <v>0</v>
      </c>
      <c r="AS140" s="214">
        <f t="shared" si="39"/>
        <v>0</v>
      </c>
      <c r="AT140" s="214">
        <f t="shared" si="40"/>
        <v>0</v>
      </c>
      <c r="AU140" s="214">
        <f t="shared" si="41"/>
        <v>0</v>
      </c>
      <c r="AV140" s="214">
        <f t="shared" si="42"/>
        <v>4346</v>
      </c>
      <c r="AW140" s="215">
        <f t="shared" si="43"/>
        <v>4346</v>
      </c>
    </row>
    <row r="141" spans="1:49" ht="15" customHeight="1">
      <c r="A141" s="140" t="s">
        <v>382</v>
      </c>
      <c r="B141" s="211" t="s">
        <v>187</v>
      </c>
      <c r="C141" s="140" t="str">
        <f t="shared" si="30"/>
        <v>King's Academy, Inc.-MPCP</v>
      </c>
      <c r="D141" s="140">
        <v>0</v>
      </c>
      <c r="E141" s="140">
        <v>21</v>
      </c>
      <c r="F141" s="140">
        <v>0</v>
      </c>
      <c r="G141" s="140">
        <v>0</v>
      </c>
      <c r="H141" s="140">
        <v>0</v>
      </c>
      <c r="I141" s="140">
        <v>19</v>
      </c>
      <c r="J141" s="140">
        <v>163</v>
      </c>
      <c r="K141" s="140">
        <v>0</v>
      </c>
      <c r="L141" s="140">
        <f t="shared" si="31"/>
        <v>203</v>
      </c>
      <c r="N141" s="140">
        <v>0</v>
      </c>
      <c r="O141" s="140">
        <v>20</v>
      </c>
      <c r="P141" s="140">
        <v>0</v>
      </c>
      <c r="Q141" s="140">
        <v>0</v>
      </c>
      <c r="R141" s="140">
        <v>0</v>
      </c>
      <c r="S141" s="140">
        <v>18</v>
      </c>
      <c r="T141" s="140">
        <v>163</v>
      </c>
      <c r="U141" s="140">
        <v>0</v>
      </c>
      <c r="V141" s="140">
        <f t="shared" si="32"/>
        <v>201</v>
      </c>
      <c r="X141" s="98">
        <v>0</v>
      </c>
      <c r="Y141" s="98">
        <v>0</v>
      </c>
      <c r="Z141" s="98">
        <v>0</v>
      </c>
      <c r="AA141" s="98">
        <v>0</v>
      </c>
      <c r="AB141" s="98">
        <v>0</v>
      </c>
      <c r="AC141" s="98">
        <v>0</v>
      </c>
      <c r="AD141" s="98">
        <v>0</v>
      </c>
      <c r="AE141" s="98">
        <v>0</v>
      </c>
      <c r="AF141" s="98">
        <f t="shared" si="33"/>
        <v>0</v>
      </c>
      <c r="AH141" s="98">
        <v>137</v>
      </c>
      <c r="AJ141" s="98">
        <v>0</v>
      </c>
      <c r="AK141" s="98">
        <v>0</v>
      </c>
      <c r="AL141" s="380">
        <v>0</v>
      </c>
      <c r="AN141" s="214">
        <f t="shared" si="34"/>
        <v>776439</v>
      </c>
      <c r="AO141" s="214">
        <f t="shared" si="35"/>
        <v>0</v>
      </c>
      <c r="AP141" s="214">
        <f t="shared" si="36"/>
        <v>48276</v>
      </c>
      <c r="AQ141" s="214">
        <f t="shared" si="37"/>
        <v>0</v>
      </c>
      <c r="AR141" s="214">
        <f t="shared" si="38"/>
        <v>0</v>
      </c>
      <c r="AS141" s="214">
        <f t="shared" si="39"/>
        <v>0</v>
      </c>
      <c r="AT141" s="214">
        <f t="shared" si="40"/>
        <v>72414</v>
      </c>
      <c r="AU141" s="214">
        <f t="shared" si="41"/>
        <v>655749</v>
      </c>
      <c r="AV141" s="214">
        <f t="shared" si="42"/>
        <v>0</v>
      </c>
      <c r="AW141" s="215">
        <f t="shared" si="43"/>
        <v>776439</v>
      </c>
    </row>
    <row r="142" spans="1:49" ht="15" customHeight="1">
      <c r="A142" s="140" t="s">
        <v>314</v>
      </c>
      <c r="B142" s="211" t="s">
        <v>96</v>
      </c>
      <c r="C142" s="140" t="str">
        <f t="shared" si="30"/>
        <v>Lake Country Lutheran High School-WPCP</v>
      </c>
      <c r="D142" s="140">
        <v>0</v>
      </c>
      <c r="E142" s="140">
        <v>0</v>
      </c>
      <c r="F142" s="140">
        <v>0</v>
      </c>
      <c r="G142" s="140">
        <v>0</v>
      </c>
      <c r="H142" s="140">
        <v>0</v>
      </c>
      <c r="I142" s="140">
        <v>0</v>
      </c>
      <c r="J142" s="140">
        <v>0</v>
      </c>
      <c r="K142" s="140">
        <v>387</v>
      </c>
      <c r="L142" s="140">
        <f t="shared" si="31"/>
        <v>387</v>
      </c>
      <c r="N142" s="140">
        <v>0</v>
      </c>
      <c r="O142" s="140">
        <v>0</v>
      </c>
      <c r="P142" s="140">
        <v>0</v>
      </c>
      <c r="Q142" s="140">
        <v>0</v>
      </c>
      <c r="R142" s="140">
        <v>0</v>
      </c>
      <c r="S142" s="140">
        <v>0</v>
      </c>
      <c r="T142" s="140">
        <v>0</v>
      </c>
      <c r="U142" s="140">
        <v>33</v>
      </c>
      <c r="V142" s="140">
        <f t="shared" si="32"/>
        <v>33</v>
      </c>
      <c r="X142" s="98">
        <v>0</v>
      </c>
      <c r="Y142" s="98">
        <v>0</v>
      </c>
      <c r="Z142" s="98">
        <v>0</v>
      </c>
      <c r="AA142" s="98">
        <v>0</v>
      </c>
      <c r="AB142" s="98">
        <v>0</v>
      </c>
      <c r="AC142" s="98">
        <v>0</v>
      </c>
      <c r="AD142" s="98">
        <v>0</v>
      </c>
      <c r="AE142" s="98">
        <v>0</v>
      </c>
      <c r="AF142" s="98">
        <f t="shared" si="33"/>
        <v>0</v>
      </c>
      <c r="AH142" s="98">
        <v>27</v>
      </c>
      <c r="AJ142" s="98">
        <v>0</v>
      </c>
      <c r="AK142" s="98">
        <v>0</v>
      </c>
      <c r="AL142" s="380">
        <v>0</v>
      </c>
      <c r="AN142" s="214">
        <f t="shared" si="34"/>
        <v>143418</v>
      </c>
      <c r="AO142" s="214">
        <f t="shared" si="35"/>
        <v>0</v>
      </c>
      <c r="AP142" s="214">
        <f t="shared" si="36"/>
        <v>0</v>
      </c>
      <c r="AQ142" s="214">
        <f t="shared" si="37"/>
        <v>0</v>
      </c>
      <c r="AR142" s="214">
        <f t="shared" si="38"/>
        <v>0</v>
      </c>
      <c r="AS142" s="214">
        <f t="shared" si="39"/>
        <v>0</v>
      </c>
      <c r="AT142" s="214">
        <f t="shared" si="40"/>
        <v>0</v>
      </c>
      <c r="AU142" s="214">
        <f t="shared" si="41"/>
        <v>0</v>
      </c>
      <c r="AV142" s="214">
        <f t="shared" si="42"/>
        <v>143418</v>
      </c>
      <c r="AW142" s="215">
        <f t="shared" si="43"/>
        <v>143418</v>
      </c>
    </row>
    <row r="143" spans="1:49" ht="15" customHeight="1">
      <c r="A143" s="140" t="s">
        <v>315</v>
      </c>
      <c r="B143" s="211" t="s">
        <v>96</v>
      </c>
      <c r="C143" s="140" t="str">
        <f t="shared" si="30"/>
        <v>Lakeside Lutheran High School-WPCP</v>
      </c>
      <c r="D143" s="140">
        <v>0</v>
      </c>
      <c r="E143" s="140">
        <v>0</v>
      </c>
      <c r="F143" s="140">
        <v>0</v>
      </c>
      <c r="G143" s="140">
        <v>0</v>
      </c>
      <c r="H143" s="140">
        <v>0</v>
      </c>
      <c r="I143" s="140">
        <v>0</v>
      </c>
      <c r="J143" s="140">
        <v>0</v>
      </c>
      <c r="K143" s="140">
        <v>406</v>
      </c>
      <c r="L143" s="140">
        <f t="shared" si="31"/>
        <v>406</v>
      </c>
      <c r="N143" s="140">
        <v>0</v>
      </c>
      <c r="O143" s="140">
        <v>0</v>
      </c>
      <c r="P143" s="140">
        <v>0</v>
      </c>
      <c r="Q143" s="140">
        <v>0</v>
      </c>
      <c r="R143" s="140">
        <v>0</v>
      </c>
      <c r="S143" s="140">
        <v>0</v>
      </c>
      <c r="T143" s="140">
        <v>0</v>
      </c>
      <c r="U143" s="140">
        <v>103</v>
      </c>
      <c r="V143" s="140">
        <f t="shared" si="32"/>
        <v>103</v>
      </c>
      <c r="X143" s="98">
        <v>0</v>
      </c>
      <c r="Y143" s="98">
        <v>0</v>
      </c>
      <c r="Z143" s="98">
        <v>0</v>
      </c>
      <c r="AA143" s="98">
        <v>0</v>
      </c>
      <c r="AB143" s="98">
        <v>0</v>
      </c>
      <c r="AC143" s="98">
        <v>0</v>
      </c>
      <c r="AD143" s="98">
        <v>0</v>
      </c>
      <c r="AE143" s="98">
        <v>9</v>
      </c>
      <c r="AF143" s="98">
        <f t="shared" si="33"/>
        <v>9</v>
      </c>
      <c r="AH143" s="98">
        <v>88</v>
      </c>
      <c r="AJ143" s="98">
        <v>0</v>
      </c>
      <c r="AK143" s="98">
        <v>0</v>
      </c>
      <c r="AL143" s="380">
        <v>0</v>
      </c>
      <c r="AN143" s="214">
        <f t="shared" si="34"/>
        <v>447638</v>
      </c>
      <c r="AO143" s="214">
        <f t="shared" si="35"/>
        <v>0</v>
      </c>
      <c r="AP143" s="214">
        <f t="shared" si="36"/>
        <v>0</v>
      </c>
      <c r="AQ143" s="214">
        <f t="shared" si="37"/>
        <v>0</v>
      </c>
      <c r="AR143" s="214">
        <f t="shared" si="38"/>
        <v>0</v>
      </c>
      <c r="AS143" s="214">
        <f t="shared" si="39"/>
        <v>0</v>
      </c>
      <c r="AT143" s="214">
        <f t="shared" si="40"/>
        <v>0</v>
      </c>
      <c r="AU143" s="214">
        <f t="shared" si="41"/>
        <v>0</v>
      </c>
      <c r="AV143" s="214">
        <f t="shared" si="42"/>
        <v>447638</v>
      </c>
      <c r="AW143" s="215">
        <f t="shared" si="43"/>
        <v>447638</v>
      </c>
    </row>
    <row r="144" spans="1:49" ht="15" customHeight="1">
      <c r="A144" s="140" t="s">
        <v>580</v>
      </c>
      <c r="B144" s="211" t="s">
        <v>187</v>
      </c>
      <c r="C144" s="140" t="str">
        <f t="shared" si="30"/>
        <v>Lamb of God Ev Lutheran School-MPCP</v>
      </c>
      <c r="D144" s="140">
        <v>3</v>
      </c>
      <c r="E144" s="140">
        <v>0</v>
      </c>
      <c r="F144" s="140">
        <v>0</v>
      </c>
      <c r="G144" s="140">
        <v>0</v>
      </c>
      <c r="H144" s="140">
        <v>0</v>
      </c>
      <c r="I144" s="140">
        <v>12</v>
      </c>
      <c r="J144" s="140">
        <v>39</v>
      </c>
      <c r="K144" s="140">
        <v>0</v>
      </c>
      <c r="L144" s="140">
        <f t="shared" si="31"/>
        <v>54</v>
      </c>
      <c r="N144" s="140">
        <v>1</v>
      </c>
      <c r="O144" s="140">
        <v>0</v>
      </c>
      <c r="P144" s="140">
        <v>0</v>
      </c>
      <c r="Q144" s="140">
        <v>0</v>
      </c>
      <c r="R144" s="140">
        <v>0</v>
      </c>
      <c r="S144" s="140">
        <v>1</v>
      </c>
      <c r="T144" s="140">
        <v>6</v>
      </c>
      <c r="U144" s="140">
        <v>0</v>
      </c>
      <c r="V144" s="140">
        <f t="shared" si="32"/>
        <v>8</v>
      </c>
      <c r="X144" s="98">
        <v>0</v>
      </c>
      <c r="Y144" s="98">
        <v>0</v>
      </c>
      <c r="Z144" s="98">
        <v>0</v>
      </c>
      <c r="AA144" s="98">
        <v>0</v>
      </c>
      <c r="AB144" s="98">
        <v>0</v>
      </c>
      <c r="AC144" s="98">
        <v>0</v>
      </c>
      <c r="AD144" s="98">
        <v>0</v>
      </c>
      <c r="AE144" s="98">
        <v>0</v>
      </c>
      <c r="AF144" s="98">
        <f t="shared" si="33"/>
        <v>0</v>
      </c>
      <c r="AH144" s="98">
        <v>5</v>
      </c>
      <c r="AJ144" s="98">
        <v>0</v>
      </c>
      <c r="AK144" s="98">
        <v>0</v>
      </c>
      <c r="AL144" s="380">
        <v>0</v>
      </c>
      <c r="AN144" s="214">
        <f t="shared" si="34"/>
        <v>30172.5</v>
      </c>
      <c r="AO144" s="214">
        <f t="shared" si="35"/>
        <v>2011.5</v>
      </c>
      <c r="AP144" s="214">
        <f t="shared" si="36"/>
        <v>0</v>
      </c>
      <c r="AQ144" s="214">
        <f t="shared" si="37"/>
        <v>0</v>
      </c>
      <c r="AR144" s="214">
        <f t="shared" si="38"/>
        <v>0</v>
      </c>
      <c r="AS144" s="214">
        <f t="shared" si="39"/>
        <v>0</v>
      </c>
      <c r="AT144" s="214">
        <f t="shared" si="40"/>
        <v>4023</v>
      </c>
      <c r="AU144" s="214">
        <f t="shared" si="41"/>
        <v>24138</v>
      </c>
      <c r="AV144" s="214">
        <f t="shared" si="42"/>
        <v>0</v>
      </c>
      <c r="AW144" s="215">
        <f t="shared" si="43"/>
        <v>30172.5</v>
      </c>
    </row>
    <row r="145" spans="1:49" ht="15" customHeight="1">
      <c r="A145" s="140" t="s">
        <v>580</v>
      </c>
      <c r="B145" s="211" t="s">
        <v>96</v>
      </c>
      <c r="C145" s="140" t="str">
        <f t="shared" si="30"/>
        <v>Lamb of God Ev Lutheran School-WPCP</v>
      </c>
      <c r="D145" s="140">
        <v>3</v>
      </c>
      <c r="E145" s="140">
        <v>0</v>
      </c>
      <c r="F145" s="140">
        <v>0</v>
      </c>
      <c r="G145" s="140">
        <v>0</v>
      </c>
      <c r="H145" s="140">
        <v>0</v>
      </c>
      <c r="I145" s="140">
        <v>12</v>
      </c>
      <c r="J145" s="140">
        <v>39</v>
      </c>
      <c r="K145" s="140">
        <v>0</v>
      </c>
      <c r="L145" s="140">
        <f t="shared" si="31"/>
        <v>54</v>
      </c>
      <c r="N145" s="140">
        <v>1</v>
      </c>
      <c r="O145" s="140">
        <v>0</v>
      </c>
      <c r="P145" s="140">
        <v>0</v>
      </c>
      <c r="Q145" s="140">
        <v>0</v>
      </c>
      <c r="R145" s="140">
        <v>0</v>
      </c>
      <c r="S145" s="140">
        <v>2</v>
      </c>
      <c r="T145" s="140">
        <v>7</v>
      </c>
      <c r="U145" s="140">
        <v>0</v>
      </c>
      <c r="V145" s="140">
        <f t="shared" si="32"/>
        <v>10</v>
      </c>
      <c r="X145" s="98">
        <v>1</v>
      </c>
      <c r="Y145" s="98">
        <v>0</v>
      </c>
      <c r="Z145" s="98">
        <v>0</v>
      </c>
      <c r="AA145" s="98">
        <v>0</v>
      </c>
      <c r="AB145" s="98">
        <v>0</v>
      </c>
      <c r="AC145" s="98">
        <v>2</v>
      </c>
      <c r="AD145" s="98">
        <v>2</v>
      </c>
      <c r="AE145" s="98">
        <v>0</v>
      </c>
      <c r="AF145" s="98">
        <f t="shared" si="33"/>
        <v>5</v>
      </c>
      <c r="AH145" s="98">
        <v>5</v>
      </c>
      <c r="AJ145" s="98">
        <v>0</v>
      </c>
      <c r="AK145" s="98">
        <v>0</v>
      </c>
      <c r="AL145" s="380">
        <v>0</v>
      </c>
      <c r="AN145" s="214">
        <f t="shared" si="34"/>
        <v>38218.5</v>
      </c>
      <c r="AO145" s="214">
        <f t="shared" si="35"/>
        <v>2011.5</v>
      </c>
      <c r="AP145" s="214">
        <f t="shared" si="36"/>
        <v>0</v>
      </c>
      <c r="AQ145" s="214">
        <f t="shared" si="37"/>
        <v>0</v>
      </c>
      <c r="AR145" s="214">
        <f t="shared" si="38"/>
        <v>0</v>
      </c>
      <c r="AS145" s="214">
        <f t="shared" si="39"/>
        <v>0</v>
      </c>
      <c r="AT145" s="214">
        <f t="shared" si="40"/>
        <v>8046</v>
      </c>
      <c r="AU145" s="214">
        <f t="shared" si="41"/>
        <v>28161</v>
      </c>
      <c r="AV145" s="214">
        <f t="shared" si="42"/>
        <v>0</v>
      </c>
      <c r="AW145" s="215">
        <f t="shared" si="43"/>
        <v>38218.5</v>
      </c>
    </row>
    <row r="146" spans="1:49" ht="15" customHeight="1">
      <c r="A146" s="140" t="s">
        <v>127</v>
      </c>
      <c r="B146" s="211" t="s">
        <v>96</v>
      </c>
      <c r="C146" s="140" t="str">
        <f t="shared" si="30"/>
        <v>Lighthouse Christian School-WPCP</v>
      </c>
      <c r="D146" s="140">
        <v>0</v>
      </c>
      <c r="E146" s="140">
        <v>31</v>
      </c>
      <c r="F146" s="140">
        <v>0</v>
      </c>
      <c r="G146" s="140">
        <v>0</v>
      </c>
      <c r="H146" s="140">
        <v>0</v>
      </c>
      <c r="I146" s="140">
        <v>25</v>
      </c>
      <c r="J146" s="140">
        <v>143</v>
      </c>
      <c r="K146" s="140">
        <v>0</v>
      </c>
      <c r="L146" s="140">
        <f t="shared" si="31"/>
        <v>199</v>
      </c>
      <c r="N146" s="140">
        <v>0</v>
      </c>
      <c r="O146" s="140">
        <v>18</v>
      </c>
      <c r="P146" s="140">
        <v>0</v>
      </c>
      <c r="Q146" s="140">
        <v>0</v>
      </c>
      <c r="R146" s="140">
        <v>0</v>
      </c>
      <c r="S146" s="140">
        <v>18</v>
      </c>
      <c r="T146" s="140">
        <v>85</v>
      </c>
      <c r="U146" s="140">
        <v>0</v>
      </c>
      <c r="V146" s="140">
        <f t="shared" si="32"/>
        <v>121</v>
      </c>
      <c r="X146" s="98">
        <v>0</v>
      </c>
      <c r="Y146" s="98">
        <v>0</v>
      </c>
      <c r="Z146" s="98">
        <v>0</v>
      </c>
      <c r="AA146" s="98">
        <v>0</v>
      </c>
      <c r="AB146" s="98">
        <v>0</v>
      </c>
      <c r="AC146" s="98">
        <v>0</v>
      </c>
      <c r="AD146" s="98">
        <v>6</v>
      </c>
      <c r="AE146" s="98">
        <v>0</v>
      </c>
      <c r="AF146" s="98">
        <f t="shared" si="33"/>
        <v>6</v>
      </c>
      <c r="AH146" s="98">
        <v>83</v>
      </c>
      <c r="AJ146" s="98">
        <v>69</v>
      </c>
      <c r="AK146" s="98">
        <v>0</v>
      </c>
      <c r="AL146" s="380">
        <v>22021.360000000004</v>
      </c>
      <c r="AN146" s="214">
        <f t="shared" si="34"/>
        <v>457817.4</v>
      </c>
      <c r="AO146" s="214">
        <f t="shared" si="35"/>
        <v>0</v>
      </c>
      <c r="AP146" s="214">
        <f t="shared" si="36"/>
        <v>43448.4</v>
      </c>
      <c r="AQ146" s="214">
        <f t="shared" si="37"/>
        <v>0</v>
      </c>
      <c r="AR146" s="214">
        <f t="shared" si="38"/>
        <v>0</v>
      </c>
      <c r="AS146" s="214">
        <f t="shared" si="39"/>
        <v>0</v>
      </c>
      <c r="AT146" s="214">
        <f t="shared" si="40"/>
        <v>72414</v>
      </c>
      <c r="AU146" s="214">
        <f t="shared" si="41"/>
        <v>341955</v>
      </c>
      <c r="AV146" s="214">
        <f t="shared" si="42"/>
        <v>0</v>
      </c>
      <c r="AW146" s="215">
        <f t="shared" si="43"/>
        <v>457817.4</v>
      </c>
    </row>
    <row r="147" spans="1:49" ht="15" customHeight="1">
      <c r="A147" s="140" t="s">
        <v>450</v>
      </c>
      <c r="B147" s="211" t="s">
        <v>187</v>
      </c>
      <c r="C147" s="140" t="str">
        <f t="shared" si="30"/>
        <v>Living Word Lutheran High School-MPCP</v>
      </c>
      <c r="D147" s="140">
        <v>0</v>
      </c>
      <c r="E147" s="140">
        <v>0</v>
      </c>
      <c r="F147" s="140">
        <v>0</v>
      </c>
      <c r="G147" s="140">
        <v>0</v>
      </c>
      <c r="H147" s="140">
        <v>0</v>
      </c>
      <c r="I147" s="140">
        <v>0</v>
      </c>
      <c r="J147" s="140">
        <v>0</v>
      </c>
      <c r="K147" s="140">
        <v>219</v>
      </c>
      <c r="L147" s="140">
        <f t="shared" si="31"/>
        <v>219</v>
      </c>
      <c r="N147" s="140">
        <v>0</v>
      </c>
      <c r="O147" s="140">
        <v>0</v>
      </c>
      <c r="P147" s="140">
        <v>0</v>
      </c>
      <c r="Q147" s="140">
        <v>0</v>
      </c>
      <c r="R147" s="140">
        <v>0</v>
      </c>
      <c r="S147" s="140">
        <v>0</v>
      </c>
      <c r="T147" s="140">
        <v>0</v>
      </c>
      <c r="U147" s="140">
        <v>26</v>
      </c>
      <c r="V147" s="140">
        <f t="shared" si="32"/>
        <v>26</v>
      </c>
      <c r="X147" s="98">
        <v>0</v>
      </c>
      <c r="Y147" s="98">
        <v>0</v>
      </c>
      <c r="Z147" s="98">
        <v>0</v>
      </c>
      <c r="AA147" s="98">
        <v>0</v>
      </c>
      <c r="AB147" s="98">
        <v>0</v>
      </c>
      <c r="AC147" s="98">
        <v>0</v>
      </c>
      <c r="AD147" s="98">
        <v>0</v>
      </c>
      <c r="AE147" s="98">
        <v>0</v>
      </c>
      <c r="AF147" s="98">
        <f t="shared" si="33"/>
        <v>0</v>
      </c>
      <c r="AH147" s="98">
        <v>25</v>
      </c>
      <c r="AJ147" s="98">
        <v>0</v>
      </c>
      <c r="AK147" s="98">
        <v>0</v>
      </c>
      <c r="AL147" s="380">
        <v>0</v>
      </c>
      <c r="AN147" s="214">
        <f t="shared" si="34"/>
        <v>112996</v>
      </c>
      <c r="AO147" s="214">
        <f t="shared" si="35"/>
        <v>0</v>
      </c>
      <c r="AP147" s="214">
        <f t="shared" si="36"/>
        <v>0</v>
      </c>
      <c r="AQ147" s="214">
        <f t="shared" si="37"/>
        <v>0</v>
      </c>
      <c r="AR147" s="214">
        <f t="shared" si="38"/>
        <v>0</v>
      </c>
      <c r="AS147" s="214">
        <f t="shared" si="39"/>
        <v>0</v>
      </c>
      <c r="AT147" s="214">
        <f t="shared" si="40"/>
        <v>0</v>
      </c>
      <c r="AU147" s="214">
        <f t="shared" si="41"/>
        <v>0</v>
      </c>
      <c r="AV147" s="214">
        <f t="shared" si="42"/>
        <v>112996</v>
      </c>
      <c r="AW147" s="215">
        <f t="shared" si="43"/>
        <v>112996</v>
      </c>
    </row>
    <row r="148" spans="1:49" ht="15" customHeight="1">
      <c r="A148" s="140" t="s">
        <v>450</v>
      </c>
      <c r="B148" s="211" t="s">
        <v>96</v>
      </c>
      <c r="C148" s="140" t="str">
        <f t="shared" si="30"/>
        <v>Living Word Lutheran High School-WPCP</v>
      </c>
      <c r="D148" s="140">
        <v>0</v>
      </c>
      <c r="E148" s="140">
        <v>0</v>
      </c>
      <c r="F148" s="140">
        <v>0</v>
      </c>
      <c r="G148" s="140">
        <v>0</v>
      </c>
      <c r="H148" s="140">
        <v>0</v>
      </c>
      <c r="I148" s="140">
        <v>0</v>
      </c>
      <c r="J148" s="140">
        <v>0</v>
      </c>
      <c r="K148" s="140">
        <v>219</v>
      </c>
      <c r="L148" s="140">
        <f t="shared" si="31"/>
        <v>219</v>
      </c>
      <c r="N148" s="140">
        <v>0</v>
      </c>
      <c r="O148" s="140">
        <v>0</v>
      </c>
      <c r="P148" s="140">
        <v>0</v>
      </c>
      <c r="Q148" s="140">
        <v>0</v>
      </c>
      <c r="R148" s="140">
        <v>0</v>
      </c>
      <c r="S148" s="140">
        <v>0</v>
      </c>
      <c r="T148" s="140">
        <v>0</v>
      </c>
      <c r="U148" s="140">
        <v>18</v>
      </c>
      <c r="V148" s="140">
        <f t="shared" si="32"/>
        <v>18</v>
      </c>
      <c r="X148" s="98">
        <v>0</v>
      </c>
      <c r="Y148" s="98">
        <v>0</v>
      </c>
      <c r="Z148" s="98">
        <v>0</v>
      </c>
      <c r="AA148" s="98">
        <v>0</v>
      </c>
      <c r="AB148" s="98">
        <v>0</v>
      </c>
      <c r="AC148" s="98">
        <v>0</v>
      </c>
      <c r="AD148" s="98">
        <v>0</v>
      </c>
      <c r="AE148" s="98">
        <v>0</v>
      </c>
      <c r="AF148" s="98">
        <f t="shared" si="33"/>
        <v>0</v>
      </c>
      <c r="AH148" s="98">
        <v>16</v>
      </c>
      <c r="AJ148" s="98">
        <v>0</v>
      </c>
      <c r="AK148" s="98">
        <v>0</v>
      </c>
      <c r="AL148" s="380">
        <v>0</v>
      </c>
      <c r="AN148" s="214">
        <f t="shared" si="34"/>
        <v>78228</v>
      </c>
      <c r="AO148" s="214">
        <f t="shared" si="35"/>
        <v>0</v>
      </c>
      <c r="AP148" s="214">
        <f t="shared" si="36"/>
        <v>0</v>
      </c>
      <c r="AQ148" s="214">
        <f t="shared" si="37"/>
        <v>0</v>
      </c>
      <c r="AR148" s="214">
        <f t="shared" si="38"/>
        <v>0</v>
      </c>
      <c r="AS148" s="214">
        <f t="shared" si="39"/>
        <v>0</v>
      </c>
      <c r="AT148" s="214">
        <f t="shared" si="40"/>
        <v>0</v>
      </c>
      <c r="AU148" s="214">
        <f t="shared" si="41"/>
        <v>0</v>
      </c>
      <c r="AV148" s="214">
        <f t="shared" si="42"/>
        <v>78228</v>
      </c>
      <c r="AW148" s="215">
        <f t="shared" si="43"/>
        <v>78228</v>
      </c>
    </row>
    <row r="149" spans="1:49" ht="15" customHeight="1">
      <c r="A149" s="140" t="s">
        <v>128</v>
      </c>
      <c r="B149" s="211" t="s">
        <v>96</v>
      </c>
      <c r="C149" s="140" t="str">
        <f t="shared" si="30"/>
        <v>Lourdes Academy-WPCP</v>
      </c>
      <c r="D149" s="140">
        <v>23</v>
      </c>
      <c r="E149" s="140">
        <v>0</v>
      </c>
      <c r="F149" s="140">
        <v>0</v>
      </c>
      <c r="G149" s="140">
        <v>0</v>
      </c>
      <c r="H149" s="140">
        <v>0</v>
      </c>
      <c r="I149" s="140">
        <v>45</v>
      </c>
      <c r="J149" s="140">
        <v>316</v>
      </c>
      <c r="K149" s="140">
        <v>162</v>
      </c>
      <c r="L149" s="140">
        <f t="shared" si="31"/>
        <v>546</v>
      </c>
      <c r="N149" s="140">
        <v>0</v>
      </c>
      <c r="O149" s="140">
        <v>0</v>
      </c>
      <c r="P149" s="140">
        <v>0</v>
      </c>
      <c r="Q149" s="140">
        <v>0</v>
      </c>
      <c r="R149" s="140">
        <v>0</v>
      </c>
      <c r="S149" s="140">
        <v>15</v>
      </c>
      <c r="T149" s="140">
        <v>84</v>
      </c>
      <c r="U149" s="140">
        <v>43</v>
      </c>
      <c r="V149" s="140">
        <f t="shared" si="32"/>
        <v>142</v>
      </c>
      <c r="X149" s="98">
        <v>0</v>
      </c>
      <c r="Y149" s="98">
        <v>0</v>
      </c>
      <c r="Z149" s="98">
        <v>0</v>
      </c>
      <c r="AA149" s="98">
        <v>0</v>
      </c>
      <c r="AB149" s="98">
        <v>0</v>
      </c>
      <c r="AC149" s="98">
        <v>0</v>
      </c>
      <c r="AD149" s="98">
        <v>0</v>
      </c>
      <c r="AE149" s="98">
        <v>0</v>
      </c>
      <c r="AF149" s="98">
        <f t="shared" si="33"/>
        <v>0</v>
      </c>
      <c r="AH149" s="98">
        <v>83</v>
      </c>
      <c r="AJ149" s="98">
        <v>0</v>
      </c>
      <c r="AK149" s="98">
        <v>0</v>
      </c>
      <c r="AL149" s="380">
        <v>0</v>
      </c>
      <c r="AN149" s="214">
        <f t="shared" si="34"/>
        <v>585155</v>
      </c>
      <c r="AO149" s="214">
        <f t="shared" si="35"/>
        <v>0</v>
      </c>
      <c r="AP149" s="214">
        <f t="shared" si="36"/>
        <v>0</v>
      </c>
      <c r="AQ149" s="214">
        <f t="shared" si="37"/>
        <v>0</v>
      </c>
      <c r="AR149" s="214">
        <f t="shared" si="38"/>
        <v>0</v>
      </c>
      <c r="AS149" s="214">
        <f t="shared" si="39"/>
        <v>0</v>
      </c>
      <c r="AT149" s="214">
        <f t="shared" si="40"/>
        <v>60345</v>
      </c>
      <c r="AU149" s="214">
        <f t="shared" si="41"/>
        <v>337932</v>
      </c>
      <c r="AV149" s="214">
        <f t="shared" si="42"/>
        <v>186878</v>
      </c>
      <c r="AW149" s="215">
        <f t="shared" si="43"/>
        <v>585155</v>
      </c>
    </row>
    <row r="150" spans="1:49" ht="15" customHeight="1">
      <c r="A150" s="140" t="s">
        <v>451</v>
      </c>
      <c r="B150" s="211" t="s">
        <v>96</v>
      </c>
      <c r="C150" s="140" t="str">
        <f t="shared" si="30"/>
        <v>Luther High School - Onalaska-WPCP</v>
      </c>
      <c r="D150" s="140">
        <v>0</v>
      </c>
      <c r="E150" s="140">
        <v>0</v>
      </c>
      <c r="F150" s="140">
        <v>0</v>
      </c>
      <c r="G150" s="140">
        <v>0</v>
      </c>
      <c r="H150" s="140">
        <v>0</v>
      </c>
      <c r="I150" s="140">
        <v>0</v>
      </c>
      <c r="J150" s="140">
        <v>0</v>
      </c>
      <c r="K150" s="140">
        <v>247</v>
      </c>
      <c r="L150" s="140">
        <f t="shared" si="31"/>
        <v>247</v>
      </c>
      <c r="N150" s="140">
        <v>0</v>
      </c>
      <c r="O150" s="140">
        <v>0</v>
      </c>
      <c r="P150" s="140">
        <v>0</v>
      </c>
      <c r="Q150" s="140">
        <v>0</v>
      </c>
      <c r="R150" s="140">
        <v>0</v>
      </c>
      <c r="S150" s="140">
        <v>0</v>
      </c>
      <c r="T150" s="140">
        <v>0</v>
      </c>
      <c r="U150" s="140">
        <v>37</v>
      </c>
      <c r="V150" s="140">
        <f t="shared" si="32"/>
        <v>37</v>
      </c>
      <c r="X150" s="98">
        <v>0</v>
      </c>
      <c r="Y150" s="98">
        <v>0</v>
      </c>
      <c r="Z150" s="98">
        <v>0</v>
      </c>
      <c r="AA150" s="98">
        <v>0</v>
      </c>
      <c r="AB150" s="98">
        <v>0</v>
      </c>
      <c r="AC150" s="98">
        <v>0</v>
      </c>
      <c r="AD150" s="98">
        <v>0</v>
      </c>
      <c r="AE150" s="98">
        <v>0</v>
      </c>
      <c r="AF150" s="98">
        <f t="shared" si="33"/>
        <v>0</v>
      </c>
      <c r="AH150" s="98">
        <v>33</v>
      </c>
      <c r="AJ150" s="98">
        <v>0</v>
      </c>
      <c r="AK150" s="98">
        <v>0</v>
      </c>
      <c r="AL150" s="380">
        <v>0</v>
      </c>
      <c r="AN150" s="214">
        <f t="shared" si="34"/>
        <v>160802</v>
      </c>
      <c r="AO150" s="214">
        <f t="shared" si="35"/>
        <v>0</v>
      </c>
      <c r="AP150" s="214">
        <f t="shared" si="36"/>
        <v>0</v>
      </c>
      <c r="AQ150" s="214">
        <f t="shared" si="37"/>
        <v>0</v>
      </c>
      <c r="AR150" s="214">
        <f t="shared" si="38"/>
        <v>0</v>
      </c>
      <c r="AS150" s="214">
        <f t="shared" si="39"/>
        <v>0</v>
      </c>
      <c r="AT150" s="214">
        <f t="shared" si="40"/>
        <v>0</v>
      </c>
      <c r="AU150" s="214">
        <f t="shared" si="41"/>
        <v>0</v>
      </c>
      <c r="AV150" s="214">
        <f t="shared" si="42"/>
        <v>160802</v>
      </c>
      <c r="AW150" s="215">
        <f t="shared" si="43"/>
        <v>160802</v>
      </c>
    </row>
    <row r="151" spans="1:49" ht="15" customHeight="1">
      <c r="A151" s="140" t="s">
        <v>342</v>
      </c>
      <c r="B151" s="211" t="s">
        <v>187</v>
      </c>
      <c r="C151" s="140" t="str">
        <f t="shared" si="30"/>
        <v>Luther Preparatory School-MPCP</v>
      </c>
      <c r="D151" s="140">
        <v>0</v>
      </c>
      <c r="E151" s="140">
        <v>0</v>
      </c>
      <c r="F151" s="140">
        <v>0</v>
      </c>
      <c r="G151" s="140">
        <v>0</v>
      </c>
      <c r="H151" s="140">
        <v>0</v>
      </c>
      <c r="I151" s="140">
        <v>0</v>
      </c>
      <c r="J151" s="140">
        <v>0</v>
      </c>
      <c r="K151" s="140">
        <v>403</v>
      </c>
      <c r="L151" s="140">
        <f t="shared" si="31"/>
        <v>403</v>
      </c>
      <c r="N151" s="140">
        <v>0</v>
      </c>
      <c r="O151" s="140">
        <v>0</v>
      </c>
      <c r="P151" s="140">
        <v>0</v>
      </c>
      <c r="Q151" s="140">
        <v>0</v>
      </c>
      <c r="R151" s="140">
        <v>0</v>
      </c>
      <c r="S151" s="140">
        <v>0</v>
      </c>
      <c r="T151" s="140">
        <v>0</v>
      </c>
      <c r="U151" s="140">
        <v>23</v>
      </c>
      <c r="V151" s="140">
        <f t="shared" si="32"/>
        <v>23</v>
      </c>
      <c r="X151" s="98">
        <v>0</v>
      </c>
      <c r="Y151" s="98">
        <v>0</v>
      </c>
      <c r="Z151" s="98">
        <v>0</v>
      </c>
      <c r="AA151" s="98">
        <v>0</v>
      </c>
      <c r="AB151" s="98">
        <v>0</v>
      </c>
      <c r="AC151" s="98">
        <v>0</v>
      </c>
      <c r="AD151" s="98">
        <v>0</v>
      </c>
      <c r="AE151" s="98">
        <v>0</v>
      </c>
      <c r="AF151" s="98">
        <f t="shared" si="33"/>
        <v>0</v>
      </c>
      <c r="AH151" s="98">
        <v>18</v>
      </c>
      <c r="AJ151" s="98">
        <v>0</v>
      </c>
      <c r="AK151" s="98">
        <v>0</v>
      </c>
      <c r="AL151" s="380">
        <v>0</v>
      </c>
      <c r="AN151" s="214">
        <f t="shared" si="34"/>
        <v>99958</v>
      </c>
      <c r="AO151" s="214">
        <f t="shared" si="35"/>
        <v>0</v>
      </c>
      <c r="AP151" s="214">
        <f t="shared" si="36"/>
        <v>0</v>
      </c>
      <c r="AQ151" s="214">
        <f t="shared" si="37"/>
        <v>0</v>
      </c>
      <c r="AR151" s="214">
        <f t="shared" si="38"/>
        <v>0</v>
      </c>
      <c r="AS151" s="214">
        <f t="shared" si="39"/>
        <v>0</v>
      </c>
      <c r="AT151" s="214">
        <f t="shared" si="40"/>
        <v>0</v>
      </c>
      <c r="AU151" s="214">
        <f t="shared" si="41"/>
        <v>0</v>
      </c>
      <c r="AV151" s="214">
        <f t="shared" si="42"/>
        <v>99958</v>
      </c>
      <c r="AW151" s="215">
        <f t="shared" si="43"/>
        <v>99958</v>
      </c>
    </row>
    <row r="152" spans="1:49" ht="15" customHeight="1">
      <c r="A152" s="140" t="s">
        <v>342</v>
      </c>
      <c r="B152" s="211" t="s">
        <v>188</v>
      </c>
      <c r="C152" s="140" t="str">
        <f t="shared" si="30"/>
        <v>Luther Preparatory School-RPCP</v>
      </c>
      <c r="D152" s="140">
        <v>0</v>
      </c>
      <c r="E152" s="140">
        <v>0</v>
      </c>
      <c r="F152" s="140">
        <v>0</v>
      </c>
      <c r="G152" s="140">
        <v>0</v>
      </c>
      <c r="H152" s="140">
        <v>0</v>
      </c>
      <c r="I152" s="140">
        <v>0</v>
      </c>
      <c r="J152" s="140">
        <v>0</v>
      </c>
      <c r="K152" s="140">
        <v>403</v>
      </c>
      <c r="L152" s="140">
        <f t="shared" si="31"/>
        <v>403</v>
      </c>
      <c r="N152" s="140">
        <v>0</v>
      </c>
      <c r="O152" s="140">
        <v>0</v>
      </c>
      <c r="P152" s="140">
        <v>0</v>
      </c>
      <c r="Q152" s="140">
        <v>0</v>
      </c>
      <c r="R152" s="140">
        <v>0</v>
      </c>
      <c r="S152" s="140">
        <v>0</v>
      </c>
      <c r="T152" s="140">
        <v>0</v>
      </c>
      <c r="U152" s="140">
        <v>1</v>
      </c>
      <c r="V152" s="140">
        <f t="shared" si="32"/>
        <v>1</v>
      </c>
      <c r="X152" s="98">
        <v>0</v>
      </c>
      <c r="Y152" s="98">
        <v>0</v>
      </c>
      <c r="Z152" s="98">
        <v>0</v>
      </c>
      <c r="AA152" s="98">
        <v>0</v>
      </c>
      <c r="AB152" s="98">
        <v>0</v>
      </c>
      <c r="AC152" s="98">
        <v>0</v>
      </c>
      <c r="AD152" s="98">
        <v>0</v>
      </c>
      <c r="AE152" s="98">
        <v>0</v>
      </c>
      <c r="AF152" s="98">
        <f t="shared" si="33"/>
        <v>0</v>
      </c>
      <c r="AH152" s="98">
        <v>1</v>
      </c>
      <c r="AJ152" s="98">
        <v>0</v>
      </c>
      <c r="AK152" s="98">
        <v>0</v>
      </c>
      <c r="AL152" s="380">
        <v>0</v>
      </c>
      <c r="AN152" s="214">
        <f t="shared" si="34"/>
        <v>4346</v>
      </c>
      <c r="AO152" s="214">
        <f t="shared" si="35"/>
        <v>0</v>
      </c>
      <c r="AP152" s="214">
        <f t="shared" si="36"/>
        <v>0</v>
      </c>
      <c r="AQ152" s="214">
        <f t="shared" si="37"/>
        <v>0</v>
      </c>
      <c r="AR152" s="214">
        <f t="shared" si="38"/>
        <v>0</v>
      </c>
      <c r="AS152" s="214">
        <f t="shared" si="39"/>
        <v>0</v>
      </c>
      <c r="AT152" s="214">
        <f t="shared" si="40"/>
        <v>0</v>
      </c>
      <c r="AU152" s="214">
        <f t="shared" si="41"/>
        <v>0</v>
      </c>
      <c r="AV152" s="214">
        <f t="shared" si="42"/>
        <v>4346</v>
      </c>
      <c r="AW152" s="215">
        <f t="shared" si="43"/>
        <v>4346</v>
      </c>
    </row>
    <row r="153" spans="1:49" ht="15" customHeight="1">
      <c r="A153" s="140" t="s">
        <v>342</v>
      </c>
      <c r="B153" s="211" t="s">
        <v>96</v>
      </c>
      <c r="C153" s="140" t="str">
        <f t="shared" si="30"/>
        <v>Luther Preparatory School-WPCP</v>
      </c>
      <c r="D153" s="140">
        <v>0</v>
      </c>
      <c r="E153" s="140">
        <v>0</v>
      </c>
      <c r="F153" s="140">
        <v>0</v>
      </c>
      <c r="G153" s="140">
        <v>0</v>
      </c>
      <c r="H153" s="140">
        <v>0</v>
      </c>
      <c r="I153" s="140">
        <v>0</v>
      </c>
      <c r="J153" s="140">
        <v>0</v>
      </c>
      <c r="K153" s="140">
        <v>403</v>
      </c>
      <c r="L153" s="140">
        <f t="shared" si="31"/>
        <v>403</v>
      </c>
      <c r="N153" s="140">
        <v>0</v>
      </c>
      <c r="O153" s="140">
        <v>0</v>
      </c>
      <c r="P153" s="140">
        <v>0</v>
      </c>
      <c r="Q153" s="140">
        <v>0</v>
      </c>
      <c r="R153" s="140">
        <v>0</v>
      </c>
      <c r="S153" s="140">
        <v>0</v>
      </c>
      <c r="T153" s="140">
        <v>0</v>
      </c>
      <c r="U153" s="140">
        <v>87</v>
      </c>
      <c r="V153" s="140">
        <f t="shared" si="32"/>
        <v>87</v>
      </c>
      <c r="X153" s="98">
        <v>0</v>
      </c>
      <c r="Y153" s="98">
        <v>0</v>
      </c>
      <c r="Z153" s="98">
        <v>0</v>
      </c>
      <c r="AA153" s="98">
        <v>0</v>
      </c>
      <c r="AB153" s="98">
        <v>0</v>
      </c>
      <c r="AC153" s="98">
        <v>0</v>
      </c>
      <c r="AD153" s="98">
        <v>0</v>
      </c>
      <c r="AE153" s="98">
        <v>3</v>
      </c>
      <c r="AF153" s="98">
        <f t="shared" si="33"/>
        <v>3</v>
      </c>
      <c r="AH153" s="98">
        <v>72</v>
      </c>
      <c r="AJ153" s="98">
        <v>0</v>
      </c>
      <c r="AK153" s="98">
        <v>0</v>
      </c>
      <c r="AL153" s="380">
        <v>0</v>
      </c>
      <c r="AN153" s="214">
        <f t="shared" si="34"/>
        <v>378102</v>
      </c>
      <c r="AO153" s="214">
        <f t="shared" si="35"/>
        <v>0</v>
      </c>
      <c r="AP153" s="214">
        <f t="shared" si="36"/>
        <v>0</v>
      </c>
      <c r="AQ153" s="214">
        <f t="shared" si="37"/>
        <v>0</v>
      </c>
      <c r="AR153" s="214">
        <f t="shared" si="38"/>
        <v>0</v>
      </c>
      <c r="AS153" s="214">
        <f t="shared" si="39"/>
        <v>0</v>
      </c>
      <c r="AT153" s="214">
        <f t="shared" si="40"/>
        <v>0</v>
      </c>
      <c r="AU153" s="214">
        <f t="shared" si="41"/>
        <v>0</v>
      </c>
      <c r="AV153" s="214">
        <f t="shared" si="42"/>
        <v>378102</v>
      </c>
      <c r="AW153" s="215">
        <f t="shared" si="43"/>
        <v>378102</v>
      </c>
    </row>
    <row r="154" spans="1:49" ht="15" customHeight="1">
      <c r="A154" s="140" t="s">
        <v>227</v>
      </c>
      <c r="B154" s="211" t="s">
        <v>188</v>
      </c>
      <c r="C154" s="140" t="str">
        <f t="shared" si="30"/>
        <v>Lutheran High School Association of Racine-RPCP</v>
      </c>
      <c r="D154" s="140">
        <v>0</v>
      </c>
      <c r="E154" s="140">
        <v>0</v>
      </c>
      <c r="F154" s="140">
        <v>0</v>
      </c>
      <c r="G154" s="140">
        <v>0</v>
      </c>
      <c r="H154" s="140">
        <v>0</v>
      </c>
      <c r="I154" s="140">
        <v>0</v>
      </c>
      <c r="J154" s="140">
        <v>0</v>
      </c>
      <c r="K154" s="140">
        <v>270</v>
      </c>
      <c r="L154" s="140">
        <f t="shared" si="31"/>
        <v>270</v>
      </c>
      <c r="N154" s="140">
        <v>0</v>
      </c>
      <c r="O154" s="140">
        <v>0</v>
      </c>
      <c r="P154" s="140">
        <v>0</v>
      </c>
      <c r="Q154" s="140">
        <v>0</v>
      </c>
      <c r="R154" s="140">
        <v>0</v>
      </c>
      <c r="S154" s="140">
        <v>0</v>
      </c>
      <c r="T154" s="140">
        <v>0</v>
      </c>
      <c r="U154" s="140">
        <v>187</v>
      </c>
      <c r="V154" s="140">
        <f t="shared" si="32"/>
        <v>187</v>
      </c>
      <c r="X154" s="98">
        <v>0</v>
      </c>
      <c r="Y154" s="98">
        <v>0</v>
      </c>
      <c r="Z154" s="98">
        <v>0</v>
      </c>
      <c r="AA154" s="98">
        <v>0</v>
      </c>
      <c r="AB154" s="98">
        <v>0</v>
      </c>
      <c r="AC154" s="98">
        <v>0</v>
      </c>
      <c r="AD154" s="98">
        <v>0</v>
      </c>
      <c r="AE154" s="98">
        <v>21</v>
      </c>
      <c r="AF154" s="98">
        <f t="shared" si="33"/>
        <v>21</v>
      </c>
      <c r="AH154" s="98">
        <v>164</v>
      </c>
      <c r="AJ154" s="98">
        <v>0</v>
      </c>
      <c r="AK154" s="98">
        <v>0</v>
      </c>
      <c r="AL154" s="380">
        <v>0</v>
      </c>
      <c r="AN154" s="214">
        <f t="shared" si="34"/>
        <v>812702</v>
      </c>
      <c r="AO154" s="214">
        <f t="shared" si="35"/>
        <v>0</v>
      </c>
      <c r="AP154" s="214">
        <f t="shared" si="36"/>
        <v>0</v>
      </c>
      <c r="AQ154" s="214">
        <f t="shared" si="37"/>
        <v>0</v>
      </c>
      <c r="AR154" s="214">
        <f t="shared" si="38"/>
        <v>0</v>
      </c>
      <c r="AS154" s="214">
        <f t="shared" si="39"/>
        <v>0</v>
      </c>
      <c r="AT154" s="214">
        <f t="shared" si="40"/>
        <v>0</v>
      </c>
      <c r="AU154" s="214">
        <f t="shared" si="41"/>
        <v>0</v>
      </c>
      <c r="AV154" s="214">
        <f t="shared" si="42"/>
        <v>812702</v>
      </c>
      <c r="AW154" s="215">
        <f t="shared" si="43"/>
        <v>812702</v>
      </c>
    </row>
    <row r="155" spans="1:49" ht="15" customHeight="1">
      <c r="A155" s="140" t="s">
        <v>452</v>
      </c>
      <c r="B155" s="211" t="s">
        <v>187</v>
      </c>
      <c r="C155" s="140" t="str">
        <f t="shared" si="30"/>
        <v>Lutheran Special School &amp; Education Services-MPCP</v>
      </c>
      <c r="D155" s="140">
        <v>0</v>
      </c>
      <c r="E155" s="140">
        <v>0</v>
      </c>
      <c r="F155" s="140">
        <v>0</v>
      </c>
      <c r="G155" s="140">
        <v>0</v>
      </c>
      <c r="H155" s="140">
        <v>0</v>
      </c>
      <c r="I155" s="140">
        <v>0</v>
      </c>
      <c r="J155" s="140">
        <v>47</v>
      </c>
      <c r="K155" s="140">
        <v>20</v>
      </c>
      <c r="L155" s="140">
        <f t="shared" si="31"/>
        <v>67</v>
      </c>
      <c r="N155" s="140">
        <v>0</v>
      </c>
      <c r="O155" s="140">
        <v>0</v>
      </c>
      <c r="P155" s="140">
        <v>0</v>
      </c>
      <c r="Q155" s="140">
        <v>0</v>
      </c>
      <c r="R155" s="140">
        <v>0</v>
      </c>
      <c r="S155" s="140">
        <v>0</v>
      </c>
      <c r="T155" s="140">
        <v>15</v>
      </c>
      <c r="U155" s="140">
        <v>4</v>
      </c>
      <c r="V155" s="140">
        <f t="shared" si="32"/>
        <v>19</v>
      </c>
      <c r="X155" s="98">
        <v>0</v>
      </c>
      <c r="Y155" s="98">
        <v>0</v>
      </c>
      <c r="Z155" s="98">
        <v>0</v>
      </c>
      <c r="AA155" s="98">
        <v>0</v>
      </c>
      <c r="AB155" s="98">
        <v>0</v>
      </c>
      <c r="AC155" s="98">
        <v>0</v>
      </c>
      <c r="AD155" s="98">
        <v>0</v>
      </c>
      <c r="AE155" s="98">
        <v>0</v>
      </c>
      <c r="AF155" s="98">
        <f t="shared" si="33"/>
        <v>0</v>
      </c>
      <c r="AH155" s="98">
        <v>19</v>
      </c>
      <c r="AJ155" s="98">
        <v>0</v>
      </c>
      <c r="AK155" s="98">
        <v>0</v>
      </c>
      <c r="AL155" s="380">
        <v>0</v>
      </c>
      <c r="AN155" s="214">
        <f t="shared" si="34"/>
        <v>77729</v>
      </c>
      <c r="AO155" s="214">
        <f t="shared" si="35"/>
        <v>0</v>
      </c>
      <c r="AP155" s="214">
        <f t="shared" si="36"/>
        <v>0</v>
      </c>
      <c r="AQ155" s="214">
        <f t="shared" si="37"/>
        <v>0</v>
      </c>
      <c r="AR155" s="214">
        <f t="shared" si="38"/>
        <v>0</v>
      </c>
      <c r="AS155" s="214">
        <f t="shared" si="39"/>
        <v>0</v>
      </c>
      <c r="AT155" s="214">
        <f t="shared" si="40"/>
        <v>0</v>
      </c>
      <c r="AU155" s="214">
        <f t="shared" si="41"/>
        <v>60345</v>
      </c>
      <c r="AV155" s="214">
        <f t="shared" si="42"/>
        <v>17384</v>
      </c>
      <c r="AW155" s="215">
        <f t="shared" si="43"/>
        <v>77729</v>
      </c>
    </row>
    <row r="156" spans="1:49" ht="15" customHeight="1">
      <c r="A156" s="140" t="s">
        <v>452</v>
      </c>
      <c r="B156" s="211" t="s">
        <v>96</v>
      </c>
      <c r="C156" s="140" t="str">
        <f t="shared" si="30"/>
        <v>Lutheran Special School &amp; Education Services-WPCP</v>
      </c>
      <c r="D156" s="140">
        <v>0</v>
      </c>
      <c r="E156" s="140">
        <v>0</v>
      </c>
      <c r="F156" s="140">
        <v>0</v>
      </c>
      <c r="G156" s="140">
        <v>0</v>
      </c>
      <c r="H156" s="140">
        <v>0</v>
      </c>
      <c r="I156" s="140">
        <v>0</v>
      </c>
      <c r="J156" s="140">
        <v>47</v>
      </c>
      <c r="K156" s="140">
        <v>20</v>
      </c>
      <c r="L156" s="140">
        <f t="shared" si="31"/>
        <v>67</v>
      </c>
      <c r="N156" s="140">
        <v>0</v>
      </c>
      <c r="O156" s="140">
        <v>0</v>
      </c>
      <c r="P156" s="140">
        <v>0</v>
      </c>
      <c r="Q156" s="140">
        <v>0</v>
      </c>
      <c r="R156" s="140">
        <v>0</v>
      </c>
      <c r="S156" s="140">
        <v>0</v>
      </c>
      <c r="T156" s="140">
        <v>0</v>
      </c>
      <c r="U156" s="140">
        <v>0</v>
      </c>
      <c r="V156" s="140">
        <f t="shared" si="32"/>
        <v>0</v>
      </c>
      <c r="X156" s="98">
        <v>0</v>
      </c>
      <c r="Y156" s="98">
        <v>0</v>
      </c>
      <c r="Z156" s="98">
        <v>0</v>
      </c>
      <c r="AA156" s="98">
        <v>0</v>
      </c>
      <c r="AB156" s="98">
        <v>0</v>
      </c>
      <c r="AC156" s="98">
        <v>0</v>
      </c>
      <c r="AD156" s="98">
        <v>0</v>
      </c>
      <c r="AE156" s="98">
        <v>0</v>
      </c>
      <c r="AF156" s="98">
        <f t="shared" si="33"/>
        <v>0</v>
      </c>
      <c r="AH156" s="98">
        <v>0</v>
      </c>
      <c r="AJ156" s="98">
        <v>0</v>
      </c>
      <c r="AK156" s="98">
        <v>0</v>
      </c>
      <c r="AL156" s="380">
        <v>0</v>
      </c>
      <c r="AN156" s="214">
        <f t="shared" si="34"/>
        <v>0</v>
      </c>
      <c r="AO156" s="214">
        <f t="shared" si="35"/>
        <v>0</v>
      </c>
      <c r="AP156" s="214">
        <f t="shared" si="36"/>
        <v>0</v>
      </c>
      <c r="AQ156" s="214">
        <f t="shared" si="37"/>
        <v>0</v>
      </c>
      <c r="AR156" s="214">
        <f t="shared" si="38"/>
        <v>0</v>
      </c>
      <c r="AS156" s="214">
        <f t="shared" si="39"/>
        <v>0</v>
      </c>
      <c r="AT156" s="214">
        <f t="shared" si="40"/>
        <v>0</v>
      </c>
      <c r="AU156" s="214">
        <f t="shared" si="41"/>
        <v>0</v>
      </c>
      <c r="AV156" s="214">
        <f t="shared" si="42"/>
        <v>0</v>
      </c>
      <c r="AW156" s="215">
        <f t="shared" si="43"/>
        <v>0</v>
      </c>
    </row>
    <row r="157" spans="1:49" ht="15" customHeight="1">
      <c r="A157" s="140" t="s">
        <v>129</v>
      </c>
      <c r="B157" s="211" t="s">
        <v>187</v>
      </c>
      <c r="C157" s="140" t="str">
        <f t="shared" si="30"/>
        <v>Malaika Early Learning Center-MPCP</v>
      </c>
      <c r="D157" s="140">
        <v>0</v>
      </c>
      <c r="E157" s="140">
        <v>22</v>
      </c>
      <c r="F157" s="140">
        <v>0</v>
      </c>
      <c r="G157" s="140">
        <v>0</v>
      </c>
      <c r="H157" s="140">
        <v>0</v>
      </c>
      <c r="I157" s="140">
        <v>27</v>
      </c>
      <c r="J157" s="140">
        <v>49</v>
      </c>
      <c r="K157" s="140">
        <v>0</v>
      </c>
      <c r="L157" s="140">
        <f t="shared" si="31"/>
        <v>98</v>
      </c>
      <c r="N157" s="140">
        <v>0</v>
      </c>
      <c r="O157" s="140">
        <v>22</v>
      </c>
      <c r="P157" s="140">
        <v>0</v>
      </c>
      <c r="Q157" s="140">
        <v>0</v>
      </c>
      <c r="R157" s="140">
        <v>0</v>
      </c>
      <c r="S157" s="140">
        <v>27</v>
      </c>
      <c r="T157" s="140">
        <v>49</v>
      </c>
      <c r="U157" s="140">
        <v>0</v>
      </c>
      <c r="V157" s="140">
        <f t="shared" si="32"/>
        <v>98</v>
      </c>
      <c r="X157" s="98">
        <v>0</v>
      </c>
      <c r="Y157" s="98">
        <v>0</v>
      </c>
      <c r="Z157" s="98">
        <v>0</v>
      </c>
      <c r="AA157" s="98">
        <v>0</v>
      </c>
      <c r="AB157" s="98">
        <v>0</v>
      </c>
      <c r="AC157" s="98">
        <v>0</v>
      </c>
      <c r="AD157" s="98">
        <v>0</v>
      </c>
      <c r="AE157" s="98">
        <v>0</v>
      </c>
      <c r="AF157" s="98">
        <f t="shared" si="33"/>
        <v>0</v>
      </c>
      <c r="AH157" s="98">
        <v>79</v>
      </c>
      <c r="AJ157" s="98">
        <v>0</v>
      </c>
      <c r="AK157" s="98">
        <v>0</v>
      </c>
      <c r="AL157" s="380">
        <v>0</v>
      </c>
      <c r="AN157" s="214">
        <f t="shared" si="34"/>
        <v>358851.6</v>
      </c>
      <c r="AO157" s="214">
        <f t="shared" si="35"/>
        <v>0</v>
      </c>
      <c r="AP157" s="214">
        <f t="shared" si="36"/>
        <v>53103.6</v>
      </c>
      <c r="AQ157" s="214">
        <f t="shared" si="37"/>
        <v>0</v>
      </c>
      <c r="AR157" s="214">
        <f t="shared" si="38"/>
        <v>0</v>
      </c>
      <c r="AS157" s="214">
        <f t="shared" si="39"/>
        <v>0</v>
      </c>
      <c r="AT157" s="214">
        <f t="shared" si="40"/>
        <v>108621</v>
      </c>
      <c r="AU157" s="214">
        <f t="shared" si="41"/>
        <v>197127</v>
      </c>
      <c r="AV157" s="214">
        <f t="shared" si="42"/>
        <v>0</v>
      </c>
      <c r="AW157" s="215">
        <f t="shared" si="43"/>
        <v>358851.6</v>
      </c>
    </row>
    <row r="158" spans="1:49" ht="15" customHeight="1">
      <c r="A158" s="140" t="s">
        <v>228</v>
      </c>
      <c r="B158" s="211" t="s">
        <v>96</v>
      </c>
      <c r="C158" s="140" t="str">
        <f t="shared" si="30"/>
        <v>Manitowoc Lutheran High School-WPCP</v>
      </c>
      <c r="D158" s="140">
        <v>0</v>
      </c>
      <c r="E158" s="140">
        <v>0</v>
      </c>
      <c r="F158" s="140">
        <v>0</v>
      </c>
      <c r="G158" s="140">
        <v>0</v>
      </c>
      <c r="H158" s="140">
        <v>0</v>
      </c>
      <c r="I158" s="140">
        <v>0</v>
      </c>
      <c r="J158" s="140">
        <v>0</v>
      </c>
      <c r="K158" s="140">
        <v>209</v>
      </c>
      <c r="L158" s="140">
        <f t="shared" si="31"/>
        <v>209</v>
      </c>
      <c r="N158" s="140">
        <v>0</v>
      </c>
      <c r="O158" s="140">
        <v>0</v>
      </c>
      <c r="P158" s="140">
        <v>0</v>
      </c>
      <c r="Q158" s="140">
        <v>0</v>
      </c>
      <c r="R158" s="140">
        <v>0</v>
      </c>
      <c r="S158" s="140">
        <v>0</v>
      </c>
      <c r="T158" s="140">
        <v>0</v>
      </c>
      <c r="U158" s="140">
        <v>71</v>
      </c>
      <c r="V158" s="140">
        <f t="shared" si="32"/>
        <v>71</v>
      </c>
      <c r="X158" s="98">
        <v>0</v>
      </c>
      <c r="Y158" s="98">
        <v>0</v>
      </c>
      <c r="Z158" s="98">
        <v>0</v>
      </c>
      <c r="AA158" s="98">
        <v>0</v>
      </c>
      <c r="AB158" s="98">
        <v>0</v>
      </c>
      <c r="AC158" s="98">
        <v>0</v>
      </c>
      <c r="AD158" s="98">
        <v>0</v>
      </c>
      <c r="AE158" s="98">
        <v>1</v>
      </c>
      <c r="AF158" s="98">
        <f t="shared" si="33"/>
        <v>1</v>
      </c>
      <c r="AH158" s="98">
        <v>58</v>
      </c>
      <c r="AJ158" s="98">
        <v>0</v>
      </c>
      <c r="AK158" s="98">
        <v>0</v>
      </c>
      <c r="AL158" s="380">
        <v>0</v>
      </c>
      <c r="AN158" s="214">
        <f t="shared" si="34"/>
        <v>308566</v>
      </c>
      <c r="AO158" s="214">
        <f t="shared" si="35"/>
        <v>0</v>
      </c>
      <c r="AP158" s="214">
        <f t="shared" si="36"/>
        <v>0</v>
      </c>
      <c r="AQ158" s="214">
        <f t="shared" si="37"/>
        <v>0</v>
      </c>
      <c r="AR158" s="214">
        <f t="shared" si="38"/>
        <v>0</v>
      </c>
      <c r="AS158" s="214">
        <f t="shared" si="39"/>
        <v>0</v>
      </c>
      <c r="AT158" s="214">
        <f t="shared" si="40"/>
        <v>0</v>
      </c>
      <c r="AU158" s="214">
        <f t="shared" si="41"/>
        <v>0</v>
      </c>
      <c r="AV158" s="214">
        <f t="shared" si="42"/>
        <v>308566</v>
      </c>
      <c r="AW158" s="215">
        <f t="shared" si="43"/>
        <v>308566</v>
      </c>
    </row>
    <row r="159" spans="1:49" ht="15" customHeight="1">
      <c r="A159" s="140" t="s">
        <v>581</v>
      </c>
      <c r="B159" s="211" t="s">
        <v>96</v>
      </c>
      <c r="C159" s="140" t="str">
        <f t="shared" si="30"/>
        <v>Maranatha Baptist Academy-WPCP</v>
      </c>
      <c r="D159" s="140">
        <v>0</v>
      </c>
      <c r="E159" s="140">
        <v>0</v>
      </c>
      <c r="F159" s="140">
        <v>0</v>
      </c>
      <c r="G159" s="140">
        <v>0</v>
      </c>
      <c r="H159" s="140">
        <v>0</v>
      </c>
      <c r="I159" s="140">
        <v>0</v>
      </c>
      <c r="J159" s="140">
        <v>0</v>
      </c>
      <c r="K159" s="140">
        <v>56</v>
      </c>
      <c r="L159" s="140">
        <f t="shared" si="31"/>
        <v>56</v>
      </c>
      <c r="N159" s="140">
        <v>0</v>
      </c>
      <c r="O159" s="140">
        <v>0</v>
      </c>
      <c r="P159" s="140">
        <v>0</v>
      </c>
      <c r="Q159" s="140">
        <v>0</v>
      </c>
      <c r="R159" s="140">
        <v>0</v>
      </c>
      <c r="S159" s="140">
        <v>0</v>
      </c>
      <c r="T159" s="140">
        <v>0</v>
      </c>
      <c r="U159" s="140">
        <v>8</v>
      </c>
      <c r="V159" s="140">
        <f t="shared" si="32"/>
        <v>8</v>
      </c>
      <c r="X159" s="98">
        <v>0</v>
      </c>
      <c r="Y159" s="98">
        <v>0</v>
      </c>
      <c r="Z159" s="98">
        <v>0</v>
      </c>
      <c r="AA159" s="98">
        <v>0</v>
      </c>
      <c r="AB159" s="98">
        <v>0</v>
      </c>
      <c r="AC159" s="98">
        <v>0</v>
      </c>
      <c r="AD159" s="98">
        <v>0</v>
      </c>
      <c r="AE159" s="98">
        <v>1</v>
      </c>
      <c r="AF159" s="98">
        <f t="shared" si="33"/>
        <v>1</v>
      </c>
      <c r="AH159" s="98">
        <v>7</v>
      </c>
      <c r="AJ159" s="98">
        <v>0</v>
      </c>
      <c r="AK159" s="98">
        <v>0</v>
      </c>
      <c r="AL159" s="380">
        <v>0</v>
      </c>
      <c r="AN159" s="214">
        <f t="shared" si="34"/>
        <v>34768</v>
      </c>
      <c r="AO159" s="214">
        <f t="shared" si="35"/>
        <v>0</v>
      </c>
      <c r="AP159" s="214">
        <f t="shared" si="36"/>
        <v>0</v>
      </c>
      <c r="AQ159" s="214">
        <f t="shared" si="37"/>
        <v>0</v>
      </c>
      <c r="AR159" s="214">
        <f t="shared" si="38"/>
        <v>0</v>
      </c>
      <c r="AS159" s="214">
        <f t="shared" si="39"/>
        <v>0</v>
      </c>
      <c r="AT159" s="214">
        <f t="shared" si="40"/>
        <v>0</v>
      </c>
      <c r="AU159" s="214">
        <f t="shared" si="41"/>
        <v>0</v>
      </c>
      <c r="AV159" s="214">
        <f t="shared" si="42"/>
        <v>34768</v>
      </c>
      <c r="AW159" s="215">
        <f t="shared" si="43"/>
        <v>34768</v>
      </c>
    </row>
    <row r="160" spans="1:49" ht="15" customHeight="1">
      <c r="A160" s="140" t="s">
        <v>229</v>
      </c>
      <c r="B160" s="211" t="s">
        <v>187</v>
      </c>
      <c r="C160" s="140" t="str">
        <f t="shared" si="30"/>
        <v>Marquette University High School-MPCP</v>
      </c>
      <c r="D160" s="140">
        <v>0</v>
      </c>
      <c r="E160" s="140">
        <v>0</v>
      </c>
      <c r="F160" s="140">
        <v>0</v>
      </c>
      <c r="G160" s="140">
        <v>0</v>
      </c>
      <c r="H160" s="140">
        <v>0</v>
      </c>
      <c r="I160" s="140">
        <v>0</v>
      </c>
      <c r="J160" s="140">
        <v>0</v>
      </c>
      <c r="K160" s="140">
        <v>956</v>
      </c>
      <c r="L160" s="140">
        <f t="shared" si="31"/>
        <v>956</v>
      </c>
      <c r="N160" s="140">
        <v>0</v>
      </c>
      <c r="O160" s="140">
        <v>0</v>
      </c>
      <c r="P160" s="140">
        <v>0</v>
      </c>
      <c r="Q160" s="140">
        <v>0</v>
      </c>
      <c r="R160" s="140">
        <v>0</v>
      </c>
      <c r="S160" s="140">
        <v>0</v>
      </c>
      <c r="T160" s="140">
        <v>0</v>
      </c>
      <c r="U160" s="140">
        <v>117</v>
      </c>
      <c r="V160" s="140">
        <f t="shared" si="32"/>
        <v>117</v>
      </c>
      <c r="X160" s="98">
        <v>0</v>
      </c>
      <c r="Y160" s="98">
        <v>0</v>
      </c>
      <c r="Z160" s="98">
        <v>0</v>
      </c>
      <c r="AA160" s="98">
        <v>0</v>
      </c>
      <c r="AB160" s="98">
        <v>0</v>
      </c>
      <c r="AC160" s="98">
        <v>0</v>
      </c>
      <c r="AD160" s="98">
        <v>0</v>
      </c>
      <c r="AE160" s="98">
        <v>63</v>
      </c>
      <c r="AF160" s="98">
        <f t="shared" si="33"/>
        <v>63</v>
      </c>
      <c r="AH160" s="98">
        <v>111</v>
      </c>
      <c r="AJ160" s="98">
        <v>0</v>
      </c>
      <c r="AK160" s="98">
        <v>0</v>
      </c>
      <c r="AL160" s="380">
        <v>0</v>
      </c>
      <c r="AN160" s="214">
        <f t="shared" si="34"/>
        <v>508482</v>
      </c>
      <c r="AO160" s="214">
        <f t="shared" si="35"/>
        <v>0</v>
      </c>
      <c r="AP160" s="214">
        <f t="shared" si="36"/>
        <v>0</v>
      </c>
      <c r="AQ160" s="214">
        <f t="shared" si="37"/>
        <v>0</v>
      </c>
      <c r="AR160" s="214">
        <f t="shared" si="38"/>
        <v>0</v>
      </c>
      <c r="AS160" s="214">
        <f t="shared" si="39"/>
        <v>0</v>
      </c>
      <c r="AT160" s="214">
        <f t="shared" si="40"/>
        <v>0</v>
      </c>
      <c r="AU160" s="214">
        <f t="shared" si="41"/>
        <v>0</v>
      </c>
      <c r="AV160" s="214">
        <f t="shared" si="42"/>
        <v>508482</v>
      </c>
      <c r="AW160" s="215">
        <f t="shared" si="43"/>
        <v>508482</v>
      </c>
    </row>
    <row r="161" spans="1:49" ht="15" customHeight="1">
      <c r="A161" s="140" t="s">
        <v>582</v>
      </c>
      <c r="B161" s="211" t="s">
        <v>96</v>
      </c>
      <c r="C161" s="140" t="str">
        <f t="shared" si="30"/>
        <v>Martin Luther Evangelical Lutheran Grade School - Neenah-WPCP</v>
      </c>
      <c r="D161" s="140">
        <v>8</v>
      </c>
      <c r="E161" s="140">
        <v>0</v>
      </c>
      <c r="F161" s="140">
        <v>0</v>
      </c>
      <c r="G161" s="140">
        <v>0</v>
      </c>
      <c r="H161" s="140">
        <v>0</v>
      </c>
      <c r="I161" s="140">
        <v>7</v>
      </c>
      <c r="J161" s="140">
        <v>37</v>
      </c>
      <c r="K161" s="140">
        <v>0</v>
      </c>
      <c r="L161" s="140">
        <f t="shared" si="31"/>
        <v>52</v>
      </c>
      <c r="N161" s="140">
        <v>3</v>
      </c>
      <c r="O161" s="140">
        <v>0</v>
      </c>
      <c r="P161" s="140">
        <v>0</v>
      </c>
      <c r="Q161" s="140">
        <v>0</v>
      </c>
      <c r="R161" s="140">
        <v>0</v>
      </c>
      <c r="S161" s="140">
        <v>2</v>
      </c>
      <c r="T161" s="140">
        <v>12</v>
      </c>
      <c r="U161" s="140">
        <v>0</v>
      </c>
      <c r="V161" s="140">
        <f t="shared" si="32"/>
        <v>17</v>
      </c>
      <c r="X161" s="98">
        <v>0</v>
      </c>
      <c r="Y161" s="98">
        <v>0</v>
      </c>
      <c r="Z161" s="98">
        <v>0</v>
      </c>
      <c r="AA161" s="98">
        <v>0</v>
      </c>
      <c r="AB161" s="98">
        <v>0</v>
      </c>
      <c r="AC161" s="98">
        <v>0</v>
      </c>
      <c r="AD161" s="98">
        <v>0</v>
      </c>
      <c r="AE161" s="98">
        <v>0</v>
      </c>
      <c r="AF161" s="98">
        <f t="shared" si="33"/>
        <v>0</v>
      </c>
      <c r="AH161" s="98">
        <v>12</v>
      </c>
      <c r="AJ161" s="98">
        <v>0</v>
      </c>
      <c r="AK161" s="98">
        <v>0</v>
      </c>
      <c r="AL161" s="380">
        <v>0</v>
      </c>
      <c r="AN161" s="214">
        <f t="shared" si="34"/>
        <v>62356.5</v>
      </c>
      <c r="AO161" s="214">
        <f t="shared" si="35"/>
        <v>6034.5</v>
      </c>
      <c r="AP161" s="214">
        <f t="shared" si="36"/>
        <v>0</v>
      </c>
      <c r="AQ161" s="214">
        <f t="shared" si="37"/>
        <v>0</v>
      </c>
      <c r="AR161" s="214">
        <f t="shared" si="38"/>
        <v>0</v>
      </c>
      <c r="AS161" s="214">
        <f t="shared" si="39"/>
        <v>0</v>
      </c>
      <c r="AT161" s="214">
        <f t="shared" si="40"/>
        <v>8046</v>
      </c>
      <c r="AU161" s="214">
        <f t="shared" si="41"/>
        <v>48276</v>
      </c>
      <c r="AV161" s="214">
        <f t="shared" si="42"/>
        <v>0</v>
      </c>
      <c r="AW161" s="215">
        <f t="shared" si="43"/>
        <v>62356.5</v>
      </c>
    </row>
    <row r="162" spans="1:49" ht="15" customHeight="1">
      <c r="A162" s="140" t="s">
        <v>536</v>
      </c>
      <c r="B162" s="211" t="s">
        <v>187</v>
      </c>
      <c r="C162" s="140" t="str">
        <f t="shared" si="30"/>
        <v>Martin Luther High School - Greendale-MPCP</v>
      </c>
      <c r="D162" s="140">
        <v>0</v>
      </c>
      <c r="E162" s="140">
        <v>0</v>
      </c>
      <c r="F162" s="140">
        <v>0</v>
      </c>
      <c r="G162" s="140">
        <v>0</v>
      </c>
      <c r="H162" s="140">
        <v>0</v>
      </c>
      <c r="I162" s="140">
        <v>0</v>
      </c>
      <c r="J162" s="140">
        <v>0</v>
      </c>
      <c r="K162" s="140">
        <v>575</v>
      </c>
      <c r="L162" s="140">
        <f t="shared" si="31"/>
        <v>575</v>
      </c>
      <c r="N162" s="140">
        <v>0</v>
      </c>
      <c r="O162" s="140">
        <v>0</v>
      </c>
      <c r="P162" s="140">
        <v>0</v>
      </c>
      <c r="Q162" s="140">
        <v>0</v>
      </c>
      <c r="R162" s="140">
        <v>0</v>
      </c>
      <c r="S162" s="140">
        <v>0</v>
      </c>
      <c r="T162" s="140">
        <v>0</v>
      </c>
      <c r="U162" s="140">
        <v>367</v>
      </c>
      <c r="V162" s="140">
        <f t="shared" si="32"/>
        <v>367</v>
      </c>
      <c r="X162" s="98">
        <v>0</v>
      </c>
      <c r="Y162" s="98">
        <v>0</v>
      </c>
      <c r="Z162" s="98">
        <v>0</v>
      </c>
      <c r="AA162" s="98">
        <v>0</v>
      </c>
      <c r="AB162" s="98">
        <v>0</v>
      </c>
      <c r="AC162" s="98">
        <v>0</v>
      </c>
      <c r="AD162" s="98">
        <v>0</v>
      </c>
      <c r="AE162" s="98">
        <v>0</v>
      </c>
      <c r="AF162" s="98">
        <f t="shared" si="33"/>
        <v>0</v>
      </c>
      <c r="AH162" s="98">
        <v>328</v>
      </c>
      <c r="AJ162" s="98">
        <v>0</v>
      </c>
      <c r="AK162" s="98">
        <v>27</v>
      </c>
      <c r="AL162" s="380">
        <v>10192</v>
      </c>
      <c r="AN162" s="214">
        <f t="shared" si="34"/>
        <v>1594982</v>
      </c>
      <c r="AO162" s="214">
        <f t="shared" si="35"/>
        <v>0</v>
      </c>
      <c r="AP162" s="214">
        <f t="shared" si="36"/>
        <v>0</v>
      </c>
      <c r="AQ162" s="214">
        <f t="shared" si="37"/>
        <v>0</v>
      </c>
      <c r="AR162" s="214">
        <f t="shared" si="38"/>
        <v>0</v>
      </c>
      <c r="AS162" s="214">
        <f t="shared" si="39"/>
        <v>0</v>
      </c>
      <c r="AT162" s="214">
        <f t="shared" si="40"/>
        <v>0</v>
      </c>
      <c r="AU162" s="214">
        <f t="shared" si="41"/>
        <v>0</v>
      </c>
      <c r="AV162" s="214">
        <f t="shared" si="42"/>
        <v>1594982</v>
      </c>
      <c r="AW162" s="215">
        <f t="shared" si="43"/>
        <v>1594982</v>
      </c>
    </row>
    <row r="163" spans="1:49" ht="15" customHeight="1">
      <c r="A163" s="140" t="s">
        <v>536</v>
      </c>
      <c r="B163" s="211" t="s">
        <v>188</v>
      </c>
      <c r="C163" s="140" t="str">
        <f t="shared" si="30"/>
        <v>Martin Luther High School - Greendale-RPCP</v>
      </c>
      <c r="D163" s="140">
        <v>0</v>
      </c>
      <c r="E163" s="140">
        <v>0</v>
      </c>
      <c r="F163" s="140">
        <v>0</v>
      </c>
      <c r="G163" s="140">
        <v>0</v>
      </c>
      <c r="H163" s="140">
        <v>0</v>
      </c>
      <c r="I163" s="140">
        <v>0</v>
      </c>
      <c r="J163" s="140">
        <v>0</v>
      </c>
      <c r="K163" s="140">
        <v>575</v>
      </c>
      <c r="L163" s="140">
        <f t="shared" si="31"/>
        <v>575</v>
      </c>
      <c r="N163" s="140">
        <v>0</v>
      </c>
      <c r="O163" s="140">
        <v>0</v>
      </c>
      <c r="P163" s="140">
        <v>0</v>
      </c>
      <c r="Q163" s="140">
        <v>0</v>
      </c>
      <c r="R163" s="140">
        <v>0</v>
      </c>
      <c r="S163" s="140">
        <v>0</v>
      </c>
      <c r="T163" s="140">
        <v>0</v>
      </c>
      <c r="U163" s="140">
        <v>1</v>
      </c>
      <c r="V163" s="140">
        <f t="shared" si="32"/>
        <v>1</v>
      </c>
      <c r="X163" s="98">
        <v>0</v>
      </c>
      <c r="Y163" s="98">
        <v>0</v>
      </c>
      <c r="Z163" s="98">
        <v>0</v>
      </c>
      <c r="AA163" s="98">
        <v>0</v>
      </c>
      <c r="AB163" s="98">
        <v>0</v>
      </c>
      <c r="AC163" s="98">
        <v>0</v>
      </c>
      <c r="AD163" s="98">
        <v>0</v>
      </c>
      <c r="AE163" s="98">
        <v>0</v>
      </c>
      <c r="AF163" s="98">
        <f t="shared" si="33"/>
        <v>0</v>
      </c>
      <c r="AH163" s="98">
        <v>1</v>
      </c>
      <c r="AJ163" s="98">
        <v>0</v>
      </c>
      <c r="AK163" s="98">
        <v>0</v>
      </c>
      <c r="AL163" s="380">
        <v>0</v>
      </c>
      <c r="AN163" s="214">
        <f t="shared" si="34"/>
        <v>4346</v>
      </c>
      <c r="AO163" s="214">
        <f t="shared" si="35"/>
        <v>0</v>
      </c>
      <c r="AP163" s="214">
        <f t="shared" si="36"/>
        <v>0</v>
      </c>
      <c r="AQ163" s="214">
        <f t="shared" si="37"/>
        <v>0</v>
      </c>
      <c r="AR163" s="214">
        <f t="shared" si="38"/>
        <v>0</v>
      </c>
      <c r="AS163" s="214">
        <f t="shared" si="39"/>
        <v>0</v>
      </c>
      <c r="AT163" s="214">
        <f t="shared" si="40"/>
        <v>0</v>
      </c>
      <c r="AU163" s="214">
        <f t="shared" si="41"/>
        <v>0</v>
      </c>
      <c r="AV163" s="214">
        <f t="shared" si="42"/>
        <v>4346</v>
      </c>
      <c r="AW163" s="215">
        <f t="shared" si="43"/>
        <v>4346</v>
      </c>
    </row>
    <row r="164" spans="1:49" ht="15" customHeight="1">
      <c r="A164" s="140" t="s">
        <v>536</v>
      </c>
      <c r="B164" s="211" t="s">
        <v>96</v>
      </c>
      <c r="C164" s="140" t="str">
        <f t="shared" si="30"/>
        <v>Martin Luther High School - Greendale-WPCP</v>
      </c>
      <c r="D164" s="140">
        <v>0</v>
      </c>
      <c r="E164" s="140">
        <v>0</v>
      </c>
      <c r="F164" s="140">
        <v>0</v>
      </c>
      <c r="G164" s="140">
        <v>0</v>
      </c>
      <c r="H164" s="140">
        <v>0</v>
      </c>
      <c r="I164" s="140">
        <v>0</v>
      </c>
      <c r="J164" s="140">
        <v>0</v>
      </c>
      <c r="K164" s="140">
        <v>575</v>
      </c>
      <c r="L164" s="140">
        <f t="shared" si="31"/>
        <v>575</v>
      </c>
      <c r="N164" s="140">
        <v>0</v>
      </c>
      <c r="O164" s="140">
        <v>0</v>
      </c>
      <c r="P164" s="140">
        <v>0</v>
      </c>
      <c r="Q164" s="140">
        <v>0</v>
      </c>
      <c r="R164" s="140">
        <v>0</v>
      </c>
      <c r="S164" s="140">
        <v>0</v>
      </c>
      <c r="T164" s="140">
        <v>0</v>
      </c>
      <c r="U164" s="140">
        <v>40</v>
      </c>
      <c r="V164" s="140">
        <f t="shared" si="32"/>
        <v>40</v>
      </c>
      <c r="X164" s="98">
        <v>0</v>
      </c>
      <c r="Y164" s="98">
        <v>0</v>
      </c>
      <c r="Z164" s="98">
        <v>0</v>
      </c>
      <c r="AA164" s="98">
        <v>0</v>
      </c>
      <c r="AB164" s="98">
        <v>0</v>
      </c>
      <c r="AC164" s="98">
        <v>0</v>
      </c>
      <c r="AD164" s="98">
        <v>0</v>
      </c>
      <c r="AE164" s="98">
        <v>2</v>
      </c>
      <c r="AF164" s="98">
        <f t="shared" si="33"/>
        <v>2</v>
      </c>
      <c r="AH164" s="98">
        <v>33</v>
      </c>
      <c r="AJ164" s="98">
        <v>0</v>
      </c>
      <c r="AK164" s="98">
        <v>7</v>
      </c>
      <c r="AL164" s="380">
        <v>2940</v>
      </c>
      <c r="AN164" s="214">
        <f t="shared" si="34"/>
        <v>173840</v>
      </c>
      <c r="AO164" s="214">
        <f t="shared" si="35"/>
        <v>0</v>
      </c>
      <c r="AP164" s="214">
        <f t="shared" si="36"/>
        <v>0</v>
      </c>
      <c r="AQ164" s="214">
        <f t="shared" si="37"/>
        <v>0</v>
      </c>
      <c r="AR164" s="214">
        <f t="shared" si="38"/>
        <v>0</v>
      </c>
      <c r="AS164" s="214">
        <f t="shared" si="39"/>
        <v>0</v>
      </c>
      <c r="AT164" s="214">
        <f t="shared" si="40"/>
        <v>0</v>
      </c>
      <c r="AU164" s="214">
        <f t="shared" si="41"/>
        <v>0</v>
      </c>
      <c r="AV164" s="214">
        <f t="shared" si="42"/>
        <v>173840</v>
      </c>
      <c r="AW164" s="215">
        <f t="shared" si="43"/>
        <v>173840</v>
      </c>
    </row>
    <row r="165" spans="1:49" ht="15" customHeight="1">
      <c r="A165" s="140" t="s">
        <v>537</v>
      </c>
      <c r="B165" s="211" t="s">
        <v>96</v>
      </c>
      <c r="C165" s="140" t="str">
        <f t="shared" si="30"/>
        <v>Martin Luther School - Oshkosh-WPCP</v>
      </c>
      <c r="D165" s="140">
        <v>0</v>
      </c>
      <c r="E165" s="140">
        <v>0</v>
      </c>
      <c r="F165" s="140">
        <v>0</v>
      </c>
      <c r="G165" s="140">
        <v>0</v>
      </c>
      <c r="H165" s="140">
        <v>0</v>
      </c>
      <c r="I165" s="140">
        <v>10</v>
      </c>
      <c r="J165" s="140">
        <v>83</v>
      </c>
      <c r="K165" s="140">
        <v>0</v>
      </c>
      <c r="L165" s="140">
        <f t="shared" si="31"/>
        <v>93</v>
      </c>
      <c r="N165" s="140">
        <v>0</v>
      </c>
      <c r="O165" s="140">
        <v>0</v>
      </c>
      <c r="P165" s="140">
        <v>0</v>
      </c>
      <c r="Q165" s="140">
        <v>0</v>
      </c>
      <c r="R165" s="140">
        <v>0</v>
      </c>
      <c r="S165" s="140">
        <v>4</v>
      </c>
      <c r="T165" s="140">
        <v>8</v>
      </c>
      <c r="U165" s="140">
        <v>0</v>
      </c>
      <c r="V165" s="140">
        <f t="shared" si="32"/>
        <v>12</v>
      </c>
      <c r="X165" s="98">
        <v>0</v>
      </c>
      <c r="Y165" s="98">
        <v>0</v>
      </c>
      <c r="Z165" s="98">
        <v>0</v>
      </c>
      <c r="AA165" s="98">
        <v>0</v>
      </c>
      <c r="AB165" s="98">
        <v>0</v>
      </c>
      <c r="AC165" s="98">
        <v>0</v>
      </c>
      <c r="AD165" s="98">
        <v>0</v>
      </c>
      <c r="AE165" s="98">
        <v>0</v>
      </c>
      <c r="AF165" s="98">
        <f t="shared" si="33"/>
        <v>0</v>
      </c>
      <c r="AH165" s="98">
        <v>11</v>
      </c>
      <c r="AJ165" s="98">
        <v>0</v>
      </c>
      <c r="AK165" s="98">
        <v>0</v>
      </c>
      <c r="AL165" s="380">
        <v>0</v>
      </c>
      <c r="AN165" s="214">
        <f t="shared" si="34"/>
        <v>48276</v>
      </c>
      <c r="AO165" s="214">
        <f t="shared" si="35"/>
        <v>0</v>
      </c>
      <c r="AP165" s="214">
        <f t="shared" si="36"/>
        <v>0</v>
      </c>
      <c r="AQ165" s="214">
        <f t="shared" si="37"/>
        <v>0</v>
      </c>
      <c r="AR165" s="214">
        <f t="shared" si="38"/>
        <v>0</v>
      </c>
      <c r="AS165" s="214">
        <f t="shared" si="39"/>
        <v>0</v>
      </c>
      <c r="AT165" s="214">
        <f t="shared" si="40"/>
        <v>16092</v>
      </c>
      <c r="AU165" s="214">
        <f t="shared" si="41"/>
        <v>32184</v>
      </c>
      <c r="AV165" s="214">
        <f t="shared" si="42"/>
        <v>0</v>
      </c>
      <c r="AW165" s="215">
        <f t="shared" si="43"/>
        <v>48276</v>
      </c>
    </row>
    <row r="166" spans="1:49" ht="15" customHeight="1">
      <c r="A166" s="140" t="s">
        <v>130</v>
      </c>
      <c r="B166" s="211" t="s">
        <v>187</v>
      </c>
      <c r="C166" s="140" t="str">
        <f t="shared" si="30"/>
        <v>Mary Queen of Saints Catholic Academy-MPCP</v>
      </c>
      <c r="D166" s="140">
        <v>0</v>
      </c>
      <c r="E166" s="140">
        <v>23</v>
      </c>
      <c r="F166" s="140">
        <v>0</v>
      </c>
      <c r="G166" s="140">
        <v>0</v>
      </c>
      <c r="H166" s="140">
        <v>0</v>
      </c>
      <c r="I166" s="140">
        <v>23</v>
      </c>
      <c r="J166" s="140">
        <v>153</v>
      </c>
      <c r="K166" s="140">
        <v>0</v>
      </c>
      <c r="L166" s="140">
        <f t="shared" si="31"/>
        <v>199</v>
      </c>
      <c r="N166" s="140">
        <v>0</v>
      </c>
      <c r="O166" s="140">
        <v>6</v>
      </c>
      <c r="P166" s="140">
        <v>0</v>
      </c>
      <c r="Q166" s="140">
        <v>0</v>
      </c>
      <c r="R166" s="140">
        <v>0</v>
      </c>
      <c r="S166" s="140">
        <v>6</v>
      </c>
      <c r="T166" s="140">
        <v>43</v>
      </c>
      <c r="U166" s="140">
        <v>0</v>
      </c>
      <c r="V166" s="140">
        <f t="shared" si="32"/>
        <v>55</v>
      </c>
      <c r="X166" s="98">
        <v>0</v>
      </c>
      <c r="Y166" s="98">
        <v>0</v>
      </c>
      <c r="Z166" s="98">
        <v>0</v>
      </c>
      <c r="AA166" s="98">
        <v>0</v>
      </c>
      <c r="AB166" s="98">
        <v>0</v>
      </c>
      <c r="AC166" s="98">
        <v>0</v>
      </c>
      <c r="AD166" s="98">
        <v>0</v>
      </c>
      <c r="AE166" s="98">
        <v>0</v>
      </c>
      <c r="AF166" s="98">
        <f t="shared" si="33"/>
        <v>0</v>
      </c>
      <c r="AH166" s="98">
        <v>38</v>
      </c>
      <c r="AJ166" s="98">
        <v>0</v>
      </c>
      <c r="AK166" s="98">
        <v>0</v>
      </c>
      <c r="AL166" s="380">
        <v>0</v>
      </c>
      <c r="AN166" s="214">
        <f t="shared" si="34"/>
        <v>211609.8</v>
      </c>
      <c r="AO166" s="214">
        <f t="shared" si="35"/>
        <v>0</v>
      </c>
      <c r="AP166" s="214">
        <f t="shared" si="36"/>
        <v>14482.8</v>
      </c>
      <c r="AQ166" s="214">
        <f t="shared" si="37"/>
        <v>0</v>
      </c>
      <c r="AR166" s="214">
        <f t="shared" si="38"/>
        <v>0</v>
      </c>
      <c r="AS166" s="214">
        <f t="shared" si="39"/>
        <v>0</v>
      </c>
      <c r="AT166" s="214">
        <f t="shared" si="40"/>
        <v>24138</v>
      </c>
      <c r="AU166" s="214">
        <f t="shared" si="41"/>
        <v>172989</v>
      </c>
      <c r="AV166" s="214">
        <f t="shared" si="42"/>
        <v>0</v>
      </c>
      <c r="AW166" s="215">
        <f t="shared" si="43"/>
        <v>211609.8</v>
      </c>
    </row>
    <row r="167" spans="1:49" ht="15" customHeight="1">
      <c r="A167" s="140" t="s">
        <v>130</v>
      </c>
      <c r="B167" s="211" t="s">
        <v>96</v>
      </c>
      <c r="C167" s="140" t="str">
        <f t="shared" si="30"/>
        <v>Mary Queen of Saints Catholic Academy-WPCP</v>
      </c>
      <c r="D167" s="140">
        <v>0</v>
      </c>
      <c r="E167" s="140">
        <v>23</v>
      </c>
      <c r="F167" s="140">
        <v>0</v>
      </c>
      <c r="G167" s="140">
        <v>0</v>
      </c>
      <c r="H167" s="140">
        <v>0</v>
      </c>
      <c r="I167" s="140">
        <v>23</v>
      </c>
      <c r="J167" s="140">
        <v>153</v>
      </c>
      <c r="K167" s="140">
        <v>0</v>
      </c>
      <c r="L167" s="140">
        <f t="shared" si="31"/>
        <v>199</v>
      </c>
      <c r="N167" s="140">
        <v>0</v>
      </c>
      <c r="O167" s="140">
        <v>2</v>
      </c>
      <c r="P167" s="140">
        <v>0</v>
      </c>
      <c r="Q167" s="140">
        <v>0</v>
      </c>
      <c r="R167" s="140">
        <v>0</v>
      </c>
      <c r="S167" s="140">
        <v>5</v>
      </c>
      <c r="T167" s="140">
        <v>39</v>
      </c>
      <c r="U167" s="140">
        <v>0</v>
      </c>
      <c r="V167" s="140">
        <f t="shared" si="32"/>
        <v>46</v>
      </c>
      <c r="X167" s="98">
        <v>0</v>
      </c>
      <c r="Y167" s="98">
        <v>7</v>
      </c>
      <c r="Z167" s="98">
        <v>0</v>
      </c>
      <c r="AA167" s="98">
        <v>0</v>
      </c>
      <c r="AB167" s="98">
        <v>0</v>
      </c>
      <c r="AC167" s="98">
        <v>3</v>
      </c>
      <c r="AD167" s="98">
        <v>9</v>
      </c>
      <c r="AE167" s="98">
        <v>0</v>
      </c>
      <c r="AF167" s="98">
        <f t="shared" si="33"/>
        <v>19</v>
      </c>
      <c r="AH167" s="98">
        <v>35</v>
      </c>
      <c r="AJ167" s="98">
        <v>0</v>
      </c>
      <c r="AK167" s="98">
        <v>0</v>
      </c>
      <c r="AL167" s="380">
        <v>0</v>
      </c>
      <c r="AN167" s="214">
        <f t="shared" si="34"/>
        <v>181839.6</v>
      </c>
      <c r="AO167" s="214">
        <f t="shared" si="35"/>
        <v>0</v>
      </c>
      <c r="AP167" s="214">
        <f t="shared" si="36"/>
        <v>4827.6</v>
      </c>
      <c r="AQ167" s="214">
        <f t="shared" si="37"/>
        <v>0</v>
      </c>
      <c r="AR167" s="214">
        <f t="shared" si="38"/>
        <v>0</v>
      </c>
      <c r="AS167" s="214">
        <f t="shared" si="39"/>
        <v>0</v>
      </c>
      <c r="AT167" s="214">
        <f t="shared" si="40"/>
        <v>20115</v>
      </c>
      <c r="AU167" s="214">
        <f t="shared" si="41"/>
        <v>156897</v>
      </c>
      <c r="AV167" s="214">
        <f t="shared" si="42"/>
        <v>0</v>
      </c>
      <c r="AW167" s="215">
        <f t="shared" si="43"/>
        <v>181839.6</v>
      </c>
    </row>
    <row r="168" spans="1:49" ht="15" customHeight="1">
      <c r="A168" s="140" t="s">
        <v>174</v>
      </c>
      <c r="B168" s="211" t="s">
        <v>96</v>
      </c>
      <c r="C168" s="140" t="str">
        <f t="shared" si="30"/>
        <v>McDonell Area Catholic Schools-WPCP</v>
      </c>
      <c r="D168" s="140">
        <v>0</v>
      </c>
      <c r="E168" s="140">
        <v>0</v>
      </c>
      <c r="F168" s="140">
        <v>0</v>
      </c>
      <c r="G168" s="140">
        <v>0</v>
      </c>
      <c r="H168" s="140">
        <v>0</v>
      </c>
      <c r="I168" s="140">
        <v>41</v>
      </c>
      <c r="J168" s="140">
        <v>243</v>
      </c>
      <c r="K168" s="140">
        <v>150</v>
      </c>
      <c r="L168" s="140">
        <f t="shared" si="31"/>
        <v>434</v>
      </c>
      <c r="N168" s="140">
        <v>0</v>
      </c>
      <c r="O168" s="140">
        <v>0</v>
      </c>
      <c r="P168" s="140">
        <v>0</v>
      </c>
      <c r="Q168" s="140">
        <v>0</v>
      </c>
      <c r="R168" s="140">
        <v>0</v>
      </c>
      <c r="S168" s="140">
        <v>13</v>
      </c>
      <c r="T168" s="140">
        <v>73</v>
      </c>
      <c r="U168" s="140">
        <v>30</v>
      </c>
      <c r="V168" s="140">
        <f t="shared" si="32"/>
        <v>116</v>
      </c>
      <c r="X168" s="98">
        <v>0</v>
      </c>
      <c r="Y168" s="98">
        <v>0</v>
      </c>
      <c r="Z168" s="98">
        <v>0</v>
      </c>
      <c r="AA168" s="98">
        <v>0</v>
      </c>
      <c r="AB168" s="98">
        <v>0</v>
      </c>
      <c r="AC168" s="98">
        <v>0</v>
      </c>
      <c r="AD168" s="98">
        <v>0</v>
      </c>
      <c r="AE168" s="98">
        <v>0</v>
      </c>
      <c r="AF168" s="98">
        <f t="shared" si="33"/>
        <v>0</v>
      </c>
      <c r="AH168" s="98">
        <v>68</v>
      </c>
      <c r="AJ168" s="98">
        <v>13</v>
      </c>
      <c r="AK168" s="98">
        <v>0</v>
      </c>
      <c r="AL168" s="380">
        <v>5040.0999999999985</v>
      </c>
      <c r="AN168" s="214">
        <f t="shared" si="34"/>
        <v>476358</v>
      </c>
      <c r="AO168" s="214">
        <f t="shared" si="35"/>
        <v>0</v>
      </c>
      <c r="AP168" s="214">
        <f t="shared" si="36"/>
        <v>0</v>
      </c>
      <c r="AQ168" s="214">
        <f t="shared" si="37"/>
        <v>0</v>
      </c>
      <c r="AR168" s="214">
        <f t="shared" si="38"/>
        <v>0</v>
      </c>
      <c r="AS168" s="214">
        <f t="shared" si="39"/>
        <v>0</v>
      </c>
      <c r="AT168" s="214">
        <f t="shared" si="40"/>
        <v>52299</v>
      </c>
      <c r="AU168" s="214">
        <f t="shared" si="41"/>
        <v>293679</v>
      </c>
      <c r="AV168" s="214">
        <f t="shared" si="42"/>
        <v>130380</v>
      </c>
      <c r="AW168" s="215">
        <f t="shared" si="43"/>
        <v>476358</v>
      </c>
    </row>
    <row r="169" spans="1:49" ht="15" customHeight="1">
      <c r="A169" s="140" t="s">
        <v>131</v>
      </c>
      <c r="B169" s="211" t="s">
        <v>187</v>
      </c>
      <c r="C169" s="140" t="str">
        <f t="shared" si="30"/>
        <v>Messmer Catholic Schools-MPCP</v>
      </c>
      <c r="D169" s="140">
        <v>0</v>
      </c>
      <c r="E169" s="140">
        <v>54</v>
      </c>
      <c r="F169" s="140">
        <v>0</v>
      </c>
      <c r="G169" s="140">
        <v>0</v>
      </c>
      <c r="H169" s="140">
        <v>0</v>
      </c>
      <c r="I169" s="140">
        <v>85</v>
      </c>
      <c r="J169" s="140">
        <v>689</v>
      </c>
      <c r="K169" s="140">
        <v>528</v>
      </c>
      <c r="L169" s="140">
        <f t="shared" si="31"/>
        <v>1356</v>
      </c>
      <c r="N169" s="140">
        <v>0</v>
      </c>
      <c r="O169" s="140">
        <v>52</v>
      </c>
      <c r="P169" s="140">
        <v>0</v>
      </c>
      <c r="Q169" s="140">
        <v>0</v>
      </c>
      <c r="R169" s="140">
        <v>0</v>
      </c>
      <c r="S169" s="140">
        <v>85</v>
      </c>
      <c r="T169" s="140">
        <v>683</v>
      </c>
      <c r="U169" s="140">
        <v>517</v>
      </c>
      <c r="V169" s="140">
        <f t="shared" si="32"/>
        <v>1337</v>
      </c>
      <c r="X169" s="98">
        <v>0</v>
      </c>
      <c r="Y169" s="98">
        <v>0</v>
      </c>
      <c r="Z169" s="98">
        <v>0</v>
      </c>
      <c r="AA169" s="98">
        <v>0</v>
      </c>
      <c r="AB169" s="98">
        <v>0</v>
      </c>
      <c r="AC169" s="98">
        <v>0</v>
      </c>
      <c r="AD169" s="98">
        <v>17</v>
      </c>
      <c r="AE169" s="98">
        <v>0</v>
      </c>
      <c r="AF169" s="98">
        <f t="shared" si="33"/>
        <v>17</v>
      </c>
      <c r="AH169" s="98">
        <v>948</v>
      </c>
      <c r="AJ169" s="98">
        <v>136</v>
      </c>
      <c r="AK169" s="98">
        <v>143</v>
      </c>
      <c r="AL169" s="380">
        <v>102243.91999999998</v>
      </c>
      <c r="AN169" s="214">
        <f t="shared" si="34"/>
        <v>5462063.6</v>
      </c>
      <c r="AO169" s="214">
        <f t="shared" si="35"/>
        <v>0</v>
      </c>
      <c r="AP169" s="214">
        <f t="shared" si="36"/>
        <v>125517.6</v>
      </c>
      <c r="AQ169" s="214">
        <f t="shared" si="37"/>
        <v>0</v>
      </c>
      <c r="AR169" s="214">
        <f t="shared" si="38"/>
        <v>0</v>
      </c>
      <c r="AS169" s="214">
        <f t="shared" si="39"/>
        <v>0</v>
      </c>
      <c r="AT169" s="214">
        <f t="shared" si="40"/>
        <v>341955</v>
      </c>
      <c r="AU169" s="214">
        <f t="shared" si="41"/>
        <v>2747709</v>
      </c>
      <c r="AV169" s="214">
        <f t="shared" si="42"/>
        <v>2246882</v>
      </c>
      <c r="AW169" s="215">
        <f t="shared" si="43"/>
        <v>5462063.6</v>
      </c>
    </row>
    <row r="170" spans="1:49" ht="15" customHeight="1">
      <c r="A170" s="140" t="s">
        <v>131</v>
      </c>
      <c r="B170" s="211" t="s">
        <v>96</v>
      </c>
      <c r="C170" s="140" t="str">
        <f t="shared" si="30"/>
        <v>Messmer Catholic Schools-WPCP</v>
      </c>
      <c r="D170" s="140">
        <v>0</v>
      </c>
      <c r="E170" s="140">
        <v>54</v>
      </c>
      <c r="F170" s="140">
        <v>0</v>
      </c>
      <c r="G170" s="140">
        <v>0</v>
      </c>
      <c r="H170" s="140">
        <v>0</v>
      </c>
      <c r="I170" s="140">
        <v>85</v>
      </c>
      <c r="J170" s="140">
        <v>689</v>
      </c>
      <c r="K170" s="140">
        <v>528</v>
      </c>
      <c r="L170" s="140">
        <f t="shared" si="31"/>
        <v>1356</v>
      </c>
      <c r="N170" s="140">
        <v>0</v>
      </c>
      <c r="O170" s="140">
        <v>1</v>
      </c>
      <c r="P170" s="140">
        <v>0</v>
      </c>
      <c r="Q170" s="140">
        <v>0</v>
      </c>
      <c r="R170" s="140">
        <v>0</v>
      </c>
      <c r="S170" s="140">
        <v>0</v>
      </c>
      <c r="T170" s="140">
        <v>1</v>
      </c>
      <c r="U170" s="140">
        <v>4</v>
      </c>
      <c r="V170" s="140">
        <f t="shared" si="32"/>
        <v>6</v>
      </c>
      <c r="X170" s="98">
        <v>0</v>
      </c>
      <c r="Y170" s="98">
        <v>0</v>
      </c>
      <c r="Z170" s="98">
        <v>0</v>
      </c>
      <c r="AA170" s="98">
        <v>0</v>
      </c>
      <c r="AB170" s="98">
        <v>0</v>
      </c>
      <c r="AC170" s="98">
        <v>0</v>
      </c>
      <c r="AD170" s="98">
        <v>0</v>
      </c>
      <c r="AE170" s="98">
        <v>2</v>
      </c>
      <c r="AF170" s="98">
        <f t="shared" si="33"/>
        <v>2</v>
      </c>
      <c r="AH170" s="98">
        <v>4</v>
      </c>
      <c r="AJ170" s="98">
        <v>0</v>
      </c>
      <c r="AK170" s="98">
        <v>0</v>
      </c>
      <c r="AL170" s="380">
        <v>0</v>
      </c>
      <c r="AN170" s="214">
        <f t="shared" si="34"/>
        <v>23820.8</v>
      </c>
      <c r="AO170" s="214">
        <f t="shared" si="35"/>
        <v>0</v>
      </c>
      <c r="AP170" s="214">
        <f t="shared" si="36"/>
        <v>2413.8</v>
      </c>
      <c r="AQ170" s="214">
        <f t="shared" si="37"/>
        <v>0</v>
      </c>
      <c r="AR170" s="214">
        <f t="shared" si="38"/>
        <v>0</v>
      </c>
      <c r="AS170" s="214">
        <f t="shared" si="39"/>
        <v>0</v>
      </c>
      <c r="AT170" s="214">
        <f t="shared" si="40"/>
        <v>0</v>
      </c>
      <c r="AU170" s="214">
        <f t="shared" si="41"/>
        <v>4023</v>
      </c>
      <c r="AV170" s="214">
        <f t="shared" si="42"/>
        <v>17384</v>
      </c>
      <c r="AW170" s="215">
        <f t="shared" si="43"/>
        <v>23820.8</v>
      </c>
    </row>
    <row r="171" spans="1:49" ht="15" customHeight="1">
      <c r="A171" s="140" t="s">
        <v>198</v>
      </c>
      <c r="B171" s="211" t="s">
        <v>187</v>
      </c>
      <c r="C171" s="140" t="str">
        <f t="shared" si="30"/>
        <v>Milwaukee Lutheran High School-MPCP</v>
      </c>
      <c r="D171" s="140">
        <v>0</v>
      </c>
      <c r="E171" s="140">
        <v>0</v>
      </c>
      <c r="F171" s="140">
        <v>0</v>
      </c>
      <c r="G171" s="140">
        <v>0</v>
      </c>
      <c r="H171" s="140">
        <v>0</v>
      </c>
      <c r="I171" s="140">
        <v>0</v>
      </c>
      <c r="J171" s="140">
        <v>38</v>
      </c>
      <c r="K171" s="140">
        <v>807</v>
      </c>
      <c r="L171" s="140">
        <f t="shared" si="31"/>
        <v>845</v>
      </c>
      <c r="N171" s="140">
        <v>0</v>
      </c>
      <c r="O171" s="140">
        <v>0</v>
      </c>
      <c r="P171" s="140">
        <v>0</v>
      </c>
      <c r="Q171" s="140">
        <v>0</v>
      </c>
      <c r="R171" s="140">
        <v>0</v>
      </c>
      <c r="S171" s="140">
        <v>0</v>
      </c>
      <c r="T171" s="140">
        <v>36</v>
      </c>
      <c r="U171" s="140">
        <v>704</v>
      </c>
      <c r="V171" s="140">
        <f t="shared" si="32"/>
        <v>740</v>
      </c>
      <c r="X171" s="98">
        <v>0</v>
      </c>
      <c r="Y171" s="98">
        <v>0</v>
      </c>
      <c r="Z171" s="98">
        <v>0</v>
      </c>
      <c r="AA171" s="98">
        <v>0</v>
      </c>
      <c r="AB171" s="98">
        <v>0</v>
      </c>
      <c r="AC171" s="98">
        <v>0</v>
      </c>
      <c r="AD171" s="98">
        <v>4</v>
      </c>
      <c r="AE171" s="98">
        <v>194</v>
      </c>
      <c r="AF171" s="98">
        <f t="shared" si="33"/>
        <v>198</v>
      </c>
      <c r="AH171" s="98">
        <v>668</v>
      </c>
      <c r="AJ171" s="98">
        <v>0</v>
      </c>
      <c r="AK171" s="98">
        <v>37</v>
      </c>
      <c r="AL171" s="380">
        <v>15484</v>
      </c>
      <c r="AN171" s="214">
        <f t="shared" si="34"/>
        <v>3204412</v>
      </c>
      <c r="AO171" s="214">
        <f t="shared" si="35"/>
        <v>0</v>
      </c>
      <c r="AP171" s="214">
        <f t="shared" si="36"/>
        <v>0</v>
      </c>
      <c r="AQ171" s="214">
        <f t="shared" si="37"/>
        <v>0</v>
      </c>
      <c r="AR171" s="214">
        <f t="shared" si="38"/>
        <v>0</v>
      </c>
      <c r="AS171" s="214">
        <f t="shared" si="39"/>
        <v>0</v>
      </c>
      <c r="AT171" s="214">
        <f t="shared" si="40"/>
        <v>0</v>
      </c>
      <c r="AU171" s="214">
        <f t="shared" si="41"/>
        <v>144828</v>
      </c>
      <c r="AV171" s="214">
        <f t="shared" si="42"/>
        <v>3059584</v>
      </c>
      <c r="AW171" s="215">
        <f t="shared" si="43"/>
        <v>3204412</v>
      </c>
    </row>
    <row r="172" spans="1:49" ht="15" customHeight="1">
      <c r="A172" s="140" t="s">
        <v>198</v>
      </c>
      <c r="B172" s="211" t="s">
        <v>96</v>
      </c>
      <c r="C172" s="140" t="str">
        <f t="shared" si="30"/>
        <v>Milwaukee Lutheran High School-WPCP</v>
      </c>
      <c r="D172" s="140">
        <v>0</v>
      </c>
      <c r="E172" s="140">
        <v>0</v>
      </c>
      <c r="F172" s="140">
        <v>0</v>
      </c>
      <c r="G172" s="140">
        <v>0</v>
      </c>
      <c r="H172" s="140">
        <v>0</v>
      </c>
      <c r="I172" s="140">
        <v>0</v>
      </c>
      <c r="J172" s="140">
        <v>38</v>
      </c>
      <c r="K172" s="140">
        <v>807</v>
      </c>
      <c r="L172" s="140">
        <f t="shared" si="31"/>
        <v>845</v>
      </c>
      <c r="N172" s="140">
        <v>0</v>
      </c>
      <c r="O172" s="140">
        <v>0</v>
      </c>
      <c r="P172" s="140">
        <v>0</v>
      </c>
      <c r="Q172" s="140">
        <v>0</v>
      </c>
      <c r="R172" s="140">
        <v>0</v>
      </c>
      <c r="S172" s="140">
        <v>0</v>
      </c>
      <c r="T172" s="140">
        <v>1</v>
      </c>
      <c r="U172" s="140">
        <v>17</v>
      </c>
      <c r="V172" s="140">
        <f t="shared" si="32"/>
        <v>18</v>
      </c>
      <c r="X172" s="98">
        <v>0</v>
      </c>
      <c r="Y172" s="98">
        <v>0</v>
      </c>
      <c r="Z172" s="98">
        <v>0</v>
      </c>
      <c r="AA172" s="98">
        <v>0</v>
      </c>
      <c r="AB172" s="98">
        <v>0</v>
      </c>
      <c r="AC172" s="98">
        <v>0</v>
      </c>
      <c r="AD172" s="98">
        <v>0</v>
      </c>
      <c r="AE172" s="98">
        <v>1</v>
      </c>
      <c r="AF172" s="98">
        <f t="shared" si="33"/>
        <v>1</v>
      </c>
      <c r="AH172" s="98">
        <v>18</v>
      </c>
      <c r="AJ172" s="98">
        <v>0</v>
      </c>
      <c r="AK172" s="98">
        <v>1</v>
      </c>
      <c r="AL172" s="380">
        <v>420</v>
      </c>
      <c r="AN172" s="214">
        <f t="shared" si="34"/>
        <v>77905</v>
      </c>
      <c r="AO172" s="214">
        <f t="shared" si="35"/>
        <v>0</v>
      </c>
      <c r="AP172" s="214">
        <f t="shared" si="36"/>
        <v>0</v>
      </c>
      <c r="AQ172" s="214">
        <f t="shared" si="37"/>
        <v>0</v>
      </c>
      <c r="AR172" s="214">
        <f t="shared" si="38"/>
        <v>0</v>
      </c>
      <c r="AS172" s="214">
        <f t="shared" si="39"/>
        <v>0</v>
      </c>
      <c r="AT172" s="214">
        <f t="shared" si="40"/>
        <v>0</v>
      </c>
      <c r="AU172" s="214">
        <f t="shared" si="41"/>
        <v>4023</v>
      </c>
      <c r="AV172" s="214">
        <f t="shared" si="42"/>
        <v>73882</v>
      </c>
      <c r="AW172" s="215">
        <f t="shared" si="43"/>
        <v>77905</v>
      </c>
    </row>
    <row r="173" spans="1:49" ht="15" customHeight="1">
      <c r="A173" s="140" t="s">
        <v>132</v>
      </c>
      <c r="B173" s="211" t="s">
        <v>187</v>
      </c>
      <c r="C173" s="140" t="str">
        <f t="shared" si="30"/>
        <v>Milwaukee Seventh Day Adventist School-MPCP</v>
      </c>
      <c r="D173" s="140">
        <v>12</v>
      </c>
      <c r="E173" s="140">
        <v>0</v>
      </c>
      <c r="F173" s="140">
        <v>0</v>
      </c>
      <c r="G173" s="140">
        <v>0</v>
      </c>
      <c r="H173" s="140">
        <v>0</v>
      </c>
      <c r="I173" s="140">
        <v>16</v>
      </c>
      <c r="J173" s="140">
        <v>155</v>
      </c>
      <c r="K173" s="140">
        <v>20</v>
      </c>
      <c r="L173" s="140">
        <f t="shared" si="31"/>
        <v>203</v>
      </c>
      <c r="N173" s="140">
        <v>11</v>
      </c>
      <c r="O173" s="140">
        <v>0</v>
      </c>
      <c r="P173" s="140">
        <v>0</v>
      </c>
      <c r="Q173" s="140">
        <v>0</v>
      </c>
      <c r="R173" s="140">
        <v>0</v>
      </c>
      <c r="S173" s="140">
        <v>14</v>
      </c>
      <c r="T173" s="140">
        <v>137</v>
      </c>
      <c r="U173" s="140">
        <v>19</v>
      </c>
      <c r="V173" s="140">
        <f t="shared" si="32"/>
        <v>181</v>
      </c>
      <c r="X173" s="98">
        <v>0</v>
      </c>
      <c r="Y173" s="98">
        <v>0</v>
      </c>
      <c r="Z173" s="98">
        <v>0</v>
      </c>
      <c r="AA173" s="98">
        <v>0</v>
      </c>
      <c r="AB173" s="98">
        <v>0</v>
      </c>
      <c r="AC173" s="98">
        <v>0</v>
      </c>
      <c r="AD173" s="98">
        <v>8</v>
      </c>
      <c r="AE173" s="98">
        <v>0</v>
      </c>
      <c r="AF173" s="98">
        <f t="shared" si="33"/>
        <v>8</v>
      </c>
      <c r="AH173" s="98">
        <v>112</v>
      </c>
      <c r="AJ173" s="98">
        <v>0</v>
      </c>
      <c r="AK173" s="98">
        <v>0</v>
      </c>
      <c r="AL173" s="380">
        <v>0</v>
      </c>
      <c r="AN173" s="214">
        <f t="shared" si="34"/>
        <v>712173.5</v>
      </c>
      <c r="AO173" s="214">
        <f t="shared" si="35"/>
        <v>22126.5</v>
      </c>
      <c r="AP173" s="214">
        <f t="shared" si="36"/>
        <v>0</v>
      </c>
      <c r="AQ173" s="214">
        <f t="shared" si="37"/>
        <v>0</v>
      </c>
      <c r="AR173" s="214">
        <f t="shared" si="38"/>
        <v>0</v>
      </c>
      <c r="AS173" s="214">
        <f t="shared" si="39"/>
        <v>0</v>
      </c>
      <c r="AT173" s="214">
        <f t="shared" si="40"/>
        <v>56322</v>
      </c>
      <c r="AU173" s="214">
        <f t="shared" si="41"/>
        <v>551151</v>
      </c>
      <c r="AV173" s="214">
        <f t="shared" si="42"/>
        <v>82574</v>
      </c>
      <c r="AW173" s="215">
        <f t="shared" si="43"/>
        <v>712173.5</v>
      </c>
    </row>
    <row r="174" spans="1:49" ht="15" customHeight="1">
      <c r="A174" s="140" t="s">
        <v>132</v>
      </c>
      <c r="B174" s="211" t="s">
        <v>96</v>
      </c>
      <c r="C174" s="140" t="str">
        <f t="shared" si="30"/>
        <v>Milwaukee Seventh Day Adventist School-WPCP</v>
      </c>
      <c r="D174" s="140">
        <v>12</v>
      </c>
      <c r="E174" s="140">
        <v>0</v>
      </c>
      <c r="F174" s="140">
        <v>0</v>
      </c>
      <c r="G174" s="140">
        <v>0</v>
      </c>
      <c r="H174" s="140">
        <v>0</v>
      </c>
      <c r="I174" s="140">
        <v>16</v>
      </c>
      <c r="J174" s="140">
        <v>155</v>
      </c>
      <c r="K174" s="140">
        <v>20</v>
      </c>
      <c r="L174" s="140">
        <f t="shared" si="31"/>
        <v>203</v>
      </c>
      <c r="N174" s="140">
        <v>1</v>
      </c>
      <c r="O174" s="140">
        <v>0</v>
      </c>
      <c r="P174" s="140">
        <v>0</v>
      </c>
      <c r="Q174" s="140">
        <v>0</v>
      </c>
      <c r="R174" s="140">
        <v>0</v>
      </c>
      <c r="S174" s="140">
        <v>1</v>
      </c>
      <c r="T174" s="140">
        <v>9</v>
      </c>
      <c r="U174" s="140">
        <v>0</v>
      </c>
      <c r="V174" s="140">
        <f t="shared" si="32"/>
        <v>11</v>
      </c>
      <c r="X174" s="98">
        <v>0</v>
      </c>
      <c r="Y174" s="98">
        <v>0</v>
      </c>
      <c r="Z174" s="98">
        <v>0</v>
      </c>
      <c r="AA174" s="98">
        <v>0</v>
      </c>
      <c r="AB174" s="98">
        <v>0</v>
      </c>
      <c r="AC174" s="98">
        <v>0</v>
      </c>
      <c r="AD174" s="98">
        <v>0</v>
      </c>
      <c r="AE174" s="98">
        <v>0</v>
      </c>
      <c r="AF174" s="98">
        <f t="shared" si="33"/>
        <v>0</v>
      </c>
      <c r="AH174" s="98">
        <v>8</v>
      </c>
      <c r="AJ174" s="98">
        <v>0</v>
      </c>
      <c r="AK174" s="98">
        <v>0</v>
      </c>
      <c r="AL174" s="380">
        <v>0</v>
      </c>
      <c r="AN174" s="214">
        <f t="shared" si="34"/>
        <v>42241.5</v>
      </c>
      <c r="AO174" s="214">
        <f t="shared" si="35"/>
        <v>2011.5</v>
      </c>
      <c r="AP174" s="214">
        <f t="shared" si="36"/>
        <v>0</v>
      </c>
      <c r="AQ174" s="214">
        <f t="shared" si="37"/>
        <v>0</v>
      </c>
      <c r="AR174" s="214">
        <f t="shared" si="38"/>
        <v>0</v>
      </c>
      <c r="AS174" s="214">
        <f t="shared" si="39"/>
        <v>0</v>
      </c>
      <c r="AT174" s="214">
        <f t="shared" si="40"/>
        <v>4023</v>
      </c>
      <c r="AU174" s="214">
        <f t="shared" si="41"/>
        <v>36207</v>
      </c>
      <c r="AV174" s="214">
        <f t="shared" si="42"/>
        <v>0</v>
      </c>
      <c r="AW174" s="215">
        <f t="shared" si="43"/>
        <v>42241.5</v>
      </c>
    </row>
    <row r="175" spans="1:49" ht="15" customHeight="1">
      <c r="A175" s="140" t="s">
        <v>316</v>
      </c>
      <c r="B175" s="211" t="s">
        <v>96</v>
      </c>
      <c r="C175" s="140" t="str">
        <f t="shared" si="30"/>
        <v>Morning Star Lutheran School-WPCP</v>
      </c>
      <c r="D175" s="140">
        <v>26</v>
      </c>
      <c r="E175" s="140">
        <v>0</v>
      </c>
      <c r="F175" s="140">
        <v>0</v>
      </c>
      <c r="G175" s="140">
        <v>0</v>
      </c>
      <c r="H175" s="140">
        <v>0</v>
      </c>
      <c r="I175" s="140">
        <v>15</v>
      </c>
      <c r="J175" s="140">
        <v>112</v>
      </c>
      <c r="K175" s="140">
        <v>0</v>
      </c>
      <c r="L175" s="140">
        <f t="shared" si="31"/>
        <v>153</v>
      </c>
      <c r="N175" s="140">
        <v>6</v>
      </c>
      <c r="O175" s="140">
        <v>0</v>
      </c>
      <c r="P175" s="140">
        <v>0</v>
      </c>
      <c r="Q175" s="140">
        <v>0</v>
      </c>
      <c r="R175" s="140">
        <v>0</v>
      </c>
      <c r="S175" s="140">
        <v>5</v>
      </c>
      <c r="T175" s="140">
        <v>19</v>
      </c>
      <c r="U175" s="140">
        <v>0</v>
      </c>
      <c r="V175" s="140">
        <f t="shared" si="32"/>
        <v>30</v>
      </c>
      <c r="X175" s="98">
        <v>0</v>
      </c>
      <c r="Y175" s="98">
        <v>0</v>
      </c>
      <c r="Z175" s="98">
        <v>0</v>
      </c>
      <c r="AA175" s="98">
        <v>0</v>
      </c>
      <c r="AB175" s="98">
        <v>0</v>
      </c>
      <c r="AC175" s="98">
        <v>0</v>
      </c>
      <c r="AD175" s="98">
        <v>0</v>
      </c>
      <c r="AE175" s="98">
        <v>0</v>
      </c>
      <c r="AF175" s="98">
        <f t="shared" si="33"/>
        <v>0</v>
      </c>
      <c r="AH175" s="98">
        <v>20</v>
      </c>
      <c r="AJ175" s="98">
        <v>0</v>
      </c>
      <c r="AK175" s="98">
        <v>0</v>
      </c>
      <c r="AL175" s="380">
        <v>0</v>
      </c>
      <c r="AN175" s="214">
        <f t="shared" si="34"/>
        <v>108621</v>
      </c>
      <c r="AO175" s="214">
        <f t="shared" si="35"/>
        <v>12069</v>
      </c>
      <c r="AP175" s="214">
        <f t="shared" si="36"/>
        <v>0</v>
      </c>
      <c r="AQ175" s="214">
        <f t="shared" si="37"/>
        <v>0</v>
      </c>
      <c r="AR175" s="214">
        <f t="shared" si="38"/>
        <v>0</v>
      </c>
      <c r="AS175" s="214">
        <f t="shared" si="39"/>
        <v>0</v>
      </c>
      <c r="AT175" s="214">
        <f t="shared" si="40"/>
        <v>20115</v>
      </c>
      <c r="AU175" s="214">
        <f t="shared" si="41"/>
        <v>76437</v>
      </c>
      <c r="AV175" s="214">
        <f t="shared" si="42"/>
        <v>0</v>
      </c>
      <c r="AW175" s="215">
        <f t="shared" si="43"/>
        <v>108621</v>
      </c>
    </row>
    <row r="176" spans="1:49" ht="15" customHeight="1">
      <c r="A176" s="140" t="s">
        <v>230</v>
      </c>
      <c r="B176" s="211" t="s">
        <v>187</v>
      </c>
      <c r="C176" s="140" t="str">
        <f t="shared" si="30"/>
        <v>Mother of Good Counsel School-MPCP</v>
      </c>
      <c r="D176" s="140">
        <v>20</v>
      </c>
      <c r="E176" s="140">
        <v>0</v>
      </c>
      <c r="F176" s="140">
        <v>0</v>
      </c>
      <c r="G176" s="140">
        <v>0</v>
      </c>
      <c r="H176" s="140">
        <v>0</v>
      </c>
      <c r="I176" s="140">
        <v>22</v>
      </c>
      <c r="J176" s="140">
        <v>176</v>
      </c>
      <c r="K176" s="140">
        <v>0</v>
      </c>
      <c r="L176" s="140">
        <f t="shared" si="31"/>
        <v>218</v>
      </c>
      <c r="N176" s="140">
        <v>19</v>
      </c>
      <c r="O176" s="140">
        <v>0</v>
      </c>
      <c r="P176" s="140">
        <v>0</v>
      </c>
      <c r="Q176" s="140">
        <v>0</v>
      </c>
      <c r="R176" s="140">
        <v>0</v>
      </c>
      <c r="S176" s="140">
        <v>20</v>
      </c>
      <c r="T176" s="140">
        <v>174</v>
      </c>
      <c r="U176" s="140">
        <v>0</v>
      </c>
      <c r="V176" s="140">
        <f t="shared" si="32"/>
        <v>213</v>
      </c>
      <c r="X176" s="98">
        <v>0</v>
      </c>
      <c r="Y176" s="98">
        <v>0</v>
      </c>
      <c r="Z176" s="98">
        <v>0</v>
      </c>
      <c r="AA176" s="98">
        <v>0</v>
      </c>
      <c r="AB176" s="98">
        <v>0</v>
      </c>
      <c r="AC176" s="98">
        <v>0</v>
      </c>
      <c r="AD176" s="98">
        <v>0</v>
      </c>
      <c r="AE176" s="98">
        <v>0</v>
      </c>
      <c r="AF176" s="98">
        <f aca="true" t="shared" si="44" ref="AF176:AF205">SUM(X176:AE176)</f>
        <v>0</v>
      </c>
      <c r="AH176" s="98">
        <v>161</v>
      </c>
      <c r="AJ176" s="98">
        <v>0</v>
      </c>
      <c r="AK176" s="98">
        <v>0</v>
      </c>
      <c r="AL176" s="380">
        <v>0</v>
      </c>
      <c r="AN176" s="214">
        <f t="shared" si="34"/>
        <v>818680.5</v>
      </c>
      <c r="AO176" s="214">
        <f t="shared" si="35"/>
        <v>38218.5</v>
      </c>
      <c r="AP176" s="214">
        <f t="shared" si="36"/>
        <v>0</v>
      </c>
      <c r="AQ176" s="214">
        <f t="shared" si="37"/>
        <v>0</v>
      </c>
      <c r="AR176" s="214">
        <f t="shared" si="38"/>
        <v>0</v>
      </c>
      <c r="AS176" s="214">
        <f t="shared" si="39"/>
        <v>0</v>
      </c>
      <c r="AT176" s="214">
        <f t="shared" si="40"/>
        <v>80460</v>
      </c>
      <c r="AU176" s="214">
        <f t="shared" si="41"/>
        <v>700002</v>
      </c>
      <c r="AV176" s="214">
        <f t="shared" si="42"/>
        <v>0</v>
      </c>
      <c r="AW176" s="215">
        <f t="shared" si="43"/>
        <v>818680.5</v>
      </c>
    </row>
    <row r="177" spans="1:49" ht="15" customHeight="1">
      <c r="A177" s="140" t="s">
        <v>231</v>
      </c>
      <c r="B177" s="211" t="s">
        <v>187</v>
      </c>
      <c r="C177" s="140" t="str">
        <f t="shared" si="30"/>
        <v>Mount Calvary Lutheran School-MPCP</v>
      </c>
      <c r="D177" s="140">
        <v>13</v>
      </c>
      <c r="E177" s="140">
        <v>0</v>
      </c>
      <c r="F177" s="140">
        <v>0</v>
      </c>
      <c r="G177" s="140">
        <v>0</v>
      </c>
      <c r="H177" s="140">
        <v>0</v>
      </c>
      <c r="I177" s="140">
        <v>16</v>
      </c>
      <c r="J177" s="140">
        <v>157</v>
      </c>
      <c r="K177" s="140">
        <v>0</v>
      </c>
      <c r="L177" s="140">
        <f t="shared" si="31"/>
        <v>186</v>
      </c>
      <c r="N177" s="140">
        <v>11</v>
      </c>
      <c r="O177" s="140">
        <v>0</v>
      </c>
      <c r="P177" s="140">
        <v>0</v>
      </c>
      <c r="Q177" s="140">
        <v>0</v>
      </c>
      <c r="R177" s="140">
        <v>0</v>
      </c>
      <c r="S177" s="140">
        <v>16</v>
      </c>
      <c r="T177" s="140">
        <v>155</v>
      </c>
      <c r="U177" s="140">
        <v>0</v>
      </c>
      <c r="V177" s="140">
        <f t="shared" si="32"/>
        <v>182</v>
      </c>
      <c r="X177" s="98">
        <v>0</v>
      </c>
      <c r="Y177" s="98">
        <v>0</v>
      </c>
      <c r="Z177" s="98">
        <v>0</v>
      </c>
      <c r="AA177" s="98">
        <v>0</v>
      </c>
      <c r="AB177" s="98">
        <v>0</v>
      </c>
      <c r="AC177" s="98">
        <v>0</v>
      </c>
      <c r="AD177" s="98">
        <v>0</v>
      </c>
      <c r="AE177" s="98">
        <v>0</v>
      </c>
      <c r="AF177" s="98">
        <f t="shared" si="44"/>
        <v>0</v>
      </c>
      <c r="AH177" s="98">
        <v>127</v>
      </c>
      <c r="AJ177" s="98">
        <v>0</v>
      </c>
      <c r="AK177" s="98">
        <v>0</v>
      </c>
      <c r="AL177" s="380">
        <v>0</v>
      </c>
      <c r="AN177" s="214">
        <f t="shared" si="34"/>
        <v>710059.5</v>
      </c>
      <c r="AO177" s="214">
        <f t="shared" si="35"/>
        <v>22126.5</v>
      </c>
      <c r="AP177" s="214">
        <f t="shared" si="36"/>
        <v>0</v>
      </c>
      <c r="AQ177" s="214">
        <f t="shared" si="37"/>
        <v>0</v>
      </c>
      <c r="AR177" s="214">
        <f t="shared" si="38"/>
        <v>0</v>
      </c>
      <c r="AS177" s="214">
        <f t="shared" si="39"/>
        <v>0</v>
      </c>
      <c r="AT177" s="214">
        <f t="shared" si="40"/>
        <v>64368</v>
      </c>
      <c r="AU177" s="214">
        <f t="shared" si="41"/>
        <v>623565</v>
      </c>
      <c r="AV177" s="214">
        <f t="shared" si="42"/>
        <v>0</v>
      </c>
      <c r="AW177" s="215">
        <f t="shared" si="43"/>
        <v>710059.5</v>
      </c>
    </row>
    <row r="178" spans="1:49" ht="15" customHeight="1">
      <c r="A178" s="140" t="s">
        <v>133</v>
      </c>
      <c r="B178" s="211" t="s">
        <v>187</v>
      </c>
      <c r="C178" s="140" t="str">
        <f t="shared" si="30"/>
        <v>Mount Lebanon Lutheran School-MPCP</v>
      </c>
      <c r="D178" s="140">
        <v>20</v>
      </c>
      <c r="E178" s="140">
        <v>0</v>
      </c>
      <c r="F178" s="140">
        <v>0</v>
      </c>
      <c r="G178" s="140">
        <v>0</v>
      </c>
      <c r="H178" s="140">
        <v>0</v>
      </c>
      <c r="I178" s="140">
        <v>21</v>
      </c>
      <c r="J178" s="140">
        <v>201</v>
      </c>
      <c r="K178" s="140">
        <v>0</v>
      </c>
      <c r="L178" s="140">
        <f t="shared" si="31"/>
        <v>242</v>
      </c>
      <c r="N178" s="140">
        <v>17</v>
      </c>
      <c r="O178" s="140">
        <v>0</v>
      </c>
      <c r="P178" s="140">
        <v>0</v>
      </c>
      <c r="Q178" s="140">
        <v>0</v>
      </c>
      <c r="R178" s="140">
        <v>0</v>
      </c>
      <c r="S178" s="140">
        <v>18</v>
      </c>
      <c r="T178" s="140">
        <v>196</v>
      </c>
      <c r="U178" s="140">
        <v>0</v>
      </c>
      <c r="V178" s="140">
        <f t="shared" si="32"/>
        <v>231</v>
      </c>
      <c r="X178" s="98">
        <v>0</v>
      </c>
      <c r="Y178" s="98">
        <v>0</v>
      </c>
      <c r="Z178" s="98">
        <v>0</v>
      </c>
      <c r="AA178" s="98">
        <v>0</v>
      </c>
      <c r="AB178" s="98">
        <v>0</v>
      </c>
      <c r="AC178" s="98">
        <v>0</v>
      </c>
      <c r="AD178" s="98">
        <v>4</v>
      </c>
      <c r="AE178" s="98">
        <v>0</v>
      </c>
      <c r="AF178" s="98">
        <f t="shared" si="44"/>
        <v>4</v>
      </c>
      <c r="AH178" s="98">
        <v>162</v>
      </c>
      <c r="AJ178" s="98">
        <v>61</v>
      </c>
      <c r="AK178" s="98">
        <v>0</v>
      </c>
      <c r="AL178" s="380">
        <v>19746.86000000002</v>
      </c>
      <c r="AN178" s="214">
        <f t="shared" si="34"/>
        <v>895117.5</v>
      </c>
      <c r="AO178" s="214">
        <f t="shared" si="35"/>
        <v>34195.5</v>
      </c>
      <c r="AP178" s="214">
        <f t="shared" si="36"/>
        <v>0</v>
      </c>
      <c r="AQ178" s="214">
        <f t="shared" si="37"/>
        <v>0</v>
      </c>
      <c r="AR178" s="214">
        <f t="shared" si="38"/>
        <v>0</v>
      </c>
      <c r="AS178" s="214">
        <f t="shared" si="39"/>
        <v>0</v>
      </c>
      <c r="AT178" s="214">
        <f t="shared" si="40"/>
        <v>72414</v>
      </c>
      <c r="AU178" s="214">
        <f t="shared" si="41"/>
        <v>788508</v>
      </c>
      <c r="AV178" s="214">
        <f t="shared" si="42"/>
        <v>0</v>
      </c>
      <c r="AW178" s="215">
        <f t="shared" si="43"/>
        <v>895117.5</v>
      </c>
    </row>
    <row r="179" spans="1:49" ht="15" customHeight="1">
      <c r="A179" s="140" t="s">
        <v>583</v>
      </c>
      <c r="B179" s="211" t="s">
        <v>96</v>
      </c>
      <c r="C179" s="140" t="str">
        <f t="shared" si="30"/>
        <v>Mount Olive Evangelical Lutheran School - Appleton-WPCP</v>
      </c>
      <c r="D179" s="140">
        <v>42</v>
      </c>
      <c r="E179" s="140">
        <v>0</v>
      </c>
      <c r="F179" s="140">
        <v>0</v>
      </c>
      <c r="G179" s="140">
        <v>0</v>
      </c>
      <c r="H179" s="140">
        <v>0</v>
      </c>
      <c r="I179" s="140">
        <v>26</v>
      </c>
      <c r="J179" s="140">
        <v>215</v>
      </c>
      <c r="K179" s="140">
        <v>0</v>
      </c>
      <c r="L179" s="140">
        <f t="shared" si="31"/>
        <v>283</v>
      </c>
      <c r="N179" s="140">
        <v>8</v>
      </c>
      <c r="O179" s="140">
        <v>0</v>
      </c>
      <c r="P179" s="140">
        <v>0</v>
      </c>
      <c r="Q179" s="140">
        <v>0</v>
      </c>
      <c r="R179" s="140">
        <v>0</v>
      </c>
      <c r="S179" s="140">
        <v>7</v>
      </c>
      <c r="T179" s="140">
        <v>51</v>
      </c>
      <c r="U179" s="140">
        <v>0</v>
      </c>
      <c r="V179" s="140">
        <f t="shared" si="32"/>
        <v>66</v>
      </c>
      <c r="X179" s="98">
        <v>0</v>
      </c>
      <c r="Y179" s="98">
        <v>0</v>
      </c>
      <c r="Z179" s="98">
        <v>0</v>
      </c>
      <c r="AA179" s="98">
        <v>0</v>
      </c>
      <c r="AB179" s="98">
        <v>0</v>
      </c>
      <c r="AC179" s="98">
        <v>0</v>
      </c>
      <c r="AD179" s="98">
        <v>0</v>
      </c>
      <c r="AE179" s="98">
        <v>0</v>
      </c>
      <c r="AF179" s="98">
        <f t="shared" si="44"/>
        <v>0</v>
      </c>
      <c r="AH179" s="98">
        <v>34</v>
      </c>
      <c r="AJ179" s="98">
        <v>0</v>
      </c>
      <c r="AK179" s="98">
        <v>0</v>
      </c>
      <c r="AL179" s="380">
        <v>0</v>
      </c>
      <c r="AN179" s="214">
        <f t="shared" si="34"/>
        <v>249426</v>
      </c>
      <c r="AO179" s="214">
        <f t="shared" si="35"/>
        <v>16092</v>
      </c>
      <c r="AP179" s="214">
        <f t="shared" si="36"/>
        <v>0</v>
      </c>
      <c r="AQ179" s="214">
        <f t="shared" si="37"/>
        <v>0</v>
      </c>
      <c r="AR179" s="214">
        <f t="shared" si="38"/>
        <v>0</v>
      </c>
      <c r="AS179" s="214">
        <f t="shared" si="39"/>
        <v>0</v>
      </c>
      <c r="AT179" s="214">
        <f t="shared" si="40"/>
        <v>28161</v>
      </c>
      <c r="AU179" s="214">
        <f t="shared" si="41"/>
        <v>205173</v>
      </c>
      <c r="AV179" s="214">
        <f t="shared" si="42"/>
        <v>0</v>
      </c>
      <c r="AW179" s="215">
        <f t="shared" si="43"/>
        <v>249426</v>
      </c>
    </row>
    <row r="180" spans="1:49" ht="15" customHeight="1">
      <c r="A180" s="140" t="s">
        <v>538</v>
      </c>
      <c r="B180" s="211" t="s">
        <v>187</v>
      </c>
      <c r="C180" s="140" t="str">
        <f t="shared" si="30"/>
        <v>Mount Olive Lutheran School - Milwaukee-MPCP</v>
      </c>
      <c r="D180" s="140">
        <v>12</v>
      </c>
      <c r="E180" s="140">
        <v>0</v>
      </c>
      <c r="F180" s="140">
        <v>0</v>
      </c>
      <c r="G180" s="140">
        <v>0</v>
      </c>
      <c r="H180" s="140">
        <v>0</v>
      </c>
      <c r="I180" s="140">
        <v>11</v>
      </c>
      <c r="J180" s="140">
        <v>147</v>
      </c>
      <c r="K180" s="140">
        <v>0</v>
      </c>
      <c r="L180" s="140">
        <f t="shared" si="31"/>
        <v>170</v>
      </c>
      <c r="N180" s="140">
        <v>9</v>
      </c>
      <c r="O180" s="140">
        <v>0</v>
      </c>
      <c r="P180" s="140">
        <v>0</v>
      </c>
      <c r="Q180" s="140">
        <v>0</v>
      </c>
      <c r="R180" s="140">
        <v>0</v>
      </c>
      <c r="S180" s="140">
        <v>8</v>
      </c>
      <c r="T180" s="140">
        <v>123</v>
      </c>
      <c r="U180" s="140">
        <v>0</v>
      </c>
      <c r="V180" s="140">
        <f t="shared" si="32"/>
        <v>140</v>
      </c>
      <c r="X180" s="98">
        <v>0</v>
      </c>
      <c r="Y180" s="98">
        <v>0</v>
      </c>
      <c r="Z180" s="98">
        <v>0</v>
      </c>
      <c r="AA180" s="98">
        <v>0</v>
      </c>
      <c r="AB180" s="98">
        <v>0</v>
      </c>
      <c r="AC180" s="98">
        <v>0</v>
      </c>
      <c r="AD180" s="98">
        <v>6</v>
      </c>
      <c r="AE180" s="98">
        <v>0</v>
      </c>
      <c r="AF180" s="98">
        <f t="shared" si="44"/>
        <v>6</v>
      </c>
      <c r="AH180" s="98">
        <v>100</v>
      </c>
      <c r="AJ180" s="98">
        <v>0</v>
      </c>
      <c r="AK180" s="98">
        <v>0</v>
      </c>
      <c r="AL180" s="380">
        <v>0</v>
      </c>
      <c r="AN180" s="214">
        <f t="shared" si="34"/>
        <v>545116.5</v>
      </c>
      <c r="AO180" s="214">
        <f t="shared" si="35"/>
        <v>18103.5</v>
      </c>
      <c r="AP180" s="214">
        <f t="shared" si="36"/>
        <v>0</v>
      </c>
      <c r="AQ180" s="214">
        <f t="shared" si="37"/>
        <v>0</v>
      </c>
      <c r="AR180" s="214">
        <f t="shared" si="38"/>
        <v>0</v>
      </c>
      <c r="AS180" s="214">
        <f t="shared" si="39"/>
        <v>0</v>
      </c>
      <c r="AT180" s="214">
        <f t="shared" si="40"/>
        <v>32184</v>
      </c>
      <c r="AU180" s="214">
        <f t="shared" si="41"/>
        <v>494829</v>
      </c>
      <c r="AV180" s="214">
        <f t="shared" si="42"/>
        <v>0</v>
      </c>
      <c r="AW180" s="215">
        <f t="shared" si="43"/>
        <v>545116.5</v>
      </c>
    </row>
    <row r="181" spans="1:49" ht="15" customHeight="1">
      <c r="A181" s="140" t="s">
        <v>538</v>
      </c>
      <c r="B181" s="211" t="s">
        <v>96</v>
      </c>
      <c r="C181" s="140" t="str">
        <f t="shared" si="30"/>
        <v>Mount Olive Lutheran School - Milwaukee-WPCP</v>
      </c>
      <c r="D181" s="140">
        <v>12</v>
      </c>
      <c r="E181" s="140">
        <v>0</v>
      </c>
      <c r="F181" s="140">
        <v>0</v>
      </c>
      <c r="G181" s="140">
        <v>0</v>
      </c>
      <c r="H181" s="140">
        <v>0</v>
      </c>
      <c r="I181" s="140">
        <v>11</v>
      </c>
      <c r="J181" s="140">
        <v>147</v>
      </c>
      <c r="K181" s="140">
        <v>0</v>
      </c>
      <c r="L181" s="140">
        <f t="shared" si="31"/>
        <v>170</v>
      </c>
      <c r="N181" s="140">
        <v>0</v>
      </c>
      <c r="O181" s="140">
        <v>0</v>
      </c>
      <c r="P181" s="140">
        <v>0</v>
      </c>
      <c r="Q181" s="140">
        <v>0</v>
      </c>
      <c r="R181" s="140">
        <v>0</v>
      </c>
      <c r="S181" s="140">
        <v>1</v>
      </c>
      <c r="T181" s="140">
        <v>4</v>
      </c>
      <c r="U181" s="140">
        <v>0</v>
      </c>
      <c r="V181" s="140">
        <f t="shared" si="32"/>
        <v>5</v>
      </c>
      <c r="X181" s="98">
        <v>0</v>
      </c>
      <c r="Y181" s="98">
        <v>0</v>
      </c>
      <c r="Z181" s="98">
        <v>0</v>
      </c>
      <c r="AA181" s="98">
        <v>0</v>
      </c>
      <c r="AB181" s="98">
        <v>0</v>
      </c>
      <c r="AC181" s="98">
        <v>0</v>
      </c>
      <c r="AD181" s="98">
        <v>0</v>
      </c>
      <c r="AE181" s="98">
        <v>0</v>
      </c>
      <c r="AF181" s="98">
        <f t="shared" si="44"/>
        <v>0</v>
      </c>
      <c r="AH181" s="98">
        <v>4</v>
      </c>
      <c r="AJ181" s="98">
        <v>0</v>
      </c>
      <c r="AK181" s="98">
        <v>0</v>
      </c>
      <c r="AL181" s="380">
        <v>0</v>
      </c>
      <c r="AN181" s="214">
        <f t="shared" si="34"/>
        <v>20115</v>
      </c>
      <c r="AO181" s="214">
        <f t="shared" si="35"/>
        <v>0</v>
      </c>
      <c r="AP181" s="214">
        <f t="shared" si="36"/>
        <v>0</v>
      </c>
      <c r="AQ181" s="214">
        <f t="shared" si="37"/>
        <v>0</v>
      </c>
      <c r="AR181" s="214">
        <f t="shared" si="38"/>
        <v>0</v>
      </c>
      <c r="AS181" s="214">
        <f t="shared" si="39"/>
        <v>0</v>
      </c>
      <c r="AT181" s="214">
        <f t="shared" si="40"/>
        <v>4023</v>
      </c>
      <c r="AU181" s="214">
        <f t="shared" si="41"/>
        <v>16092</v>
      </c>
      <c r="AV181" s="214">
        <f t="shared" si="42"/>
        <v>0</v>
      </c>
      <c r="AW181" s="215">
        <f t="shared" si="43"/>
        <v>20115</v>
      </c>
    </row>
    <row r="182" spans="1:49" ht="15" customHeight="1">
      <c r="A182" s="140" t="s">
        <v>343</v>
      </c>
      <c r="B182" s="211" t="s">
        <v>187</v>
      </c>
      <c r="C182" s="140" t="str">
        <f t="shared" si="30"/>
        <v>Nativity Jesuit Academy-MPCP</v>
      </c>
      <c r="D182" s="140">
        <v>25</v>
      </c>
      <c r="E182" s="140">
        <v>0</v>
      </c>
      <c r="F182" s="140">
        <v>0</v>
      </c>
      <c r="G182" s="140">
        <v>0</v>
      </c>
      <c r="H182" s="140">
        <v>0</v>
      </c>
      <c r="I182" s="140">
        <v>25</v>
      </c>
      <c r="J182" s="140">
        <v>202</v>
      </c>
      <c r="K182" s="140">
        <v>0</v>
      </c>
      <c r="L182" s="140">
        <f t="shared" si="31"/>
        <v>252</v>
      </c>
      <c r="N182" s="140">
        <v>21</v>
      </c>
      <c r="O182" s="140">
        <v>0</v>
      </c>
      <c r="P182" s="140">
        <v>0</v>
      </c>
      <c r="Q182" s="140">
        <v>0</v>
      </c>
      <c r="R182" s="140">
        <v>0</v>
      </c>
      <c r="S182" s="140">
        <v>24</v>
      </c>
      <c r="T182" s="140">
        <v>189</v>
      </c>
      <c r="U182" s="140">
        <v>0</v>
      </c>
      <c r="V182" s="140">
        <f t="shared" si="32"/>
        <v>234</v>
      </c>
      <c r="X182" s="98">
        <v>1</v>
      </c>
      <c r="Y182" s="98">
        <v>0</v>
      </c>
      <c r="Z182" s="98">
        <v>0</v>
      </c>
      <c r="AA182" s="98">
        <v>0</v>
      </c>
      <c r="AB182" s="98">
        <v>0</v>
      </c>
      <c r="AC182" s="98">
        <v>0</v>
      </c>
      <c r="AD182" s="98">
        <v>2</v>
      </c>
      <c r="AE182" s="98">
        <v>0</v>
      </c>
      <c r="AF182" s="98">
        <f t="shared" si="44"/>
        <v>3</v>
      </c>
      <c r="AH182" s="98">
        <v>162</v>
      </c>
      <c r="AJ182" s="98">
        <v>118</v>
      </c>
      <c r="AK182" s="98">
        <v>0</v>
      </c>
      <c r="AL182" s="380">
        <v>45748.59999999995</v>
      </c>
      <c r="AN182" s="214">
        <f t="shared" si="34"/>
        <v>899140.5</v>
      </c>
      <c r="AO182" s="214">
        <f t="shared" si="35"/>
        <v>42241.5</v>
      </c>
      <c r="AP182" s="214">
        <f t="shared" si="36"/>
        <v>0</v>
      </c>
      <c r="AQ182" s="214">
        <f t="shared" si="37"/>
        <v>0</v>
      </c>
      <c r="AR182" s="214">
        <f t="shared" si="38"/>
        <v>0</v>
      </c>
      <c r="AS182" s="214">
        <f t="shared" si="39"/>
        <v>0</v>
      </c>
      <c r="AT182" s="214">
        <f t="shared" si="40"/>
        <v>96552</v>
      </c>
      <c r="AU182" s="214">
        <f t="shared" si="41"/>
        <v>760347</v>
      </c>
      <c r="AV182" s="214">
        <f t="shared" si="42"/>
        <v>0</v>
      </c>
      <c r="AW182" s="215">
        <f t="shared" si="43"/>
        <v>899140.5</v>
      </c>
    </row>
    <row r="183" spans="1:49" ht="15" customHeight="1">
      <c r="A183" s="140" t="s">
        <v>343</v>
      </c>
      <c r="B183" s="211" t="s">
        <v>96</v>
      </c>
      <c r="C183" s="140" t="str">
        <f t="shared" si="30"/>
        <v>Nativity Jesuit Academy-WPCP</v>
      </c>
      <c r="D183" s="140">
        <v>25</v>
      </c>
      <c r="E183" s="140">
        <v>0</v>
      </c>
      <c r="F183" s="140">
        <v>0</v>
      </c>
      <c r="G183" s="140">
        <v>0</v>
      </c>
      <c r="H183" s="140">
        <v>0</v>
      </c>
      <c r="I183" s="140">
        <v>25</v>
      </c>
      <c r="J183" s="140">
        <v>202</v>
      </c>
      <c r="K183" s="140">
        <v>0</v>
      </c>
      <c r="L183" s="140">
        <f t="shared" si="31"/>
        <v>252</v>
      </c>
      <c r="N183" s="140">
        <v>1</v>
      </c>
      <c r="O183" s="140">
        <v>0</v>
      </c>
      <c r="P183" s="140">
        <v>0</v>
      </c>
      <c r="Q183" s="140">
        <v>0</v>
      </c>
      <c r="R183" s="140">
        <v>0</v>
      </c>
      <c r="S183" s="140">
        <v>1</v>
      </c>
      <c r="T183" s="140">
        <v>8</v>
      </c>
      <c r="U183" s="140">
        <v>0</v>
      </c>
      <c r="V183" s="140">
        <f t="shared" si="32"/>
        <v>10</v>
      </c>
      <c r="X183" s="98">
        <v>1</v>
      </c>
      <c r="Y183" s="98">
        <v>0</v>
      </c>
      <c r="Z183" s="98">
        <v>0</v>
      </c>
      <c r="AA183" s="98">
        <v>0</v>
      </c>
      <c r="AB183" s="98">
        <v>0</v>
      </c>
      <c r="AC183" s="98">
        <v>0</v>
      </c>
      <c r="AD183" s="98">
        <v>0</v>
      </c>
      <c r="AE183" s="98">
        <v>0</v>
      </c>
      <c r="AF183" s="98">
        <f t="shared" si="44"/>
        <v>1</v>
      </c>
      <c r="AH183" s="98">
        <v>7</v>
      </c>
      <c r="AJ183" s="98">
        <v>4</v>
      </c>
      <c r="AK183" s="98">
        <v>0</v>
      </c>
      <c r="AL183" s="380">
        <v>1550.8</v>
      </c>
      <c r="AN183" s="214">
        <f t="shared" si="34"/>
        <v>38218.5</v>
      </c>
      <c r="AO183" s="214">
        <f t="shared" si="35"/>
        <v>2011.5</v>
      </c>
      <c r="AP183" s="214">
        <f t="shared" si="36"/>
        <v>0</v>
      </c>
      <c r="AQ183" s="214">
        <f t="shared" si="37"/>
        <v>0</v>
      </c>
      <c r="AR183" s="214">
        <f t="shared" si="38"/>
        <v>0</v>
      </c>
      <c r="AS183" s="214">
        <f t="shared" si="39"/>
        <v>0</v>
      </c>
      <c r="AT183" s="214">
        <f t="shared" si="40"/>
        <v>4023</v>
      </c>
      <c r="AU183" s="214">
        <f t="shared" si="41"/>
        <v>32184</v>
      </c>
      <c r="AV183" s="214">
        <f t="shared" si="42"/>
        <v>0</v>
      </c>
      <c r="AW183" s="215">
        <f t="shared" si="43"/>
        <v>38218.5</v>
      </c>
    </row>
    <row r="184" spans="1:49" ht="15" customHeight="1">
      <c r="A184" s="140" t="s">
        <v>134</v>
      </c>
      <c r="B184" s="211" t="s">
        <v>187</v>
      </c>
      <c r="C184" s="140" t="str">
        <f t="shared" si="30"/>
        <v>New Testament Christian Academy-MPCP</v>
      </c>
      <c r="D184" s="140">
        <v>15</v>
      </c>
      <c r="E184" s="140">
        <v>0</v>
      </c>
      <c r="F184" s="140">
        <v>0</v>
      </c>
      <c r="G184" s="140">
        <v>0</v>
      </c>
      <c r="H184" s="140">
        <v>0</v>
      </c>
      <c r="I184" s="140">
        <v>30</v>
      </c>
      <c r="J184" s="140">
        <v>129</v>
      </c>
      <c r="K184" s="140">
        <v>0</v>
      </c>
      <c r="L184" s="140">
        <f t="shared" si="31"/>
        <v>174</v>
      </c>
      <c r="N184" s="140">
        <v>10</v>
      </c>
      <c r="O184" s="140">
        <v>0</v>
      </c>
      <c r="P184" s="140">
        <v>0</v>
      </c>
      <c r="Q184" s="140">
        <v>0</v>
      </c>
      <c r="R184" s="140">
        <v>0</v>
      </c>
      <c r="S184" s="140">
        <v>25</v>
      </c>
      <c r="T184" s="140">
        <v>111</v>
      </c>
      <c r="U184" s="140">
        <v>0</v>
      </c>
      <c r="V184" s="140">
        <f t="shared" si="32"/>
        <v>146</v>
      </c>
      <c r="X184" s="98">
        <v>0</v>
      </c>
      <c r="Y184" s="98">
        <v>0</v>
      </c>
      <c r="Z184" s="98">
        <v>0</v>
      </c>
      <c r="AA184" s="98">
        <v>0</v>
      </c>
      <c r="AB184" s="98">
        <v>0</v>
      </c>
      <c r="AC184" s="98">
        <v>1</v>
      </c>
      <c r="AD184" s="98">
        <v>1</v>
      </c>
      <c r="AE184" s="98">
        <v>0</v>
      </c>
      <c r="AF184" s="98">
        <f t="shared" si="44"/>
        <v>2</v>
      </c>
      <c r="AH184" s="98">
        <v>100</v>
      </c>
      <c r="AJ184" s="98">
        <v>15</v>
      </c>
      <c r="AK184" s="98">
        <v>0</v>
      </c>
      <c r="AL184" s="380">
        <v>5401.949999999998</v>
      </c>
      <c r="AN184" s="214">
        <f t="shared" si="34"/>
        <v>567243</v>
      </c>
      <c r="AO184" s="214">
        <f t="shared" si="35"/>
        <v>20115</v>
      </c>
      <c r="AP184" s="214">
        <f t="shared" si="36"/>
        <v>0</v>
      </c>
      <c r="AQ184" s="214">
        <f t="shared" si="37"/>
        <v>0</v>
      </c>
      <c r="AR184" s="214">
        <f t="shared" si="38"/>
        <v>0</v>
      </c>
      <c r="AS184" s="214">
        <f t="shared" si="39"/>
        <v>0</v>
      </c>
      <c r="AT184" s="214">
        <f t="shared" si="40"/>
        <v>100575</v>
      </c>
      <c r="AU184" s="214">
        <f t="shared" si="41"/>
        <v>446553</v>
      </c>
      <c r="AV184" s="214">
        <f t="shared" si="42"/>
        <v>0</v>
      </c>
      <c r="AW184" s="215">
        <f t="shared" si="43"/>
        <v>567243</v>
      </c>
    </row>
    <row r="185" spans="1:49" ht="15" customHeight="1">
      <c r="A185" s="140" t="s">
        <v>134</v>
      </c>
      <c r="B185" s="211" t="s">
        <v>96</v>
      </c>
      <c r="C185" s="140" t="str">
        <f t="shared" si="30"/>
        <v>New Testament Christian Academy-WPCP</v>
      </c>
      <c r="D185" s="140">
        <v>15</v>
      </c>
      <c r="E185" s="140">
        <v>0</v>
      </c>
      <c r="F185" s="140">
        <v>0</v>
      </c>
      <c r="G185" s="140">
        <v>0</v>
      </c>
      <c r="H185" s="140">
        <v>0</v>
      </c>
      <c r="I185" s="140">
        <v>30</v>
      </c>
      <c r="J185" s="140">
        <v>129</v>
      </c>
      <c r="K185" s="140">
        <v>0</v>
      </c>
      <c r="L185" s="140">
        <f t="shared" si="31"/>
        <v>174</v>
      </c>
      <c r="N185" s="140">
        <v>0</v>
      </c>
      <c r="O185" s="140">
        <v>0</v>
      </c>
      <c r="P185" s="140">
        <v>0</v>
      </c>
      <c r="Q185" s="140">
        <v>0</v>
      </c>
      <c r="R185" s="140">
        <v>0</v>
      </c>
      <c r="S185" s="140">
        <v>1</v>
      </c>
      <c r="T185" s="140">
        <v>6</v>
      </c>
      <c r="U185" s="140">
        <v>0</v>
      </c>
      <c r="V185" s="140">
        <f t="shared" si="32"/>
        <v>7</v>
      </c>
      <c r="X185" s="98">
        <v>0</v>
      </c>
      <c r="Y185" s="98">
        <v>0</v>
      </c>
      <c r="Z185" s="98">
        <v>0</v>
      </c>
      <c r="AA185" s="98">
        <v>0</v>
      </c>
      <c r="AB185" s="98">
        <v>0</v>
      </c>
      <c r="AC185" s="98">
        <v>0</v>
      </c>
      <c r="AD185" s="98">
        <v>0</v>
      </c>
      <c r="AE185" s="98">
        <v>0</v>
      </c>
      <c r="AF185" s="98">
        <f t="shared" si="44"/>
        <v>0</v>
      </c>
      <c r="AH185" s="98">
        <v>7</v>
      </c>
      <c r="AJ185" s="98">
        <v>2</v>
      </c>
      <c r="AK185" s="98">
        <v>0</v>
      </c>
      <c r="AL185" s="380">
        <v>775.4</v>
      </c>
      <c r="AN185" s="214">
        <f t="shared" si="34"/>
        <v>28161</v>
      </c>
      <c r="AO185" s="214">
        <f t="shared" si="35"/>
        <v>0</v>
      </c>
      <c r="AP185" s="214">
        <f t="shared" si="36"/>
        <v>0</v>
      </c>
      <c r="AQ185" s="214">
        <f t="shared" si="37"/>
        <v>0</v>
      </c>
      <c r="AR185" s="214">
        <f t="shared" si="38"/>
        <v>0</v>
      </c>
      <c r="AS185" s="214">
        <f t="shared" si="39"/>
        <v>0</v>
      </c>
      <c r="AT185" s="214">
        <f t="shared" si="40"/>
        <v>4023</v>
      </c>
      <c r="AU185" s="214">
        <f t="shared" si="41"/>
        <v>24138</v>
      </c>
      <c r="AV185" s="214">
        <f t="shared" si="42"/>
        <v>0</v>
      </c>
      <c r="AW185" s="215">
        <f t="shared" si="43"/>
        <v>28161</v>
      </c>
    </row>
    <row r="186" spans="1:49" ht="15" customHeight="1">
      <c r="A186" s="140" t="s">
        <v>135</v>
      </c>
      <c r="B186" s="211" t="s">
        <v>96</v>
      </c>
      <c r="C186" s="140" t="str">
        <f t="shared" si="30"/>
        <v>Newman Catholic Schools-WPCP</v>
      </c>
      <c r="D186" s="140">
        <v>0</v>
      </c>
      <c r="E186" s="140">
        <v>0</v>
      </c>
      <c r="F186" s="140">
        <v>0</v>
      </c>
      <c r="G186" s="140">
        <v>0</v>
      </c>
      <c r="H186" s="140">
        <v>0</v>
      </c>
      <c r="I186" s="140">
        <v>44</v>
      </c>
      <c r="J186" s="140">
        <v>363</v>
      </c>
      <c r="K186" s="140">
        <v>143</v>
      </c>
      <c r="L186" s="140">
        <f t="shared" si="31"/>
        <v>550</v>
      </c>
      <c r="N186" s="140">
        <v>0</v>
      </c>
      <c r="O186" s="140">
        <v>0</v>
      </c>
      <c r="P186" s="140">
        <v>0</v>
      </c>
      <c r="Q186" s="140">
        <v>0</v>
      </c>
      <c r="R186" s="140">
        <v>0</v>
      </c>
      <c r="S186" s="140">
        <v>12</v>
      </c>
      <c r="T186" s="140">
        <v>81</v>
      </c>
      <c r="U186" s="140">
        <v>26</v>
      </c>
      <c r="V186" s="140">
        <f t="shared" si="32"/>
        <v>119</v>
      </c>
      <c r="X186" s="98">
        <v>0</v>
      </c>
      <c r="Y186" s="98">
        <v>0</v>
      </c>
      <c r="Z186" s="98">
        <v>0</v>
      </c>
      <c r="AA186" s="98">
        <v>0</v>
      </c>
      <c r="AB186" s="98">
        <v>0</v>
      </c>
      <c r="AC186" s="98">
        <v>0</v>
      </c>
      <c r="AD186" s="98">
        <v>0</v>
      </c>
      <c r="AE186" s="98">
        <v>0</v>
      </c>
      <c r="AF186" s="98">
        <f t="shared" si="44"/>
        <v>0</v>
      </c>
      <c r="AH186" s="98">
        <v>77</v>
      </c>
      <c r="AJ186" s="98">
        <v>0</v>
      </c>
      <c r="AK186" s="98">
        <v>0</v>
      </c>
      <c r="AL186" s="380">
        <v>0</v>
      </c>
      <c r="AN186" s="214">
        <f t="shared" si="34"/>
        <v>487135</v>
      </c>
      <c r="AO186" s="214">
        <f t="shared" si="35"/>
        <v>0</v>
      </c>
      <c r="AP186" s="214">
        <f t="shared" si="36"/>
        <v>0</v>
      </c>
      <c r="AQ186" s="214">
        <f t="shared" si="37"/>
        <v>0</v>
      </c>
      <c r="AR186" s="214">
        <f t="shared" si="38"/>
        <v>0</v>
      </c>
      <c r="AS186" s="214">
        <f t="shared" si="39"/>
        <v>0</v>
      </c>
      <c r="AT186" s="214">
        <f t="shared" si="40"/>
        <v>48276</v>
      </c>
      <c r="AU186" s="214">
        <f t="shared" si="41"/>
        <v>325863</v>
      </c>
      <c r="AV186" s="214">
        <f t="shared" si="42"/>
        <v>112996</v>
      </c>
      <c r="AW186" s="215">
        <f t="shared" si="43"/>
        <v>487135</v>
      </c>
    </row>
    <row r="187" spans="1:49" ht="15" customHeight="1">
      <c r="A187" s="140" t="s">
        <v>539</v>
      </c>
      <c r="B187" s="211" t="s">
        <v>96</v>
      </c>
      <c r="C187" s="140" t="str">
        <f t="shared" si="30"/>
        <v>Northeastern Wisconsin Lutheran High School - Green Bay-WPCP</v>
      </c>
      <c r="D187" s="140">
        <v>0</v>
      </c>
      <c r="E187" s="140">
        <v>0</v>
      </c>
      <c r="F187" s="140">
        <v>0</v>
      </c>
      <c r="G187" s="140">
        <v>0</v>
      </c>
      <c r="H187" s="140">
        <v>0</v>
      </c>
      <c r="I187" s="140">
        <v>0</v>
      </c>
      <c r="J187" s="140">
        <v>0</v>
      </c>
      <c r="K187" s="140">
        <v>135</v>
      </c>
      <c r="L187" s="140">
        <f t="shared" si="31"/>
        <v>135</v>
      </c>
      <c r="N187" s="140">
        <v>0</v>
      </c>
      <c r="O187" s="140">
        <v>0</v>
      </c>
      <c r="P187" s="140">
        <v>0</v>
      </c>
      <c r="Q187" s="140">
        <v>0</v>
      </c>
      <c r="R187" s="140">
        <v>0</v>
      </c>
      <c r="S187" s="140">
        <v>0</v>
      </c>
      <c r="T187" s="140">
        <v>0</v>
      </c>
      <c r="U187" s="140">
        <v>27</v>
      </c>
      <c r="V187" s="140">
        <f t="shared" si="32"/>
        <v>27</v>
      </c>
      <c r="X187" s="98">
        <v>0</v>
      </c>
      <c r="Y187" s="98">
        <v>0</v>
      </c>
      <c r="Z187" s="98">
        <v>0</v>
      </c>
      <c r="AA187" s="98">
        <v>0</v>
      </c>
      <c r="AB187" s="98">
        <v>0</v>
      </c>
      <c r="AC187" s="98">
        <v>0</v>
      </c>
      <c r="AD187" s="98">
        <v>0</v>
      </c>
      <c r="AE187" s="98">
        <v>0</v>
      </c>
      <c r="AF187" s="98">
        <f t="shared" si="44"/>
        <v>0</v>
      </c>
      <c r="AH187" s="98">
        <v>24</v>
      </c>
      <c r="AJ187" s="98">
        <v>0</v>
      </c>
      <c r="AK187" s="98">
        <v>0</v>
      </c>
      <c r="AL187" s="380">
        <v>0</v>
      </c>
      <c r="AN187" s="214">
        <f t="shared" si="34"/>
        <v>117342</v>
      </c>
      <c r="AO187" s="214">
        <f t="shared" si="35"/>
        <v>0</v>
      </c>
      <c r="AP187" s="214">
        <f t="shared" si="36"/>
        <v>0</v>
      </c>
      <c r="AQ187" s="214">
        <f t="shared" si="37"/>
        <v>0</v>
      </c>
      <c r="AR187" s="214">
        <f t="shared" si="38"/>
        <v>0</v>
      </c>
      <c r="AS187" s="214">
        <f t="shared" si="39"/>
        <v>0</v>
      </c>
      <c r="AT187" s="214">
        <f t="shared" si="40"/>
        <v>0</v>
      </c>
      <c r="AU187" s="214">
        <f t="shared" si="41"/>
        <v>0</v>
      </c>
      <c r="AV187" s="214">
        <f t="shared" si="42"/>
        <v>117342</v>
      </c>
      <c r="AW187" s="215">
        <f t="shared" si="43"/>
        <v>117342</v>
      </c>
    </row>
    <row r="188" spans="1:49" ht="15" customHeight="1">
      <c r="A188" s="140" t="s">
        <v>453</v>
      </c>
      <c r="B188" s="211" t="s">
        <v>96</v>
      </c>
      <c r="C188" s="140" t="str">
        <f t="shared" si="30"/>
        <v>Northland Lutheran High School-WPCP</v>
      </c>
      <c r="D188" s="140">
        <v>0</v>
      </c>
      <c r="E188" s="140">
        <v>0</v>
      </c>
      <c r="F188" s="140">
        <v>0</v>
      </c>
      <c r="G188" s="140">
        <v>0</v>
      </c>
      <c r="H188" s="140">
        <v>0</v>
      </c>
      <c r="I188" s="140">
        <v>0</v>
      </c>
      <c r="J188" s="140">
        <v>0</v>
      </c>
      <c r="K188" s="140">
        <v>62</v>
      </c>
      <c r="L188" s="140">
        <f t="shared" si="31"/>
        <v>62</v>
      </c>
      <c r="N188" s="140">
        <v>0</v>
      </c>
      <c r="O188" s="140">
        <v>0</v>
      </c>
      <c r="P188" s="140">
        <v>0</v>
      </c>
      <c r="Q188" s="140">
        <v>0</v>
      </c>
      <c r="R188" s="140">
        <v>0</v>
      </c>
      <c r="S188" s="140">
        <v>0</v>
      </c>
      <c r="T188" s="140">
        <v>0</v>
      </c>
      <c r="U188" s="140">
        <v>8</v>
      </c>
      <c r="V188" s="140">
        <f t="shared" si="32"/>
        <v>8</v>
      </c>
      <c r="X188" s="98">
        <v>0</v>
      </c>
      <c r="Y188" s="98">
        <v>0</v>
      </c>
      <c r="Z188" s="98">
        <v>0</v>
      </c>
      <c r="AA188" s="98">
        <v>0</v>
      </c>
      <c r="AB188" s="98">
        <v>0</v>
      </c>
      <c r="AC188" s="98">
        <v>0</v>
      </c>
      <c r="AD188" s="98">
        <v>0</v>
      </c>
      <c r="AE188" s="98">
        <v>0</v>
      </c>
      <c r="AF188" s="98">
        <f t="shared" si="44"/>
        <v>0</v>
      </c>
      <c r="AH188" s="98">
        <v>6</v>
      </c>
      <c r="AJ188" s="98">
        <v>0</v>
      </c>
      <c r="AK188" s="98">
        <v>0</v>
      </c>
      <c r="AL188" s="380">
        <v>0</v>
      </c>
      <c r="AN188" s="214">
        <f t="shared" si="34"/>
        <v>34768</v>
      </c>
      <c r="AO188" s="214">
        <f t="shared" si="35"/>
        <v>0</v>
      </c>
      <c r="AP188" s="214">
        <f t="shared" si="36"/>
        <v>0</v>
      </c>
      <c r="AQ188" s="214">
        <f t="shared" si="37"/>
        <v>0</v>
      </c>
      <c r="AR188" s="214">
        <f t="shared" si="38"/>
        <v>0</v>
      </c>
      <c r="AS188" s="214">
        <f t="shared" si="39"/>
        <v>0</v>
      </c>
      <c r="AT188" s="214">
        <f t="shared" si="40"/>
        <v>0</v>
      </c>
      <c r="AU188" s="214">
        <f t="shared" si="41"/>
        <v>0</v>
      </c>
      <c r="AV188" s="214">
        <f t="shared" si="42"/>
        <v>34768</v>
      </c>
      <c r="AW188" s="215">
        <f t="shared" si="43"/>
        <v>34768</v>
      </c>
    </row>
    <row r="189" spans="1:49" ht="15" customHeight="1">
      <c r="A189" s="140" t="s">
        <v>232</v>
      </c>
      <c r="B189" s="211" t="s">
        <v>187</v>
      </c>
      <c r="C189" s="140" t="str">
        <f t="shared" si="30"/>
        <v>Northwest Catholic School-MPCP</v>
      </c>
      <c r="D189" s="140">
        <v>0</v>
      </c>
      <c r="E189" s="140">
        <v>11</v>
      </c>
      <c r="F189" s="140">
        <v>0</v>
      </c>
      <c r="G189" s="140">
        <v>0</v>
      </c>
      <c r="H189" s="140">
        <v>0</v>
      </c>
      <c r="I189" s="140">
        <v>14</v>
      </c>
      <c r="J189" s="140">
        <v>146</v>
      </c>
      <c r="K189" s="140">
        <v>0</v>
      </c>
      <c r="L189" s="140">
        <f t="shared" si="31"/>
        <v>171</v>
      </c>
      <c r="N189" s="140">
        <v>0</v>
      </c>
      <c r="O189" s="140">
        <v>11</v>
      </c>
      <c r="P189" s="140">
        <v>0</v>
      </c>
      <c r="Q189" s="140">
        <v>0</v>
      </c>
      <c r="R189" s="140">
        <v>0</v>
      </c>
      <c r="S189" s="140">
        <v>12</v>
      </c>
      <c r="T189" s="140">
        <v>136</v>
      </c>
      <c r="U189" s="140">
        <v>0</v>
      </c>
      <c r="V189" s="140">
        <f t="shared" si="32"/>
        <v>159</v>
      </c>
      <c r="X189" s="98">
        <v>0</v>
      </c>
      <c r="Y189" s="98">
        <v>0</v>
      </c>
      <c r="Z189" s="98">
        <v>0</v>
      </c>
      <c r="AA189" s="98">
        <v>0</v>
      </c>
      <c r="AB189" s="98">
        <v>0</v>
      </c>
      <c r="AC189" s="98">
        <v>0</v>
      </c>
      <c r="AD189" s="98">
        <v>0</v>
      </c>
      <c r="AE189" s="98">
        <v>0</v>
      </c>
      <c r="AF189" s="98">
        <f t="shared" si="44"/>
        <v>0</v>
      </c>
      <c r="AH189" s="98">
        <v>113</v>
      </c>
      <c r="AJ189" s="98">
        <v>29</v>
      </c>
      <c r="AK189" s="98">
        <v>0</v>
      </c>
      <c r="AL189" s="380">
        <v>9563.26</v>
      </c>
      <c r="AN189" s="214">
        <f t="shared" si="34"/>
        <v>621955.8</v>
      </c>
      <c r="AO189" s="214">
        <f t="shared" si="35"/>
        <v>0</v>
      </c>
      <c r="AP189" s="214">
        <f t="shared" si="36"/>
        <v>26551.8</v>
      </c>
      <c r="AQ189" s="214">
        <f t="shared" si="37"/>
        <v>0</v>
      </c>
      <c r="AR189" s="214">
        <f t="shared" si="38"/>
        <v>0</v>
      </c>
      <c r="AS189" s="214">
        <f t="shared" si="39"/>
        <v>0</v>
      </c>
      <c r="AT189" s="214">
        <f t="shared" si="40"/>
        <v>48276</v>
      </c>
      <c r="AU189" s="214">
        <f t="shared" si="41"/>
        <v>547128</v>
      </c>
      <c r="AV189" s="214">
        <f t="shared" si="42"/>
        <v>0</v>
      </c>
      <c r="AW189" s="215">
        <f t="shared" si="43"/>
        <v>621955.8</v>
      </c>
    </row>
    <row r="190" spans="1:49" ht="15" customHeight="1">
      <c r="A190" s="140" t="s">
        <v>232</v>
      </c>
      <c r="B190" s="211" t="s">
        <v>96</v>
      </c>
      <c r="C190" s="140" t="str">
        <f t="shared" si="30"/>
        <v>Northwest Catholic School-WPCP</v>
      </c>
      <c r="D190" s="140">
        <v>0</v>
      </c>
      <c r="E190" s="140">
        <v>11</v>
      </c>
      <c r="F190" s="140">
        <v>0</v>
      </c>
      <c r="G190" s="140">
        <v>0</v>
      </c>
      <c r="H190" s="140">
        <v>0</v>
      </c>
      <c r="I190" s="140">
        <v>14</v>
      </c>
      <c r="J190" s="140">
        <v>146</v>
      </c>
      <c r="K190" s="140">
        <v>0</v>
      </c>
      <c r="L190" s="140">
        <f t="shared" si="31"/>
        <v>171</v>
      </c>
      <c r="N190" s="140">
        <v>0</v>
      </c>
      <c r="O190" s="140">
        <v>0</v>
      </c>
      <c r="P190" s="140">
        <v>0</v>
      </c>
      <c r="Q190" s="140">
        <v>0</v>
      </c>
      <c r="R190" s="140">
        <v>0</v>
      </c>
      <c r="S190" s="140">
        <v>1</v>
      </c>
      <c r="T190" s="140">
        <v>4</v>
      </c>
      <c r="U190" s="140">
        <v>0</v>
      </c>
      <c r="V190" s="140">
        <f t="shared" si="32"/>
        <v>5</v>
      </c>
      <c r="X190" s="98">
        <v>0</v>
      </c>
      <c r="Y190" s="98">
        <v>0</v>
      </c>
      <c r="Z190" s="98">
        <v>0</v>
      </c>
      <c r="AA190" s="98">
        <v>0</v>
      </c>
      <c r="AB190" s="98">
        <v>0</v>
      </c>
      <c r="AC190" s="98">
        <v>0</v>
      </c>
      <c r="AD190" s="98">
        <v>0</v>
      </c>
      <c r="AE190" s="98">
        <v>0</v>
      </c>
      <c r="AF190" s="98">
        <f t="shared" si="44"/>
        <v>0</v>
      </c>
      <c r="AH190" s="98">
        <v>3</v>
      </c>
      <c r="AJ190" s="98">
        <v>0</v>
      </c>
      <c r="AK190" s="98">
        <v>0</v>
      </c>
      <c r="AL190" s="380">
        <v>0</v>
      </c>
      <c r="AN190" s="214">
        <f t="shared" si="34"/>
        <v>20115</v>
      </c>
      <c r="AO190" s="214">
        <f t="shared" si="35"/>
        <v>0</v>
      </c>
      <c r="AP190" s="214">
        <f t="shared" si="36"/>
        <v>0</v>
      </c>
      <c r="AQ190" s="214">
        <f t="shared" si="37"/>
        <v>0</v>
      </c>
      <c r="AR190" s="214">
        <f t="shared" si="38"/>
        <v>0</v>
      </c>
      <c r="AS190" s="214">
        <f t="shared" si="39"/>
        <v>0</v>
      </c>
      <c r="AT190" s="214">
        <f t="shared" si="40"/>
        <v>4023</v>
      </c>
      <c r="AU190" s="214">
        <f t="shared" si="41"/>
        <v>16092</v>
      </c>
      <c r="AV190" s="214">
        <f t="shared" si="42"/>
        <v>0</v>
      </c>
      <c r="AW190" s="215">
        <f t="shared" si="43"/>
        <v>20115</v>
      </c>
    </row>
    <row r="191" spans="1:49" ht="15" customHeight="1">
      <c r="A191" s="140" t="s">
        <v>233</v>
      </c>
      <c r="B191" s="211" t="s">
        <v>187</v>
      </c>
      <c r="C191" s="140" t="str">
        <f t="shared" si="30"/>
        <v>Northwest Lutheran School-MPCP</v>
      </c>
      <c r="D191" s="140">
        <v>0</v>
      </c>
      <c r="E191" s="140">
        <v>23</v>
      </c>
      <c r="F191" s="140">
        <v>0</v>
      </c>
      <c r="G191" s="140">
        <v>0</v>
      </c>
      <c r="H191" s="140">
        <v>0</v>
      </c>
      <c r="I191" s="140">
        <v>21</v>
      </c>
      <c r="J191" s="140">
        <v>198</v>
      </c>
      <c r="K191" s="140">
        <v>0</v>
      </c>
      <c r="L191" s="140">
        <f t="shared" si="31"/>
        <v>242</v>
      </c>
      <c r="N191" s="140">
        <v>0</v>
      </c>
      <c r="O191" s="140">
        <v>22</v>
      </c>
      <c r="P191" s="140">
        <v>0</v>
      </c>
      <c r="Q191" s="140">
        <v>0</v>
      </c>
      <c r="R191" s="140">
        <v>0</v>
      </c>
      <c r="S191" s="140">
        <v>19</v>
      </c>
      <c r="T191" s="140">
        <v>190</v>
      </c>
      <c r="U191" s="140">
        <v>0</v>
      </c>
      <c r="V191" s="140">
        <f t="shared" si="32"/>
        <v>231</v>
      </c>
      <c r="X191" s="98">
        <v>0</v>
      </c>
      <c r="Y191" s="98">
        <v>0</v>
      </c>
      <c r="Z191" s="98">
        <v>0</v>
      </c>
      <c r="AA191" s="98">
        <v>0</v>
      </c>
      <c r="AB191" s="98">
        <v>0</v>
      </c>
      <c r="AC191" s="98">
        <v>0</v>
      </c>
      <c r="AD191" s="98">
        <v>1</v>
      </c>
      <c r="AE191" s="98">
        <v>0</v>
      </c>
      <c r="AF191" s="98">
        <f t="shared" si="44"/>
        <v>1</v>
      </c>
      <c r="AH191" s="98">
        <v>164</v>
      </c>
      <c r="AJ191" s="98">
        <v>94</v>
      </c>
      <c r="AK191" s="98">
        <v>0</v>
      </c>
      <c r="AL191" s="380">
        <v>33161.270000000026</v>
      </c>
      <c r="AN191" s="214">
        <f t="shared" si="34"/>
        <v>893910.6</v>
      </c>
      <c r="AO191" s="214">
        <f t="shared" si="35"/>
        <v>0</v>
      </c>
      <c r="AP191" s="214">
        <f t="shared" si="36"/>
        <v>53103.6</v>
      </c>
      <c r="AQ191" s="214">
        <f t="shared" si="37"/>
        <v>0</v>
      </c>
      <c r="AR191" s="214">
        <f t="shared" si="38"/>
        <v>0</v>
      </c>
      <c r="AS191" s="214">
        <f t="shared" si="39"/>
        <v>0</v>
      </c>
      <c r="AT191" s="214">
        <f t="shared" si="40"/>
        <v>76437</v>
      </c>
      <c r="AU191" s="214">
        <f t="shared" si="41"/>
        <v>764370</v>
      </c>
      <c r="AV191" s="214">
        <f t="shared" si="42"/>
        <v>0</v>
      </c>
      <c r="AW191" s="215">
        <f t="shared" si="43"/>
        <v>893910.6</v>
      </c>
    </row>
    <row r="192" spans="1:49" ht="15" customHeight="1">
      <c r="A192" s="140" t="s">
        <v>136</v>
      </c>
      <c r="B192" s="211" t="s">
        <v>96</v>
      </c>
      <c r="C192" s="140" t="str">
        <f t="shared" si="30"/>
        <v>Notre Dame de la Baie Academy-WPCP</v>
      </c>
      <c r="D192" s="140">
        <v>0</v>
      </c>
      <c r="E192" s="140">
        <v>0</v>
      </c>
      <c r="F192" s="140">
        <v>0</v>
      </c>
      <c r="G192" s="140">
        <v>0</v>
      </c>
      <c r="H192" s="140">
        <v>0</v>
      </c>
      <c r="I192" s="140">
        <v>0</v>
      </c>
      <c r="J192" s="140">
        <v>0</v>
      </c>
      <c r="K192" s="140">
        <v>784</v>
      </c>
      <c r="L192" s="140">
        <f t="shared" si="31"/>
        <v>784</v>
      </c>
      <c r="N192" s="140">
        <v>0</v>
      </c>
      <c r="O192" s="140">
        <v>0</v>
      </c>
      <c r="P192" s="140">
        <v>0</v>
      </c>
      <c r="Q192" s="140">
        <v>0</v>
      </c>
      <c r="R192" s="140">
        <v>0</v>
      </c>
      <c r="S192" s="140">
        <v>0</v>
      </c>
      <c r="T192" s="140">
        <v>0</v>
      </c>
      <c r="U192" s="140">
        <v>169</v>
      </c>
      <c r="V192" s="140">
        <f t="shared" si="32"/>
        <v>169</v>
      </c>
      <c r="X192" s="98">
        <v>0</v>
      </c>
      <c r="Y192" s="98">
        <v>0</v>
      </c>
      <c r="Z192" s="98">
        <v>0</v>
      </c>
      <c r="AA192" s="98">
        <v>0</v>
      </c>
      <c r="AB192" s="98">
        <v>0</v>
      </c>
      <c r="AC192" s="98">
        <v>0</v>
      </c>
      <c r="AD192" s="98">
        <v>0</v>
      </c>
      <c r="AE192" s="98">
        <v>0</v>
      </c>
      <c r="AF192" s="98">
        <f t="shared" si="44"/>
        <v>0</v>
      </c>
      <c r="AH192" s="98">
        <v>141</v>
      </c>
      <c r="AJ192" s="98">
        <v>0</v>
      </c>
      <c r="AK192" s="98">
        <v>0</v>
      </c>
      <c r="AL192" s="380">
        <v>0</v>
      </c>
      <c r="AN192" s="214">
        <f t="shared" si="34"/>
        <v>734474</v>
      </c>
      <c r="AO192" s="214">
        <f t="shared" si="35"/>
        <v>0</v>
      </c>
      <c r="AP192" s="214">
        <f t="shared" si="36"/>
        <v>0</v>
      </c>
      <c r="AQ192" s="214">
        <f t="shared" si="37"/>
        <v>0</v>
      </c>
      <c r="AR192" s="214">
        <f t="shared" si="38"/>
        <v>0</v>
      </c>
      <c r="AS192" s="214">
        <f t="shared" si="39"/>
        <v>0</v>
      </c>
      <c r="AT192" s="214">
        <f t="shared" si="40"/>
        <v>0</v>
      </c>
      <c r="AU192" s="214">
        <f t="shared" si="41"/>
        <v>0</v>
      </c>
      <c r="AV192" s="214">
        <f t="shared" si="42"/>
        <v>734474</v>
      </c>
      <c r="AW192" s="215">
        <f t="shared" si="43"/>
        <v>734474</v>
      </c>
    </row>
    <row r="193" spans="1:49" ht="15" customHeight="1">
      <c r="A193" s="140" t="s">
        <v>317</v>
      </c>
      <c r="B193" s="211" t="s">
        <v>187</v>
      </c>
      <c r="C193" s="140" t="str">
        <f t="shared" si="30"/>
        <v>Notre Dame School of Milwaukee-MPCP</v>
      </c>
      <c r="D193" s="140">
        <v>0</v>
      </c>
      <c r="E193" s="140">
        <v>48</v>
      </c>
      <c r="F193" s="140">
        <v>0</v>
      </c>
      <c r="G193" s="140">
        <v>0</v>
      </c>
      <c r="H193" s="140">
        <v>0</v>
      </c>
      <c r="I193" s="140">
        <v>38</v>
      </c>
      <c r="J193" s="140">
        <v>445</v>
      </c>
      <c r="K193" s="140">
        <v>0</v>
      </c>
      <c r="L193" s="140">
        <f t="shared" si="31"/>
        <v>531</v>
      </c>
      <c r="N193" s="140">
        <v>0</v>
      </c>
      <c r="O193" s="140">
        <v>40</v>
      </c>
      <c r="P193" s="140">
        <v>0</v>
      </c>
      <c r="Q193" s="140">
        <v>0</v>
      </c>
      <c r="R193" s="140">
        <v>0</v>
      </c>
      <c r="S193" s="140">
        <v>32</v>
      </c>
      <c r="T193" s="140">
        <v>418</v>
      </c>
      <c r="U193" s="140">
        <v>0</v>
      </c>
      <c r="V193" s="140">
        <f t="shared" si="32"/>
        <v>490</v>
      </c>
      <c r="X193" s="98">
        <v>0</v>
      </c>
      <c r="Y193" s="98">
        <v>0</v>
      </c>
      <c r="Z193" s="98">
        <v>0</v>
      </c>
      <c r="AA193" s="98">
        <v>0</v>
      </c>
      <c r="AB193" s="98">
        <v>0</v>
      </c>
      <c r="AC193" s="98">
        <v>0</v>
      </c>
      <c r="AD193" s="98">
        <v>16</v>
      </c>
      <c r="AE193" s="98">
        <v>0</v>
      </c>
      <c r="AF193" s="98">
        <f t="shared" si="44"/>
        <v>16</v>
      </c>
      <c r="AH193" s="98">
        <v>345</v>
      </c>
      <c r="AJ193" s="98">
        <v>198</v>
      </c>
      <c r="AK193" s="98">
        <v>0</v>
      </c>
      <c r="AL193" s="380">
        <v>75498.09999999973</v>
      </c>
      <c r="AN193" s="214">
        <f t="shared" si="34"/>
        <v>1906902</v>
      </c>
      <c r="AO193" s="214">
        <f t="shared" si="35"/>
        <v>0</v>
      </c>
      <c r="AP193" s="214">
        <f t="shared" si="36"/>
        <v>96552</v>
      </c>
      <c r="AQ193" s="214">
        <f t="shared" si="37"/>
        <v>0</v>
      </c>
      <c r="AR193" s="214">
        <f t="shared" si="38"/>
        <v>0</v>
      </c>
      <c r="AS193" s="214">
        <f t="shared" si="39"/>
        <v>0</v>
      </c>
      <c r="AT193" s="214">
        <f t="shared" si="40"/>
        <v>128736</v>
      </c>
      <c r="AU193" s="214">
        <f t="shared" si="41"/>
        <v>1681614</v>
      </c>
      <c r="AV193" s="214">
        <f t="shared" si="42"/>
        <v>0</v>
      </c>
      <c r="AW193" s="215">
        <f t="shared" si="43"/>
        <v>1906902</v>
      </c>
    </row>
    <row r="194" spans="1:49" ht="15" customHeight="1">
      <c r="A194" s="140" t="s">
        <v>317</v>
      </c>
      <c r="B194" s="211" t="s">
        <v>96</v>
      </c>
      <c r="C194" s="140" t="str">
        <f t="shared" si="30"/>
        <v>Notre Dame School of Milwaukee-WPCP</v>
      </c>
      <c r="D194" s="140">
        <v>0</v>
      </c>
      <c r="E194" s="140">
        <v>48</v>
      </c>
      <c r="F194" s="140">
        <v>0</v>
      </c>
      <c r="G194" s="140">
        <v>0</v>
      </c>
      <c r="H194" s="140">
        <v>0</v>
      </c>
      <c r="I194" s="140">
        <v>38</v>
      </c>
      <c r="J194" s="140">
        <v>445</v>
      </c>
      <c r="K194" s="140">
        <v>0</v>
      </c>
      <c r="L194" s="140">
        <f t="shared" si="31"/>
        <v>531</v>
      </c>
      <c r="N194" s="140">
        <v>0</v>
      </c>
      <c r="O194" s="140">
        <v>6</v>
      </c>
      <c r="P194" s="140">
        <v>0</v>
      </c>
      <c r="Q194" s="140">
        <v>0</v>
      </c>
      <c r="R194" s="140">
        <v>0</v>
      </c>
      <c r="S194" s="140">
        <v>2</v>
      </c>
      <c r="T194" s="140">
        <v>14</v>
      </c>
      <c r="U194" s="140">
        <v>0</v>
      </c>
      <c r="V194" s="140">
        <f t="shared" si="32"/>
        <v>22</v>
      </c>
      <c r="X194" s="98">
        <v>0</v>
      </c>
      <c r="Y194" s="98">
        <v>2</v>
      </c>
      <c r="Z194" s="98">
        <v>0</v>
      </c>
      <c r="AA194" s="98">
        <v>0</v>
      </c>
      <c r="AB194" s="98">
        <v>0</v>
      </c>
      <c r="AC194" s="98">
        <v>0</v>
      </c>
      <c r="AD194" s="98">
        <v>1</v>
      </c>
      <c r="AE194" s="98">
        <v>0</v>
      </c>
      <c r="AF194" s="98">
        <f t="shared" si="44"/>
        <v>3</v>
      </c>
      <c r="AH194" s="98">
        <v>12</v>
      </c>
      <c r="AJ194" s="98">
        <v>7</v>
      </c>
      <c r="AK194" s="98">
        <v>0</v>
      </c>
      <c r="AL194" s="380">
        <v>2507.12</v>
      </c>
      <c r="AN194" s="214">
        <f t="shared" si="34"/>
        <v>78850.8</v>
      </c>
      <c r="AO194" s="214">
        <f t="shared" si="35"/>
        <v>0</v>
      </c>
      <c r="AP194" s="214">
        <f t="shared" si="36"/>
        <v>14482.8</v>
      </c>
      <c r="AQ194" s="214">
        <f t="shared" si="37"/>
        <v>0</v>
      </c>
      <c r="AR194" s="214">
        <f t="shared" si="38"/>
        <v>0</v>
      </c>
      <c r="AS194" s="214">
        <f t="shared" si="39"/>
        <v>0</v>
      </c>
      <c r="AT194" s="214">
        <f t="shared" si="40"/>
        <v>8046</v>
      </c>
      <c r="AU194" s="214">
        <f t="shared" si="41"/>
        <v>56322</v>
      </c>
      <c r="AV194" s="214">
        <f t="shared" si="42"/>
        <v>0</v>
      </c>
      <c r="AW194" s="215">
        <f t="shared" si="43"/>
        <v>78850.8</v>
      </c>
    </row>
    <row r="195" spans="1:49" ht="15" customHeight="1">
      <c r="A195" s="140" t="s">
        <v>234</v>
      </c>
      <c r="B195" s="211" t="s">
        <v>96</v>
      </c>
      <c r="C195" s="140" t="str">
        <f aca="true" t="shared" si="45" ref="C195:C258">A195&amp;"-"&amp;B195</f>
        <v>Oostburg Christian School-WPCP</v>
      </c>
      <c r="D195" s="140">
        <v>0</v>
      </c>
      <c r="E195" s="140">
        <v>0</v>
      </c>
      <c r="F195" s="140">
        <v>30</v>
      </c>
      <c r="G195" s="140">
        <v>0</v>
      </c>
      <c r="H195" s="140">
        <v>0</v>
      </c>
      <c r="I195" s="140">
        <v>0</v>
      </c>
      <c r="J195" s="140">
        <v>138</v>
      </c>
      <c r="K195" s="140">
        <v>0</v>
      </c>
      <c r="L195" s="140">
        <f aca="true" t="shared" si="46" ref="L195:L258">SUM(D195:K195)</f>
        <v>168</v>
      </c>
      <c r="N195" s="140">
        <v>0</v>
      </c>
      <c r="O195" s="140">
        <v>0</v>
      </c>
      <c r="P195" s="140">
        <v>12</v>
      </c>
      <c r="Q195" s="140">
        <v>0</v>
      </c>
      <c r="R195" s="140">
        <v>0</v>
      </c>
      <c r="S195" s="140">
        <v>0</v>
      </c>
      <c r="T195" s="140">
        <v>41</v>
      </c>
      <c r="U195" s="140">
        <v>0</v>
      </c>
      <c r="V195" s="140">
        <f aca="true" t="shared" si="47" ref="V195:V258">SUM(N195:U195)</f>
        <v>53</v>
      </c>
      <c r="X195" s="98">
        <v>0</v>
      </c>
      <c r="Y195" s="98">
        <v>0</v>
      </c>
      <c r="Z195" s="98">
        <v>0</v>
      </c>
      <c r="AA195" s="98">
        <v>0</v>
      </c>
      <c r="AB195" s="98">
        <v>0</v>
      </c>
      <c r="AC195" s="98">
        <v>0</v>
      </c>
      <c r="AD195" s="98">
        <v>0</v>
      </c>
      <c r="AE195" s="98">
        <v>0</v>
      </c>
      <c r="AF195" s="98">
        <f t="shared" si="44"/>
        <v>0</v>
      </c>
      <c r="AH195" s="98">
        <v>28</v>
      </c>
      <c r="AJ195" s="98">
        <v>0</v>
      </c>
      <c r="AK195" s="98">
        <v>0</v>
      </c>
      <c r="AL195" s="380">
        <v>0</v>
      </c>
      <c r="AN195" s="214">
        <f aca="true" t="shared" si="48" ref="AN195:AN258">SUM(AO195:AV195)</f>
        <v>189081</v>
      </c>
      <c r="AO195" s="214">
        <f aca="true" t="shared" si="49" ref="AO195:AO258">ROUND(AO$1*AO$2*N195,2)</f>
        <v>0</v>
      </c>
      <c r="AP195" s="214">
        <f aca="true" t="shared" si="50" ref="AP195:AP258">ROUND(AP$1*AP$2*O195,2)</f>
        <v>0</v>
      </c>
      <c r="AQ195" s="214">
        <f aca="true" t="shared" si="51" ref="AQ195:AQ258">ROUND(AQ$1*AQ$2*P195,2)</f>
        <v>24138</v>
      </c>
      <c r="AR195" s="214">
        <f aca="true" t="shared" si="52" ref="AR195:AR258">ROUND(AR$1*AR$2*Q195,2)</f>
        <v>0</v>
      </c>
      <c r="AS195" s="214">
        <f aca="true" t="shared" si="53" ref="AS195:AS258">ROUND(AS$1*AS$2*R195,2)</f>
        <v>0</v>
      </c>
      <c r="AT195" s="214">
        <f aca="true" t="shared" si="54" ref="AT195:AT258">ROUND(AT$1*AT$2*S195,2)</f>
        <v>0</v>
      </c>
      <c r="AU195" s="214">
        <f aca="true" t="shared" si="55" ref="AU195:AU258">ROUND(AU$1*AU$2*T195,2)</f>
        <v>164943</v>
      </c>
      <c r="AV195" s="214">
        <f aca="true" t="shared" si="56" ref="AV195:AV258">ROUND(AV$1*AV$2*U195,2)</f>
        <v>0</v>
      </c>
      <c r="AW195" s="215">
        <f aca="true" t="shared" si="57" ref="AW195:AW258">SUM(AO195:AV195)</f>
        <v>189081</v>
      </c>
    </row>
    <row r="196" spans="1:49" ht="15" customHeight="1">
      <c r="A196" s="140" t="s">
        <v>235</v>
      </c>
      <c r="B196" s="211" t="s">
        <v>187</v>
      </c>
      <c r="C196" s="140" t="str">
        <f t="shared" si="45"/>
        <v>Our Father's Lutheran School-MPCP</v>
      </c>
      <c r="D196" s="140">
        <v>10</v>
      </c>
      <c r="E196" s="140">
        <v>0</v>
      </c>
      <c r="F196" s="140">
        <v>0</v>
      </c>
      <c r="G196" s="140">
        <v>0</v>
      </c>
      <c r="H196" s="140">
        <v>0</v>
      </c>
      <c r="I196" s="140">
        <v>8</v>
      </c>
      <c r="J196" s="140">
        <v>59</v>
      </c>
      <c r="K196" s="140">
        <v>0</v>
      </c>
      <c r="L196" s="140">
        <f t="shared" si="46"/>
        <v>77</v>
      </c>
      <c r="N196" s="140">
        <v>1</v>
      </c>
      <c r="O196" s="140">
        <v>0</v>
      </c>
      <c r="P196" s="140">
        <v>0</v>
      </c>
      <c r="Q196" s="140">
        <v>0</v>
      </c>
      <c r="R196" s="140">
        <v>0</v>
      </c>
      <c r="S196" s="140">
        <v>3</v>
      </c>
      <c r="T196" s="140">
        <v>16</v>
      </c>
      <c r="U196" s="140">
        <v>0</v>
      </c>
      <c r="V196" s="140">
        <f t="shared" si="47"/>
        <v>20</v>
      </c>
      <c r="X196" s="98">
        <v>0</v>
      </c>
      <c r="Y196" s="98">
        <v>0</v>
      </c>
      <c r="Z196" s="98">
        <v>0</v>
      </c>
      <c r="AA196" s="98">
        <v>0</v>
      </c>
      <c r="AB196" s="98">
        <v>0</v>
      </c>
      <c r="AC196" s="98">
        <v>0</v>
      </c>
      <c r="AD196" s="98">
        <v>0</v>
      </c>
      <c r="AE196" s="98">
        <v>0</v>
      </c>
      <c r="AF196" s="98">
        <f t="shared" si="44"/>
        <v>0</v>
      </c>
      <c r="AH196" s="98">
        <v>14</v>
      </c>
      <c r="AJ196" s="98">
        <v>0</v>
      </c>
      <c r="AK196" s="98">
        <v>0</v>
      </c>
      <c r="AL196" s="380">
        <v>0</v>
      </c>
      <c r="AN196" s="214">
        <f t="shared" si="48"/>
        <v>78448.5</v>
      </c>
      <c r="AO196" s="214">
        <f t="shared" si="49"/>
        <v>2011.5</v>
      </c>
      <c r="AP196" s="214">
        <f t="shared" si="50"/>
        <v>0</v>
      </c>
      <c r="AQ196" s="214">
        <f t="shared" si="51"/>
        <v>0</v>
      </c>
      <c r="AR196" s="214">
        <f t="shared" si="52"/>
        <v>0</v>
      </c>
      <c r="AS196" s="214">
        <f t="shared" si="53"/>
        <v>0</v>
      </c>
      <c r="AT196" s="214">
        <f t="shared" si="54"/>
        <v>12069</v>
      </c>
      <c r="AU196" s="214">
        <f t="shared" si="55"/>
        <v>64368</v>
      </c>
      <c r="AV196" s="214">
        <f t="shared" si="56"/>
        <v>0</v>
      </c>
      <c r="AW196" s="215">
        <f t="shared" si="57"/>
        <v>78448.5</v>
      </c>
    </row>
    <row r="197" spans="1:49" ht="15" customHeight="1">
      <c r="A197" s="140" t="s">
        <v>235</v>
      </c>
      <c r="B197" s="211" t="s">
        <v>188</v>
      </c>
      <c r="C197" s="140" t="str">
        <f t="shared" si="45"/>
        <v>Our Father's Lutheran School-RPCP</v>
      </c>
      <c r="D197" s="140">
        <v>10</v>
      </c>
      <c r="E197" s="140">
        <v>0</v>
      </c>
      <c r="F197" s="140">
        <v>0</v>
      </c>
      <c r="G197" s="140">
        <v>0</v>
      </c>
      <c r="H197" s="140">
        <v>0</v>
      </c>
      <c r="I197" s="140">
        <v>8</v>
      </c>
      <c r="J197" s="140">
        <v>59</v>
      </c>
      <c r="K197" s="140">
        <v>0</v>
      </c>
      <c r="L197" s="140">
        <f t="shared" si="46"/>
        <v>77</v>
      </c>
      <c r="N197" s="140">
        <v>0</v>
      </c>
      <c r="O197" s="140">
        <v>0</v>
      </c>
      <c r="P197" s="140">
        <v>0</v>
      </c>
      <c r="Q197" s="140">
        <v>0</v>
      </c>
      <c r="R197" s="140">
        <v>0</v>
      </c>
      <c r="S197" s="140">
        <v>0</v>
      </c>
      <c r="T197" s="140">
        <v>5</v>
      </c>
      <c r="U197" s="140">
        <v>0</v>
      </c>
      <c r="V197" s="140">
        <f t="shared" si="47"/>
        <v>5</v>
      </c>
      <c r="X197" s="98">
        <v>0</v>
      </c>
      <c r="Y197" s="98">
        <v>0</v>
      </c>
      <c r="Z197" s="98">
        <v>0</v>
      </c>
      <c r="AA197" s="98">
        <v>0</v>
      </c>
      <c r="AB197" s="98">
        <v>0</v>
      </c>
      <c r="AC197" s="98">
        <v>0</v>
      </c>
      <c r="AD197" s="98">
        <v>0</v>
      </c>
      <c r="AE197" s="98">
        <v>0</v>
      </c>
      <c r="AF197" s="98">
        <f t="shared" si="44"/>
        <v>0</v>
      </c>
      <c r="AH197" s="98">
        <v>2</v>
      </c>
      <c r="AJ197" s="98">
        <v>0</v>
      </c>
      <c r="AK197" s="98">
        <v>0</v>
      </c>
      <c r="AL197" s="380">
        <v>0</v>
      </c>
      <c r="AN197" s="214">
        <f t="shared" si="48"/>
        <v>20115</v>
      </c>
      <c r="AO197" s="214">
        <f t="shared" si="49"/>
        <v>0</v>
      </c>
      <c r="AP197" s="214">
        <f t="shared" si="50"/>
        <v>0</v>
      </c>
      <c r="AQ197" s="214">
        <f t="shared" si="51"/>
        <v>0</v>
      </c>
      <c r="AR197" s="214">
        <f t="shared" si="52"/>
        <v>0</v>
      </c>
      <c r="AS197" s="214">
        <f t="shared" si="53"/>
        <v>0</v>
      </c>
      <c r="AT197" s="214">
        <f t="shared" si="54"/>
        <v>0</v>
      </c>
      <c r="AU197" s="214">
        <f t="shared" si="55"/>
        <v>20115</v>
      </c>
      <c r="AV197" s="214">
        <f t="shared" si="56"/>
        <v>0</v>
      </c>
      <c r="AW197" s="215">
        <f t="shared" si="57"/>
        <v>20115</v>
      </c>
    </row>
    <row r="198" spans="1:49" ht="15" customHeight="1">
      <c r="A198" s="140" t="s">
        <v>235</v>
      </c>
      <c r="B198" s="211" t="s">
        <v>96</v>
      </c>
      <c r="C198" s="140" t="str">
        <f t="shared" si="45"/>
        <v>Our Father's Lutheran School-WPCP</v>
      </c>
      <c r="D198" s="140">
        <v>10</v>
      </c>
      <c r="E198" s="140">
        <v>0</v>
      </c>
      <c r="F198" s="140">
        <v>0</v>
      </c>
      <c r="G198" s="140">
        <v>0</v>
      </c>
      <c r="H198" s="140">
        <v>0</v>
      </c>
      <c r="I198" s="140">
        <v>8</v>
      </c>
      <c r="J198" s="140">
        <v>59</v>
      </c>
      <c r="K198" s="140">
        <v>0</v>
      </c>
      <c r="L198" s="140">
        <f t="shared" si="46"/>
        <v>77</v>
      </c>
      <c r="N198" s="140">
        <v>4</v>
      </c>
      <c r="O198" s="140">
        <v>0</v>
      </c>
      <c r="P198" s="140">
        <v>0</v>
      </c>
      <c r="Q198" s="140">
        <v>0</v>
      </c>
      <c r="R198" s="140">
        <v>0</v>
      </c>
      <c r="S198" s="140">
        <v>4</v>
      </c>
      <c r="T198" s="140">
        <v>15</v>
      </c>
      <c r="U198" s="140">
        <v>0</v>
      </c>
      <c r="V198" s="140">
        <f t="shared" si="47"/>
        <v>23</v>
      </c>
      <c r="X198" s="98">
        <v>0</v>
      </c>
      <c r="Y198" s="98">
        <v>0</v>
      </c>
      <c r="Z198" s="98">
        <v>0</v>
      </c>
      <c r="AA198" s="98">
        <v>0</v>
      </c>
      <c r="AB198" s="98">
        <v>0</v>
      </c>
      <c r="AC198" s="98">
        <v>0</v>
      </c>
      <c r="AD198" s="98">
        <v>0</v>
      </c>
      <c r="AE198" s="98">
        <v>0</v>
      </c>
      <c r="AF198" s="98">
        <f t="shared" si="44"/>
        <v>0</v>
      </c>
      <c r="AH198" s="98">
        <v>15</v>
      </c>
      <c r="AJ198" s="98">
        <v>0</v>
      </c>
      <c r="AK198" s="98">
        <v>0</v>
      </c>
      <c r="AL198" s="380">
        <v>0</v>
      </c>
      <c r="AN198" s="214">
        <f t="shared" si="48"/>
        <v>84483</v>
      </c>
      <c r="AO198" s="214">
        <f t="shared" si="49"/>
        <v>8046</v>
      </c>
      <c r="AP198" s="214">
        <f t="shared" si="50"/>
        <v>0</v>
      </c>
      <c r="AQ198" s="214">
        <f t="shared" si="51"/>
        <v>0</v>
      </c>
      <c r="AR198" s="214">
        <f t="shared" si="52"/>
        <v>0</v>
      </c>
      <c r="AS198" s="214">
        <f t="shared" si="53"/>
        <v>0</v>
      </c>
      <c r="AT198" s="214">
        <f t="shared" si="54"/>
        <v>16092</v>
      </c>
      <c r="AU198" s="214">
        <f t="shared" si="55"/>
        <v>60345</v>
      </c>
      <c r="AV198" s="214">
        <f t="shared" si="56"/>
        <v>0</v>
      </c>
      <c r="AW198" s="215">
        <f t="shared" si="57"/>
        <v>84483</v>
      </c>
    </row>
    <row r="199" spans="1:49" ht="15" customHeight="1">
      <c r="A199" s="140" t="s">
        <v>454</v>
      </c>
      <c r="B199" s="211" t="s">
        <v>96</v>
      </c>
      <c r="C199" s="140" t="str">
        <f t="shared" si="45"/>
        <v>Our Lady of Sorrows Grade School-WPCP</v>
      </c>
      <c r="D199" s="140">
        <v>11</v>
      </c>
      <c r="E199" s="140">
        <v>0</v>
      </c>
      <c r="F199" s="140">
        <v>0</v>
      </c>
      <c r="G199" s="140">
        <v>0</v>
      </c>
      <c r="H199" s="140">
        <v>0</v>
      </c>
      <c r="I199" s="140">
        <v>5</v>
      </c>
      <c r="J199" s="140">
        <v>50</v>
      </c>
      <c r="K199" s="140">
        <v>0</v>
      </c>
      <c r="L199" s="140">
        <f t="shared" si="46"/>
        <v>66</v>
      </c>
      <c r="N199" s="140">
        <v>3</v>
      </c>
      <c r="O199" s="140">
        <v>0</v>
      </c>
      <c r="P199" s="140">
        <v>0</v>
      </c>
      <c r="Q199" s="140">
        <v>0</v>
      </c>
      <c r="R199" s="140">
        <v>0</v>
      </c>
      <c r="S199" s="140">
        <v>3</v>
      </c>
      <c r="T199" s="140">
        <v>10</v>
      </c>
      <c r="U199" s="140">
        <v>0</v>
      </c>
      <c r="V199" s="140">
        <f t="shared" si="47"/>
        <v>16</v>
      </c>
      <c r="X199" s="98">
        <v>0</v>
      </c>
      <c r="Y199" s="98">
        <v>0</v>
      </c>
      <c r="Z199" s="98">
        <v>0</v>
      </c>
      <c r="AA199" s="98">
        <v>0</v>
      </c>
      <c r="AB199" s="98">
        <v>0</v>
      </c>
      <c r="AC199" s="98">
        <v>0</v>
      </c>
      <c r="AD199" s="98">
        <v>0</v>
      </c>
      <c r="AE199" s="98">
        <v>0</v>
      </c>
      <c r="AF199" s="98">
        <f t="shared" si="44"/>
        <v>0</v>
      </c>
      <c r="AH199" s="98">
        <v>12</v>
      </c>
      <c r="AJ199" s="98">
        <v>0</v>
      </c>
      <c r="AK199" s="98">
        <v>0</v>
      </c>
      <c r="AL199" s="380">
        <v>0</v>
      </c>
      <c r="AN199" s="214">
        <f t="shared" si="48"/>
        <v>58333.5</v>
      </c>
      <c r="AO199" s="214">
        <f t="shared" si="49"/>
        <v>6034.5</v>
      </c>
      <c r="AP199" s="214">
        <f t="shared" si="50"/>
        <v>0</v>
      </c>
      <c r="AQ199" s="214">
        <f t="shared" si="51"/>
        <v>0</v>
      </c>
      <c r="AR199" s="214">
        <f t="shared" si="52"/>
        <v>0</v>
      </c>
      <c r="AS199" s="214">
        <f t="shared" si="53"/>
        <v>0</v>
      </c>
      <c r="AT199" s="214">
        <f t="shared" si="54"/>
        <v>12069</v>
      </c>
      <c r="AU199" s="214">
        <f t="shared" si="55"/>
        <v>40230</v>
      </c>
      <c r="AV199" s="214">
        <f t="shared" si="56"/>
        <v>0</v>
      </c>
      <c r="AW199" s="215">
        <f t="shared" si="57"/>
        <v>58333.5</v>
      </c>
    </row>
    <row r="200" spans="1:49" ht="15" customHeight="1">
      <c r="A200" s="140" t="s">
        <v>584</v>
      </c>
      <c r="B200" s="211" t="s">
        <v>96</v>
      </c>
      <c r="C200" s="140" t="str">
        <f t="shared" si="45"/>
        <v>Our Lady of The Lake Catholic School-WPCP</v>
      </c>
      <c r="D200" s="140">
        <v>21</v>
      </c>
      <c r="E200" s="140">
        <v>0</v>
      </c>
      <c r="F200" s="140">
        <v>0</v>
      </c>
      <c r="G200" s="140">
        <v>0</v>
      </c>
      <c r="H200" s="140">
        <v>0</v>
      </c>
      <c r="I200" s="140">
        <v>14</v>
      </c>
      <c r="J200" s="140">
        <v>82</v>
      </c>
      <c r="K200" s="140">
        <v>0</v>
      </c>
      <c r="L200" s="140">
        <f t="shared" si="46"/>
        <v>117</v>
      </c>
      <c r="N200" s="140">
        <v>11</v>
      </c>
      <c r="O200" s="140">
        <v>0</v>
      </c>
      <c r="P200" s="140">
        <v>0</v>
      </c>
      <c r="Q200" s="140">
        <v>0</v>
      </c>
      <c r="R200" s="140">
        <v>0</v>
      </c>
      <c r="S200" s="140">
        <v>9</v>
      </c>
      <c r="T200" s="140">
        <v>34</v>
      </c>
      <c r="U200" s="140">
        <v>0</v>
      </c>
      <c r="V200" s="140">
        <f t="shared" si="47"/>
        <v>54</v>
      </c>
      <c r="X200" s="98">
        <v>0</v>
      </c>
      <c r="Y200" s="98">
        <v>0</v>
      </c>
      <c r="Z200" s="98">
        <v>0</v>
      </c>
      <c r="AA200" s="98">
        <v>0</v>
      </c>
      <c r="AB200" s="98">
        <v>0</v>
      </c>
      <c r="AC200" s="98">
        <v>0</v>
      </c>
      <c r="AD200" s="98">
        <v>0</v>
      </c>
      <c r="AE200" s="98">
        <v>0</v>
      </c>
      <c r="AF200" s="98">
        <f t="shared" si="44"/>
        <v>0</v>
      </c>
      <c r="AH200" s="98">
        <v>40</v>
      </c>
      <c r="AJ200" s="98">
        <v>0</v>
      </c>
      <c r="AK200" s="98">
        <v>0</v>
      </c>
      <c r="AL200" s="380">
        <v>0</v>
      </c>
      <c r="AN200" s="214">
        <f t="shared" si="48"/>
        <v>195115.5</v>
      </c>
      <c r="AO200" s="214">
        <f t="shared" si="49"/>
        <v>22126.5</v>
      </c>
      <c r="AP200" s="214">
        <f t="shared" si="50"/>
        <v>0</v>
      </c>
      <c r="AQ200" s="214">
        <f t="shared" si="51"/>
        <v>0</v>
      </c>
      <c r="AR200" s="214">
        <f t="shared" si="52"/>
        <v>0</v>
      </c>
      <c r="AS200" s="214">
        <f t="shared" si="53"/>
        <v>0</v>
      </c>
      <c r="AT200" s="214">
        <f t="shared" si="54"/>
        <v>36207</v>
      </c>
      <c r="AU200" s="214">
        <f t="shared" si="55"/>
        <v>136782</v>
      </c>
      <c r="AV200" s="214">
        <f t="shared" si="56"/>
        <v>0</v>
      </c>
      <c r="AW200" s="215">
        <f t="shared" si="57"/>
        <v>195115.5</v>
      </c>
    </row>
    <row r="201" spans="1:49" ht="15" customHeight="1">
      <c r="A201" s="140" t="s">
        <v>236</v>
      </c>
      <c r="B201" s="211" t="s">
        <v>187</v>
      </c>
      <c r="C201" s="140" t="str">
        <f t="shared" si="45"/>
        <v>Our Lady Queen of Peace-MPCP</v>
      </c>
      <c r="D201" s="140">
        <v>0</v>
      </c>
      <c r="E201" s="140">
        <v>9</v>
      </c>
      <c r="F201" s="140">
        <v>0</v>
      </c>
      <c r="G201" s="140">
        <v>0</v>
      </c>
      <c r="H201" s="140">
        <v>0</v>
      </c>
      <c r="I201" s="140">
        <v>15</v>
      </c>
      <c r="J201" s="140">
        <v>128</v>
      </c>
      <c r="K201" s="140">
        <v>0</v>
      </c>
      <c r="L201" s="140">
        <f t="shared" si="46"/>
        <v>152</v>
      </c>
      <c r="N201" s="140">
        <v>0</v>
      </c>
      <c r="O201" s="140">
        <v>9</v>
      </c>
      <c r="P201" s="140">
        <v>0</v>
      </c>
      <c r="Q201" s="140">
        <v>0</v>
      </c>
      <c r="R201" s="140">
        <v>0</v>
      </c>
      <c r="S201" s="140">
        <v>14</v>
      </c>
      <c r="T201" s="140">
        <v>117</v>
      </c>
      <c r="U201" s="140">
        <v>0</v>
      </c>
      <c r="V201" s="140">
        <f t="shared" si="47"/>
        <v>140</v>
      </c>
      <c r="X201" s="98">
        <v>0</v>
      </c>
      <c r="Y201" s="98">
        <v>0</v>
      </c>
      <c r="Z201" s="98">
        <v>0</v>
      </c>
      <c r="AA201" s="98">
        <v>0</v>
      </c>
      <c r="AB201" s="98">
        <v>0</v>
      </c>
      <c r="AC201" s="98">
        <v>0</v>
      </c>
      <c r="AD201" s="98">
        <v>0</v>
      </c>
      <c r="AE201" s="98">
        <v>0</v>
      </c>
      <c r="AF201" s="98">
        <f t="shared" si="44"/>
        <v>0</v>
      </c>
      <c r="AH201" s="98">
        <v>97</v>
      </c>
      <c r="AJ201" s="98">
        <v>0</v>
      </c>
      <c r="AK201" s="98">
        <v>0</v>
      </c>
      <c r="AL201" s="380">
        <v>0</v>
      </c>
      <c r="AN201" s="214">
        <f t="shared" si="48"/>
        <v>548737.2</v>
      </c>
      <c r="AO201" s="214">
        <f t="shared" si="49"/>
        <v>0</v>
      </c>
      <c r="AP201" s="214">
        <f t="shared" si="50"/>
        <v>21724.2</v>
      </c>
      <c r="AQ201" s="214">
        <f t="shared" si="51"/>
        <v>0</v>
      </c>
      <c r="AR201" s="214">
        <f t="shared" si="52"/>
        <v>0</v>
      </c>
      <c r="AS201" s="214">
        <f t="shared" si="53"/>
        <v>0</v>
      </c>
      <c r="AT201" s="214">
        <f t="shared" si="54"/>
        <v>56322</v>
      </c>
      <c r="AU201" s="214">
        <f t="shared" si="55"/>
        <v>470691</v>
      </c>
      <c r="AV201" s="214">
        <f t="shared" si="56"/>
        <v>0</v>
      </c>
      <c r="AW201" s="215">
        <f t="shared" si="57"/>
        <v>548737.2</v>
      </c>
    </row>
    <row r="202" spans="1:49" ht="14.25">
      <c r="A202" s="140" t="s">
        <v>236</v>
      </c>
      <c r="B202" s="211" t="s">
        <v>96</v>
      </c>
      <c r="C202" s="140" t="str">
        <f t="shared" si="45"/>
        <v>Our Lady Queen of Peace-WPCP</v>
      </c>
      <c r="D202" s="140">
        <v>0</v>
      </c>
      <c r="E202" s="140">
        <v>9</v>
      </c>
      <c r="F202" s="140">
        <v>0</v>
      </c>
      <c r="G202" s="140">
        <v>0</v>
      </c>
      <c r="H202" s="140">
        <v>0</v>
      </c>
      <c r="I202" s="140">
        <v>15</v>
      </c>
      <c r="J202" s="140">
        <v>128</v>
      </c>
      <c r="K202" s="140">
        <v>0</v>
      </c>
      <c r="L202" s="140">
        <f t="shared" si="46"/>
        <v>152</v>
      </c>
      <c r="N202" s="140">
        <v>0</v>
      </c>
      <c r="O202" s="140">
        <v>0</v>
      </c>
      <c r="P202" s="140">
        <v>0</v>
      </c>
      <c r="Q202" s="140">
        <v>0</v>
      </c>
      <c r="R202" s="140">
        <v>0</v>
      </c>
      <c r="S202" s="140">
        <v>1</v>
      </c>
      <c r="T202" s="140">
        <v>6</v>
      </c>
      <c r="U202" s="140">
        <v>0</v>
      </c>
      <c r="V202" s="140">
        <f t="shared" si="47"/>
        <v>7</v>
      </c>
      <c r="X202" s="98">
        <v>0</v>
      </c>
      <c r="Y202" s="98">
        <v>0</v>
      </c>
      <c r="Z202" s="98">
        <v>0</v>
      </c>
      <c r="AA202" s="98">
        <v>0</v>
      </c>
      <c r="AB202" s="98">
        <v>0</v>
      </c>
      <c r="AC202" s="98">
        <v>0</v>
      </c>
      <c r="AD202" s="98">
        <v>0</v>
      </c>
      <c r="AE202" s="98">
        <v>0</v>
      </c>
      <c r="AF202" s="98">
        <f t="shared" si="44"/>
        <v>0</v>
      </c>
      <c r="AH202" s="98">
        <v>5</v>
      </c>
      <c r="AJ202" s="98">
        <v>0</v>
      </c>
      <c r="AK202" s="98">
        <v>0</v>
      </c>
      <c r="AL202" s="380">
        <v>0</v>
      </c>
      <c r="AN202" s="214">
        <f t="shared" si="48"/>
        <v>28161</v>
      </c>
      <c r="AO202" s="214">
        <f t="shared" si="49"/>
        <v>0</v>
      </c>
      <c r="AP202" s="214">
        <f t="shared" si="50"/>
        <v>0</v>
      </c>
      <c r="AQ202" s="214">
        <f t="shared" si="51"/>
        <v>0</v>
      </c>
      <c r="AR202" s="214">
        <f t="shared" si="52"/>
        <v>0</v>
      </c>
      <c r="AS202" s="214">
        <f t="shared" si="53"/>
        <v>0</v>
      </c>
      <c r="AT202" s="214">
        <f t="shared" si="54"/>
        <v>4023</v>
      </c>
      <c r="AU202" s="214">
        <f t="shared" si="55"/>
        <v>24138</v>
      </c>
      <c r="AV202" s="214">
        <f t="shared" si="56"/>
        <v>0</v>
      </c>
      <c r="AW202" s="215">
        <f t="shared" si="57"/>
        <v>28161</v>
      </c>
    </row>
    <row r="203" spans="1:49" ht="14.25">
      <c r="A203" s="140" t="s">
        <v>175</v>
      </c>
      <c r="B203" s="211" t="s">
        <v>96</v>
      </c>
      <c r="C203" s="140" t="str">
        <f t="shared" si="45"/>
        <v>Pacelli Catholic Schools-WPCP</v>
      </c>
      <c r="D203" s="140">
        <v>0</v>
      </c>
      <c r="E203" s="140">
        <v>0</v>
      </c>
      <c r="F203" s="140">
        <v>0</v>
      </c>
      <c r="G203" s="140">
        <v>0</v>
      </c>
      <c r="H203" s="140">
        <v>0</v>
      </c>
      <c r="I203" s="140">
        <v>36</v>
      </c>
      <c r="J203" s="140">
        <v>347</v>
      </c>
      <c r="K203" s="140">
        <v>178</v>
      </c>
      <c r="L203" s="140">
        <f t="shared" si="46"/>
        <v>561</v>
      </c>
      <c r="N203" s="140">
        <v>0</v>
      </c>
      <c r="O203" s="140">
        <v>0</v>
      </c>
      <c r="P203" s="140">
        <v>0</v>
      </c>
      <c r="Q203" s="140">
        <v>0</v>
      </c>
      <c r="R203" s="140">
        <v>0</v>
      </c>
      <c r="S203" s="140">
        <v>15</v>
      </c>
      <c r="T203" s="140">
        <v>89</v>
      </c>
      <c r="U203" s="140">
        <v>34</v>
      </c>
      <c r="V203" s="140">
        <f t="shared" si="47"/>
        <v>138</v>
      </c>
      <c r="X203" s="98">
        <v>0</v>
      </c>
      <c r="Y203" s="98">
        <v>0</v>
      </c>
      <c r="Z203" s="98">
        <v>0</v>
      </c>
      <c r="AA203" s="98">
        <v>0</v>
      </c>
      <c r="AB203" s="98">
        <v>0</v>
      </c>
      <c r="AC203" s="98">
        <v>0</v>
      </c>
      <c r="AD203" s="98">
        <v>0</v>
      </c>
      <c r="AE203" s="98">
        <v>0</v>
      </c>
      <c r="AF203" s="98">
        <f t="shared" si="44"/>
        <v>0</v>
      </c>
      <c r="AH203" s="98">
        <v>84</v>
      </c>
      <c r="AJ203" s="98">
        <v>0</v>
      </c>
      <c r="AK203" s="98">
        <v>0</v>
      </c>
      <c r="AL203" s="380">
        <v>0</v>
      </c>
      <c r="AN203" s="214">
        <f t="shared" si="48"/>
        <v>566156</v>
      </c>
      <c r="AO203" s="214">
        <f t="shared" si="49"/>
        <v>0</v>
      </c>
      <c r="AP203" s="214">
        <f t="shared" si="50"/>
        <v>0</v>
      </c>
      <c r="AQ203" s="214">
        <f t="shared" si="51"/>
        <v>0</v>
      </c>
      <c r="AR203" s="214">
        <f t="shared" si="52"/>
        <v>0</v>
      </c>
      <c r="AS203" s="214">
        <f t="shared" si="53"/>
        <v>0</v>
      </c>
      <c r="AT203" s="214">
        <f t="shared" si="54"/>
        <v>60345</v>
      </c>
      <c r="AU203" s="214">
        <f t="shared" si="55"/>
        <v>358047</v>
      </c>
      <c r="AV203" s="214">
        <f t="shared" si="56"/>
        <v>147764</v>
      </c>
      <c r="AW203" s="215">
        <f t="shared" si="57"/>
        <v>566156</v>
      </c>
    </row>
    <row r="204" spans="1:49" ht="15" customHeight="1">
      <c r="A204" s="140" t="s">
        <v>344</v>
      </c>
      <c r="B204" s="211" t="s">
        <v>96</v>
      </c>
      <c r="C204" s="140" t="str">
        <f t="shared" si="45"/>
        <v>Peace Lutheran School - Antigo-WPCP</v>
      </c>
      <c r="D204" s="140">
        <v>19</v>
      </c>
      <c r="E204" s="140">
        <v>0</v>
      </c>
      <c r="F204" s="140">
        <v>0</v>
      </c>
      <c r="G204" s="140">
        <v>0</v>
      </c>
      <c r="H204" s="140">
        <v>0</v>
      </c>
      <c r="I204" s="140">
        <v>25</v>
      </c>
      <c r="J204" s="140">
        <v>140</v>
      </c>
      <c r="K204" s="140">
        <v>0</v>
      </c>
      <c r="L204" s="140">
        <f t="shared" si="46"/>
        <v>184</v>
      </c>
      <c r="N204" s="140">
        <v>11</v>
      </c>
      <c r="O204" s="140">
        <v>0</v>
      </c>
      <c r="P204" s="140">
        <v>0</v>
      </c>
      <c r="Q204" s="140">
        <v>0</v>
      </c>
      <c r="R204" s="140">
        <v>0</v>
      </c>
      <c r="S204" s="140">
        <v>14</v>
      </c>
      <c r="T204" s="140">
        <v>69</v>
      </c>
      <c r="U204" s="140">
        <v>0</v>
      </c>
      <c r="V204" s="140">
        <f t="shared" si="47"/>
        <v>94</v>
      </c>
      <c r="X204" s="98">
        <v>0</v>
      </c>
      <c r="Y204" s="98">
        <v>0</v>
      </c>
      <c r="Z204" s="98">
        <v>0</v>
      </c>
      <c r="AA204" s="98">
        <v>0</v>
      </c>
      <c r="AB204" s="98">
        <v>0</v>
      </c>
      <c r="AC204" s="98">
        <v>0</v>
      </c>
      <c r="AD204" s="98">
        <v>2</v>
      </c>
      <c r="AE204" s="98">
        <v>0</v>
      </c>
      <c r="AF204" s="98">
        <f t="shared" si="44"/>
        <v>2</v>
      </c>
      <c r="AH204" s="98">
        <v>63</v>
      </c>
      <c r="AJ204" s="98">
        <v>0</v>
      </c>
      <c r="AK204" s="98">
        <v>0</v>
      </c>
      <c r="AL204" s="380">
        <v>0</v>
      </c>
      <c r="AN204" s="214">
        <f t="shared" si="48"/>
        <v>356035.5</v>
      </c>
      <c r="AO204" s="214">
        <f t="shared" si="49"/>
        <v>22126.5</v>
      </c>
      <c r="AP204" s="214">
        <f t="shared" si="50"/>
        <v>0</v>
      </c>
      <c r="AQ204" s="214">
        <f t="shared" si="51"/>
        <v>0</v>
      </c>
      <c r="AR204" s="214">
        <f t="shared" si="52"/>
        <v>0</v>
      </c>
      <c r="AS204" s="214">
        <f t="shared" si="53"/>
        <v>0</v>
      </c>
      <c r="AT204" s="214">
        <f t="shared" si="54"/>
        <v>56322</v>
      </c>
      <c r="AU204" s="214">
        <f t="shared" si="55"/>
        <v>277587</v>
      </c>
      <c r="AV204" s="214">
        <f t="shared" si="56"/>
        <v>0</v>
      </c>
      <c r="AW204" s="215">
        <f t="shared" si="57"/>
        <v>356035.5</v>
      </c>
    </row>
    <row r="205" spans="1:49" ht="15" customHeight="1">
      <c r="A205" s="140" t="s">
        <v>345</v>
      </c>
      <c r="B205" s="211" t="s">
        <v>96</v>
      </c>
      <c r="C205" s="140" t="str">
        <f t="shared" si="45"/>
        <v>Peace Lutheran School - Hartford-WPCP</v>
      </c>
      <c r="D205" s="140">
        <v>0</v>
      </c>
      <c r="E205" s="140">
        <v>0</v>
      </c>
      <c r="F205" s="140">
        <v>0</v>
      </c>
      <c r="G205" s="140">
        <v>0</v>
      </c>
      <c r="H205" s="140">
        <v>0</v>
      </c>
      <c r="I205" s="140">
        <v>34</v>
      </c>
      <c r="J205" s="140">
        <v>158</v>
      </c>
      <c r="K205" s="140">
        <v>0</v>
      </c>
      <c r="L205" s="140">
        <f t="shared" si="46"/>
        <v>192</v>
      </c>
      <c r="N205" s="140">
        <v>0</v>
      </c>
      <c r="O205" s="140">
        <v>0</v>
      </c>
      <c r="P205" s="140">
        <v>0</v>
      </c>
      <c r="Q205" s="140">
        <v>0</v>
      </c>
      <c r="R205" s="140">
        <v>0</v>
      </c>
      <c r="S205" s="140">
        <v>6</v>
      </c>
      <c r="T205" s="140">
        <v>13</v>
      </c>
      <c r="U205" s="140">
        <v>0</v>
      </c>
      <c r="V205" s="140">
        <f t="shared" si="47"/>
        <v>19</v>
      </c>
      <c r="X205" s="98">
        <v>0</v>
      </c>
      <c r="Y205" s="98">
        <v>0</v>
      </c>
      <c r="Z205" s="98">
        <v>0</v>
      </c>
      <c r="AA205" s="98">
        <v>0</v>
      </c>
      <c r="AB205" s="98">
        <v>0</v>
      </c>
      <c r="AC205" s="98">
        <v>0</v>
      </c>
      <c r="AD205" s="98">
        <v>0</v>
      </c>
      <c r="AE205" s="98">
        <v>0</v>
      </c>
      <c r="AF205" s="98">
        <f t="shared" si="44"/>
        <v>0</v>
      </c>
      <c r="AH205" s="98">
        <v>10</v>
      </c>
      <c r="AJ205" s="98">
        <v>0</v>
      </c>
      <c r="AK205" s="98">
        <v>0</v>
      </c>
      <c r="AL205" s="380">
        <v>0</v>
      </c>
      <c r="AN205" s="214">
        <f t="shared" si="48"/>
        <v>76437</v>
      </c>
      <c r="AO205" s="214">
        <f t="shared" si="49"/>
        <v>0</v>
      </c>
      <c r="AP205" s="214">
        <f t="shared" si="50"/>
        <v>0</v>
      </c>
      <c r="AQ205" s="214">
        <f t="shared" si="51"/>
        <v>0</v>
      </c>
      <c r="AR205" s="214">
        <f t="shared" si="52"/>
        <v>0</v>
      </c>
      <c r="AS205" s="214">
        <f t="shared" si="53"/>
        <v>0</v>
      </c>
      <c r="AT205" s="214">
        <f t="shared" si="54"/>
        <v>24138</v>
      </c>
      <c r="AU205" s="214">
        <f t="shared" si="55"/>
        <v>52299</v>
      </c>
      <c r="AV205" s="214">
        <f t="shared" si="56"/>
        <v>0</v>
      </c>
      <c r="AW205" s="215">
        <f t="shared" si="57"/>
        <v>76437</v>
      </c>
    </row>
    <row r="206" spans="1:49" ht="15" customHeight="1">
      <c r="A206" s="140" t="s">
        <v>237</v>
      </c>
      <c r="B206" s="211" t="s">
        <v>96</v>
      </c>
      <c r="C206" s="140" t="str">
        <f t="shared" si="45"/>
        <v>Pilgrim Lutheran School - Green Bay-WPCP</v>
      </c>
      <c r="D206" s="140">
        <v>30</v>
      </c>
      <c r="E206" s="140">
        <v>0</v>
      </c>
      <c r="F206" s="140">
        <v>0</v>
      </c>
      <c r="G206" s="140">
        <v>0</v>
      </c>
      <c r="H206" s="140">
        <v>0</v>
      </c>
      <c r="I206" s="140">
        <v>31</v>
      </c>
      <c r="J206" s="140">
        <v>143</v>
      </c>
      <c r="K206" s="140">
        <v>0</v>
      </c>
      <c r="L206" s="140">
        <f t="shared" si="46"/>
        <v>204</v>
      </c>
      <c r="N206" s="140">
        <v>3</v>
      </c>
      <c r="O206" s="140">
        <v>0</v>
      </c>
      <c r="P206" s="140">
        <v>0</v>
      </c>
      <c r="Q206" s="140">
        <v>0</v>
      </c>
      <c r="R206" s="140">
        <v>0</v>
      </c>
      <c r="S206" s="140">
        <v>10</v>
      </c>
      <c r="T206" s="140">
        <v>17</v>
      </c>
      <c r="U206" s="140">
        <v>0</v>
      </c>
      <c r="V206" s="140">
        <f t="shared" si="47"/>
        <v>30</v>
      </c>
      <c r="X206" s="98">
        <v>0</v>
      </c>
      <c r="Y206" s="98">
        <v>0</v>
      </c>
      <c r="Z206" s="98">
        <v>0</v>
      </c>
      <c r="AA206" s="98">
        <v>0</v>
      </c>
      <c r="AB206" s="98">
        <v>0</v>
      </c>
      <c r="AC206" s="98">
        <v>0</v>
      </c>
      <c r="AD206" s="98">
        <v>0</v>
      </c>
      <c r="AE206" s="98">
        <v>0</v>
      </c>
      <c r="AF206" s="98">
        <f aca="true" t="shared" si="58" ref="AF206:AF229">SUM(X206:AE206)</f>
        <v>0</v>
      </c>
      <c r="AH206" s="98">
        <v>21</v>
      </c>
      <c r="AJ206" s="98">
        <v>0</v>
      </c>
      <c r="AK206" s="98">
        <v>0</v>
      </c>
      <c r="AL206" s="380">
        <v>0</v>
      </c>
      <c r="AN206" s="214">
        <f t="shared" si="48"/>
        <v>114655.5</v>
      </c>
      <c r="AO206" s="214">
        <f t="shared" si="49"/>
        <v>6034.5</v>
      </c>
      <c r="AP206" s="214">
        <f t="shared" si="50"/>
        <v>0</v>
      </c>
      <c r="AQ206" s="214">
        <f t="shared" si="51"/>
        <v>0</v>
      </c>
      <c r="AR206" s="214">
        <f t="shared" si="52"/>
        <v>0</v>
      </c>
      <c r="AS206" s="214">
        <f t="shared" si="53"/>
        <v>0</v>
      </c>
      <c r="AT206" s="214">
        <f t="shared" si="54"/>
        <v>40230</v>
      </c>
      <c r="AU206" s="214">
        <f t="shared" si="55"/>
        <v>68391</v>
      </c>
      <c r="AV206" s="214">
        <f t="shared" si="56"/>
        <v>0</v>
      </c>
      <c r="AW206" s="215">
        <f t="shared" si="57"/>
        <v>114655.5</v>
      </c>
    </row>
    <row r="207" spans="1:49" ht="15" customHeight="1">
      <c r="A207" s="140" t="s">
        <v>176</v>
      </c>
      <c r="B207" s="211" t="s">
        <v>187</v>
      </c>
      <c r="C207" s="140" t="str">
        <f t="shared" si="45"/>
        <v>Pilgrim Lutheran School - Wauwatosa-MPCP</v>
      </c>
      <c r="D207" s="140">
        <v>0</v>
      </c>
      <c r="E207" s="140">
        <v>17</v>
      </c>
      <c r="F207" s="140">
        <v>0</v>
      </c>
      <c r="G207" s="140">
        <v>0</v>
      </c>
      <c r="H207" s="140">
        <v>0</v>
      </c>
      <c r="I207" s="140">
        <v>23</v>
      </c>
      <c r="J207" s="140">
        <v>198</v>
      </c>
      <c r="K207" s="140">
        <v>0</v>
      </c>
      <c r="L207" s="140">
        <f t="shared" si="46"/>
        <v>238</v>
      </c>
      <c r="N207" s="140">
        <v>0</v>
      </c>
      <c r="O207" s="140">
        <v>15</v>
      </c>
      <c r="P207" s="140">
        <v>0</v>
      </c>
      <c r="Q207" s="140">
        <v>0</v>
      </c>
      <c r="R207" s="140">
        <v>0</v>
      </c>
      <c r="S207" s="140">
        <v>21</v>
      </c>
      <c r="T207" s="140">
        <v>190</v>
      </c>
      <c r="U207" s="140">
        <v>0</v>
      </c>
      <c r="V207" s="140">
        <f t="shared" si="47"/>
        <v>226</v>
      </c>
      <c r="X207" s="98">
        <v>0</v>
      </c>
      <c r="Y207" s="98">
        <v>0</v>
      </c>
      <c r="Z207" s="98">
        <v>0</v>
      </c>
      <c r="AA207" s="98">
        <v>0</v>
      </c>
      <c r="AB207" s="98">
        <v>0</v>
      </c>
      <c r="AC207" s="98">
        <v>0</v>
      </c>
      <c r="AD207" s="98">
        <v>4</v>
      </c>
      <c r="AE207" s="98">
        <v>0</v>
      </c>
      <c r="AF207" s="98">
        <f t="shared" si="58"/>
        <v>4</v>
      </c>
      <c r="AH207" s="98">
        <v>156</v>
      </c>
      <c r="AJ207" s="98">
        <v>63</v>
      </c>
      <c r="AK207" s="98">
        <v>0</v>
      </c>
      <c r="AL207" s="380">
        <v>21090.890000000018</v>
      </c>
      <c r="AN207" s="214">
        <f t="shared" si="48"/>
        <v>885060</v>
      </c>
      <c r="AO207" s="214">
        <f t="shared" si="49"/>
        <v>0</v>
      </c>
      <c r="AP207" s="214">
        <f t="shared" si="50"/>
        <v>36207</v>
      </c>
      <c r="AQ207" s="214">
        <f t="shared" si="51"/>
        <v>0</v>
      </c>
      <c r="AR207" s="214">
        <f t="shared" si="52"/>
        <v>0</v>
      </c>
      <c r="AS207" s="214">
        <f t="shared" si="53"/>
        <v>0</v>
      </c>
      <c r="AT207" s="214">
        <f t="shared" si="54"/>
        <v>84483</v>
      </c>
      <c r="AU207" s="214">
        <f t="shared" si="55"/>
        <v>764370</v>
      </c>
      <c r="AV207" s="214">
        <f t="shared" si="56"/>
        <v>0</v>
      </c>
      <c r="AW207" s="215">
        <f t="shared" si="57"/>
        <v>885060</v>
      </c>
    </row>
    <row r="208" spans="1:49" ht="15" customHeight="1">
      <c r="A208" s="140" t="s">
        <v>176</v>
      </c>
      <c r="B208" s="211" t="s">
        <v>96</v>
      </c>
      <c r="C208" s="140" t="str">
        <f t="shared" si="45"/>
        <v>Pilgrim Lutheran School - Wauwatosa-WPCP</v>
      </c>
      <c r="D208" s="140">
        <v>0</v>
      </c>
      <c r="E208" s="140">
        <v>17</v>
      </c>
      <c r="F208" s="140">
        <v>0</v>
      </c>
      <c r="G208" s="140">
        <v>0</v>
      </c>
      <c r="H208" s="140">
        <v>0</v>
      </c>
      <c r="I208" s="140">
        <v>23</v>
      </c>
      <c r="J208" s="140">
        <v>198</v>
      </c>
      <c r="K208" s="140">
        <v>0</v>
      </c>
      <c r="L208" s="140">
        <f t="shared" si="46"/>
        <v>238</v>
      </c>
      <c r="N208" s="140">
        <v>0</v>
      </c>
      <c r="O208" s="140">
        <v>1</v>
      </c>
      <c r="P208" s="140">
        <v>0</v>
      </c>
      <c r="Q208" s="140">
        <v>0</v>
      </c>
      <c r="R208" s="140">
        <v>0</v>
      </c>
      <c r="S208" s="140">
        <v>0</v>
      </c>
      <c r="T208" s="140">
        <v>2</v>
      </c>
      <c r="U208" s="140">
        <v>0</v>
      </c>
      <c r="V208" s="140">
        <f t="shared" si="47"/>
        <v>3</v>
      </c>
      <c r="X208" s="98">
        <v>0</v>
      </c>
      <c r="Y208" s="98">
        <v>0</v>
      </c>
      <c r="Z208" s="98">
        <v>0</v>
      </c>
      <c r="AA208" s="98">
        <v>0</v>
      </c>
      <c r="AB208" s="98">
        <v>0</v>
      </c>
      <c r="AC208" s="98">
        <v>0</v>
      </c>
      <c r="AD208" s="98">
        <v>0</v>
      </c>
      <c r="AE208" s="98">
        <v>0</v>
      </c>
      <c r="AF208" s="98">
        <f t="shared" si="58"/>
        <v>0</v>
      </c>
      <c r="AH208" s="98">
        <v>2</v>
      </c>
      <c r="AJ208" s="98">
        <v>1</v>
      </c>
      <c r="AK208" s="98">
        <v>0</v>
      </c>
      <c r="AL208" s="380">
        <v>387.7</v>
      </c>
      <c r="AN208" s="214">
        <f t="shared" si="48"/>
        <v>10459.8</v>
      </c>
      <c r="AO208" s="214">
        <f t="shared" si="49"/>
        <v>0</v>
      </c>
      <c r="AP208" s="214">
        <f t="shared" si="50"/>
        <v>2413.8</v>
      </c>
      <c r="AQ208" s="214">
        <f t="shared" si="51"/>
        <v>0</v>
      </c>
      <c r="AR208" s="214">
        <f t="shared" si="52"/>
        <v>0</v>
      </c>
      <c r="AS208" s="214">
        <f t="shared" si="53"/>
        <v>0</v>
      </c>
      <c r="AT208" s="214">
        <f t="shared" si="54"/>
        <v>0</v>
      </c>
      <c r="AU208" s="214">
        <f t="shared" si="55"/>
        <v>8046</v>
      </c>
      <c r="AV208" s="214">
        <f t="shared" si="56"/>
        <v>0</v>
      </c>
      <c r="AW208" s="215">
        <f t="shared" si="57"/>
        <v>10459.8</v>
      </c>
    </row>
    <row r="209" spans="1:49" ht="15" customHeight="1">
      <c r="A209" s="140" t="s">
        <v>346</v>
      </c>
      <c r="B209" s="211" t="s">
        <v>187</v>
      </c>
      <c r="C209" s="140" t="str">
        <f t="shared" si="45"/>
        <v>Pius XI Catholic High School-MPCP</v>
      </c>
      <c r="D209" s="140">
        <v>0</v>
      </c>
      <c r="E209" s="140">
        <v>0</v>
      </c>
      <c r="F209" s="140">
        <v>0</v>
      </c>
      <c r="G209" s="140">
        <v>0</v>
      </c>
      <c r="H209" s="140">
        <v>0</v>
      </c>
      <c r="I209" s="140">
        <v>0</v>
      </c>
      <c r="J209" s="140">
        <v>0</v>
      </c>
      <c r="K209" s="140">
        <v>738</v>
      </c>
      <c r="L209" s="140">
        <f t="shared" si="46"/>
        <v>738</v>
      </c>
      <c r="N209" s="140">
        <v>0</v>
      </c>
      <c r="O209" s="140">
        <v>0</v>
      </c>
      <c r="P209" s="140">
        <v>0</v>
      </c>
      <c r="Q209" s="140">
        <v>0</v>
      </c>
      <c r="R209" s="140">
        <v>0</v>
      </c>
      <c r="S209" s="140">
        <v>0</v>
      </c>
      <c r="T209" s="140">
        <v>0</v>
      </c>
      <c r="U209" s="140">
        <v>427</v>
      </c>
      <c r="V209" s="140">
        <f t="shared" si="47"/>
        <v>427</v>
      </c>
      <c r="X209" s="98">
        <v>0</v>
      </c>
      <c r="Y209" s="98">
        <v>0</v>
      </c>
      <c r="Z209" s="98">
        <v>0</v>
      </c>
      <c r="AA209" s="98">
        <v>0</v>
      </c>
      <c r="AB209" s="98">
        <v>0</v>
      </c>
      <c r="AC209" s="98">
        <v>0</v>
      </c>
      <c r="AD209" s="98">
        <v>0</v>
      </c>
      <c r="AE209" s="98">
        <v>9</v>
      </c>
      <c r="AF209" s="98">
        <f t="shared" si="58"/>
        <v>9</v>
      </c>
      <c r="AH209" s="98">
        <v>381</v>
      </c>
      <c r="AJ209" s="98">
        <v>0</v>
      </c>
      <c r="AK209" s="98">
        <v>0</v>
      </c>
      <c r="AL209" s="380">
        <v>0</v>
      </c>
      <c r="AN209" s="214">
        <f t="shared" si="48"/>
        <v>1855742</v>
      </c>
      <c r="AO209" s="214">
        <f t="shared" si="49"/>
        <v>0</v>
      </c>
      <c r="AP209" s="214">
        <f t="shared" si="50"/>
        <v>0</v>
      </c>
      <c r="AQ209" s="214">
        <f t="shared" si="51"/>
        <v>0</v>
      </c>
      <c r="AR209" s="214">
        <f t="shared" si="52"/>
        <v>0</v>
      </c>
      <c r="AS209" s="214">
        <f t="shared" si="53"/>
        <v>0</v>
      </c>
      <c r="AT209" s="214">
        <f t="shared" si="54"/>
        <v>0</v>
      </c>
      <c r="AU209" s="214">
        <f t="shared" si="55"/>
        <v>0</v>
      </c>
      <c r="AV209" s="214">
        <f t="shared" si="56"/>
        <v>1855742</v>
      </c>
      <c r="AW209" s="215">
        <f t="shared" si="57"/>
        <v>1855742</v>
      </c>
    </row>
    <row r="210" spans="1:49" ht="15" customHeight="1">
      <c r="A210" s="140" t="s">
        <v>346</v>
      </c>
      <c r="B210" s="211" t="s">
        <v>96</v>
      </c>
      <c r="C210" s="140" t="str">
        <f t="shared" si="45"/>
        <v>Pius XI Catholic High School-WPCP</v>
      </c>
      <c r="D210" s="140">
        <v>0</v>
      </c>
      <c r="E210" s="140">
        <v>0</v>
      </c>
      <c r="F210" s="140">
        <v>0</v>
      </c>
      <c r="G210" s="140">
        <v>0</v>
      </c>
      <c r="H210" s="140">
        <v>0</v>
      </c>
      <c r="I210" s="140">
        <v>0</v>
      </c>
      <c r="J210" s="140">
        <v>0</v>
      </c>
      <c r="K210" s="140">
        <v>738</v>
      </c>
      <c r="L210" s="140">
        <f t="shared" si="46"/>
        <v>738</v>
      </c>
      <c r="N210" s="140">
        <v>0</v>
      </c>
      <c r="O210" s="140">
        <v>0</v>
      </c>
      <c r="P210" s="140">
        <v>0</v>
      </c>
      <c r="Q210" s="140">
        <v>0</v>
      </c>
      <c r="R210" s="140">
        <v>0</v>
      </c>
      <c r="S210" s="140">
        <v>0</v>
      </c>
      <c r="T210" s="140">
        <v>0</v>
      </c>
      <c r="U210" s="140">
        <v>32</v>
      </c>
      <c r="V210" s="140">
        <f t="shared" si="47"/>
        <v>32</v>
      </c>
      <c r="X210" s="98">
        <v>0</v>
      </c>
      <c r="Y210" s="98">
        <v>0</v>
      </c>
      <c r="Z210" s="98">
        <v>0</v>
      </c>
      <c r="AA210" s="98">
        <v>0</v>
      </c>
      <c r="AB210" s="98">
        <v>0</v>
      </c>
      <c r="AC210" s="98">
        <v>0</v>
      </c>
      <c r="AD210" s="98">
        <v>0</v>
      </c>
      <c r="AE210" s="98">
        <v>4</v>
      </c>
      <c r="AF210" s="98">
        <f t="shared" si="58"/>
        <v>4</v>
      </c>
      <c r="AH210" s="98">
        <v>29</v>
      </c>
      <c r="AJ210" s="98">
        <v>0</v>
      </c>
      <c r="AK210" s="98">
        <v>0</v>
      </c>
      <c r="AL210" s="380">
        <v>0</v>
      </c>
      <c r="AN210" s="214">
        <f t="shared" si="48"/>
        <v>139072</v>
      </c>
      <c r="AO210" s="214">
        <f t="shared" si="49"/>
        <v>0</v>
      </c>
      <c r="AP210" s="214">
        <f t="shared" si="50"/>
        <v>0</v>
      </c>
      <c r="AQ210" s="214">
        <f t="shared" si="51"/>
        <v>0</v>
      </c>
      <c r="AR210" s="214">
        <f t="shared" si="52"/>
        <v>0</v>
      </c>
      <c r="AS210" s="214">
        <f t="shared" si="53"/>
        <v>0</v>
      </c>
      <c r="AT210" s="214">
        <f t="shared" si="54"/>
        <v>0</v>
      </c>
      <c r="AU210" s="214">
        <f t="shared" si="55"/>
        <v>0</v>
      </c>
      <c r="AV210" s="214">
        <f t="shared" si="56"/>
        <v>139072</v>
      </c>
      <c r="AW210" s="215">
        <f t="shared" si="57"/>
        <v>139072</v>
      </c>
    </row>
    <row r="211" spans="1:49" ht="15" customHeight="1">
      <c r="A211" s="140" t="s">
        <v>455</v>
      </c>
      <c r="B211" s="211" t="s">
        <v>96</v>
      </c>
      <c r="C211" s="140" t="str">
        <f t="shared" si="45"/>
        <v>Prairie Hill Waldorf School-WPCP</v>
      </c>
      <c r="D211" s="140">
        <v>22</v>
      </c>
      <c r="E211" s="140">
        <v>0</v>
      </c>
      <c r="F211" s="140">
        <v>0</v>
      </c>
      <c r="G211" s="140">
        <v>1</v>
      </c>
      <c r="H211" s="140">
        <v>0</v>
      </c>
      <c r="I211" s="140">
        <v>22</v>
      </c>
      <c r="J211" s="140">
        <v>67</v>
      </c>
      <c r="K211" s="140">
        <v>0</v>
      </c>
      <c r="L211" s="140">
        <f t="shared" si="46"/>
        <v>112</v>
      </c>
      <c r="N211" s="140">
        <v>8</v>
      </c>
      <c r="O211" s="140">
        <v>0</v>
      </c>
      <c r="P211" s="140">
        <v>0</v>
      </c>
      <c r="Q211" s="140">
        <v>0</v>
      </c>
      <c r="R211" s="140">
        <v>0</v>
      </c>
      <c r="S211" s="140">
        <v>13</v>
      </c>
      <c r="T211" s="140">
        <v>20</v>
      </c>
      <c r="U211" s="140">
        <v>0</v>
      </c>
      <c r="V211" s="140">
        <f t="shared" si="47"/>
        <v>41</v>
      </c>
      <c r="X211" s="98">
        <v>0</v>
      </c>
      <c r="Y211" s="98">
        <v>0</v>
      </c>
      <c r="Z211" s="98">
        <v>0</v>
      </c>
      <c r="AA211" s="98">
        <v>0</v>
      </c>
      <c r="AB211" s="98">
        <v>0</v>
      </c>
      <c r="AC211" s="98">
        <v>1</v>
      </c>
      <c r="AD211" s="98">
        <v>0</v>
      </c>
      <c r="AE211" s="98">
        <v>0</v>
      </c>
      <c r="AF211" s="98">
        <f t="shared" si="58"/>
        <v>1</v>
      </c>
      <c r="AH211" s="98">
        <v>28</v>
      </c>
      <c r="AJ211" s="98">
        <v>0</v>
      </c>
      <c r="AK211" s="98">
        <v>0</v>
      </c>
      <c r="AL211" s="380">
        <v>0</v>
      </c>
      <c r="AN211" s="214">
        <f t="shared" si="48"/>
        <v>148851</v>
      </c>
      <c r="AO211" s="214">
        <f t="shared" si="49"/>
        <v>16092</v>
      </c>
      <c r="AP211" s="214">
        <f t="shared" si="50"/>
        <v>0</v>
      </c>
      <c r="AQ211" s="214">
        <f t="shared" si="51"/>
        <v>0</v>
      </c>
      <c r="AR211" s="214">
        <f t="shared" si="52"/>
        <v>0</v>
      </c>
      <c r="AS211" s="214">
        <f t="shared" si="53"/>
        <v>0</v>
      </c>
      <c r="AT211" s="214">
        <f t="shared" si="54"/>
        <v>52299</v>
      </c>
      <c r="AU211" s="214">
        <f t="shared" si="55"/>
        <v>80460</v>
      </c>
      <c r="AV211" s="214">
        <f t="shared" si="56"/>
        <v>0</v>
      </c>
      <c r="AW211" s="215">
        <f t="shared" si="57"/>
        <v>148851</v>
      </c>
    </row>
    <row r="212" spans="1:49" ht="15" customHeight="1">
      <c r="A212" s="140" t="s">
        <v>238</v>
      </c>
      <c r="B212" s="211" t="s">
        <v>187</v>
      </c>
      <c r="C212" s="140" t="str">
        <f t="shared" si="45"/>
        <v>Prince of Peace-MPCP</v>
      </c>
      <c r="D212" s="140">
        <v>0</v>
      </c>
      <c r="E212" s="140">
        <v>32</v>
      </c>
      <c r="F212" s="140">
        <v>0</v>
      </c>
      <c r="G212" s="140">
        <v>0</v>
      </c>
      <c r="H212" s="140">
        <v>0</v>
      </c>
      <c r="I212" s="140">
        <v>31</v>
      </c>
      <c r="J212" s="140">
        <v>351</v>
      </c>
      <c r="K212" s="140">
        <v>0</v>
      </c>
      <c r="L212" s="140">
        <f t="shared" si="46"/>
        <v>414</v>
      </c>
      <c r="N212" s="140">
        <v>0</v>
      </c>
      <c r="O212" s="140">
        <v>30</v>
      </c>
      <c r="P212" s="140">
        <v>0</v>
      </c>
      <c r="Q212" s="140">
        <v>0</v>
      </c>
      <c r="R212" s="140">
        <v>0</v>
      </c>
      <c r="S212" s="140">
        <v>31</v>
      </c>
      <c r="T212" s="140">
        <v>347</v>
      </c>
      <c r="U212" s="140">
        <v>0</v>
      </c>
      <c r="V212" s="140">
        <f t="shared" si="47"/>
        <v>408</v>
      </c>
      <c r="X212" s="98">
        <v>0</v>
      </c>
      <c r="Y212" s="98">
        <v>0</v>
      </c>
      <c r="Z212" s="98">
        <v>0</v>
      </c>
      <c r="AA212" s="98">
        <v>0</v>
      </c>
      <c r="AB212" s="98">
        <v>0</v>
      </c>
      <c r="AC212" s="98">
        <v>0</v>
      </c>
      <c r="AD212" s="98">
        <v>0</v>
      </c>
      <c r="AE212" s="98">
        <v>0</v>
      </c>
      <c r="AF212" s="98">
        <f t="shared" si="58"/>
        <v>0</v>
      </c>
      <c r="AH212" s="98">
        <v>249</v>
      </c>
      <c r="AJ212" s="98">
        <v>0</v>
      </c>
      <c r="AK212" s="98">
        <v>0</v>
      </c>
      <c r="AL212" s="380">
        <v>0</v>
      </c>
      <c r="AN212" s="214">
        <f t="shared" si="48"/>
        <v>1593108</v>
      </c>
      <c r="AO212" s="214">
        <f t="shared" si="49"/>
        <v>0</v>
      </c>
      <c r="AP212" s="214">
        <f t="shared" si="50"/>
        <v>72414</v>
      </c>
      <c r="AQ212" s="214">
        <f t="shared" si="51"/>
        <v>0</v>
      </c>
      <c r="AR212" s="214">
        <f t="shared" si="52"/>
        <v>0</v>
      </c>
      <c r="AS212" s="214">
        <f t="shared" si="53"/>
        <v>0</v>
      </c>
      <c r="AT212" s="214">
        <f t="shared" si="54"/>
        <v>124713</v>
      </c>
      <c r="AU212" s="214">
        <f t="shared" si="55"/>
        <v>1395981</v>
      </c>
      <c r="AV212" s="214">
        <f t="shared" si="56"/>
        <v>0</v>
      </c>
      <c r="AW212" s="215">
        <f t="shared" si="57"/>
        <v>1593108</v>
      </c>
    </row>
    <row r="213" spans="1:49" ht="15" customHeight="1">
      <c r="A213" s="140" t="s">
        <v>238</v>
      </c>
      <c r="B213" s="211" t="s">
        <v>96</v>
      </c>
      <c r="C213" s="140" t="str">
        <f t="shared" si="45"/>
        <v>Prince of Peace-WPCP</v>
      </c>
      <c r="D213" s="140">
        <v>0</v>
      </c>
      <c r="E213" s="140">
        <v>32</v>
      </c>
      <c r="F213" s="140">
        <v>0</v>
      </c>
      <c r="G213" s="140">
        <v>0</v>
      </c>
      <c r="H213" s="140">
        <v>0</v>
      </c>
      <c r="I213" s="140">
        <v>31</v>
      </c>
      <c r="J213" s="140">
        <v>351</v>
      </c>
      <c r="K213" s="140">
        <v>0</v>
      </c>
      <c r="L213" s="140">
        <f t="shared" si="46"/>
        <v>414</v>
      </c>
      <c r="N213" s="140">
        <v>0</v>
      </c>
      <c r="O213" s="140">
        <v>1</v>
      </c>
      <c r="P213" s="140">
        <v>0</v>
      </c>
      <c r="Q213" s="140">
        <v>0</v>
      </c>
      <c r="R213" s="140">
        <v>0</v>
      </c>
      <c r="S213" s="140">
        <v>0</v>
      </c>
      <c r="T213" s="140">
        <v>2</v>
      </c>
      <c r="U213" s="140">
        <v>0</v>
      </c>
      <c r="V213" s="140">
        <f t="shared" si="47"/>
        <v>3</v>
      </c>
      <c r="X213" s="98">
        <v>0</v>
      </c>
      <c r="Y213" s="98">
        <v>0</v>
      </c>
      <c r="Z213" s="98">
        <v>0</v>
      </c>
      <c r="AA213" s="98">
        <v>0</v>
      </c>
      <c r="AB213" s="98">
        <v>0</v>
      </c>
      <c r="AC213" s="98">
        <v>0</v>
      </c>
      <c r="AD213" s="98">
        <v>0</v>
      </c>
      <c r="AE213" s="98">
        <v>0</v>
      </c>
      <c r="AF213" s="98">
        <f t="shared" si="58"/>
        <v>0</v>
      </c>
      <c r="AH213" s="98">
        <v>2</v>
      </c>
      <c r="AJ213" s="98">
        <v>0</v>
      </c>
      <c r="AK213" s="98">
        <v>0</v>
      </c>
      <c r="AL213" s="380">
        <v>0</v>
      </c>
      <c r="AN213" s="214">
        <f t="shared" si="48"/>
        <v>10459.8</v>
      </c>
      <c r="AO213" s="214">
        <f t="shared" si="49"/>
        <v>0</v>
      </c>
      <c r="AP213" s="214">
        <f t="shared" si="50"/>
        <v>2413.8</v>
      </c>
      <c r="AQ213" s="214">
        <f t="shared" si="51"/>
        <v>0</v>
      </c>
      <c r="AR213" s="214">
        <f t="shared" si="52"/>
        <v>0</v>
      </c>
      <c r="AS213" s="214">
        <f t="shared" si="53"/>
        <v>0</v>
      </c>
      <c r="AT213" s="214">
        <f t="shared" si="54"/>
        <v>0</v>
      </c>
      <c r="AU213" s="214">
        <f t="shared" si="55"/>
        <v>8046</v>
      </c>
      <c r="AV213" s="214">
        <f t="shared" si="56"/>
        <v>0</v>
      </c>
      <c r="AW213" s="215">
        <f t="shared" si="57"/>
        <v>10459.8</v>
      </c>
    </row>
    <row r="214" spans="1:49" ht="15" customHeight="1">
      <c r="A214" s="140" t="s">
        <v>347</v>
      </c>
      <c r="B214" s="211" t="s">
        <v>188</v>
      </c>
      <c r="C214" s="140" t="str">
        <f t="shared" si="45"/>
        <v>Racine Christian School-RPCP</v>
      </c>
      <c r="D214" s="140">
        <v>0</v>
      </c>
      <c r="E214" s="140">
        <v>0</v>
      </c>
      <c r="F214" s="140">
        <v>0</v>
      </c>
      <c r="G214" s="140">
        <v>0</v>
      </c>
      <c r="H214" s="140">
        <v>0</v>
      </c>
      <c r="I214" s="140">
        <v>16</v>
      </c>
      <c r="J214" s="140">
        <v>135</v>
      </c>
      <c r="K214" s="140">
        <v>0</v>
      </c>
      <c r="L214" s="140">
        <f t="shared" si="46"/>
        <v>151</v>
      </c>
      <c r="N214" s="140">
        <v>0</v>
      </c>
      <c r="O214" s="140">
        <v>0</v>
      </c>
      <c r="P214" s="140">
        <v>0</v>
      </c>
      <c r="Q214" s="140">
        <v>0</v>
      </c>
      <c r="R214" s="140">
        <v>0</v>
      </c>
      <c r="S214" s="140">
        <v>12</v>
      </c>
      <c r="T214" s="140">
        <v>70</v>
      </c>
      <c r="U214" s="140">
        <v>0</v>
      </c>
      <c r="V214" s="140">
        <f t="shared" si="47"/>
        <v>82</v>
      </c>
      <c r="X214" s="98">
        <v>0</v>
      </c>
      <c r="Y214" s="98">
        <v>0</v>
      </c>
      <c r="Z214" s="98">
        <v>0</v>
      </c>
      <c r="AA214" s="98">
        <v>0</v>
      </c>
      <c r="AB214" s="98">
        <v>0</v>
      </c>
      <c r="AC214" s="98">
        <v>0</v>
      </c>
      <c r="AD214" s="98">
        <v>20</v>
      </c>
      <c r="AE214" s="98">
        <v>0</v>
      </c>
      <c r="AF214" s="98">
        <f t="shared" si="58"/>
        <v>20</v>
      </c>
      <c r="AH214" s="98">
        <v>60</v>
      </c>
      <c r="AJ214" s="98">
        <v>0</v>
      </c>
      <c r="AK214" s="98">
        <v>0</v>
      </c>
      <c r="AL214" s="380">
        <v>0</v>
      </c>
      <c r="AN214" s="214">
        <f t="shared" si="48"/>
        <v>329886</v>
      </c>
      <c r="AO214" s="214">
        <f t="shared" si="49"/>
        <v>0</v>
      </c>
      <c r="AP214" s="214">
        <f t="shared" si="50"/>
        <v>0</v>
      </c>
      <c r="AQ214" s="214">
        <f t="shared" si="51"/>
        <v>0</v>
      </c>
      <c r="AR214" s="214">
        <f t="shared" si="52"/>
        <v>0</v>
      </c>
      <c r="AS214" s="214">
        <f t="shared" si="53"/>
        <v>0</v>
      </c>
      <c r="AT214" s="214">
        <f t="shared" si="54"/>
        <v>48276</v>
      </c>
      <c r="AU214" s="214">
        <f t="shared" si="55"/>
        <v>281610</v>
      </c>
      <c r="AV214" s="214">
        <f t="shared" si="56"/>
        <v>0</v>
      </c>
      <c r="AW214" s="215">
        <f t="shared" si="57"/>
        <v>329886</v>
      </c>
    </row>
    <row r="215" spans="1:49" ht="15" customHeight="1">
      <c r="A215" s="140" t="s">
        <v>318</v>
      </c>
      <c r="B215" s="211" t="s">
        <v>96</v>
      </c>
      <c r="C215" s="140" t="str">
        <f t="shared" si="45"/>
        <v>Randolph Christian School Society, Inc.-WPCP</v>
      </c>
      <c r="D215" s="140">
        <v>7</v>
      </c>
      <c r="E215" s="140">
        <v>0</v>
      </c>
      <c r="F215" s="140">
        <v>0</v>
      </c>
      <c r="G215" s="140">
        <v>0</v>
      </c>
      <c r="H215" s="140">
        <v>0</v>
      </c>
      <c r="I215" s="140">
        <v>3</v>
      </c>
      <c r="J215" s="140">
        <v>49</v>
      </c>
      <c r="K215" s="140">
        <v>0</v>
      </c>
      <c r="L215" s="140">
        <f t="shared" si="46"/>
        <v>59</v>
      </c>
      <c r="N215" s="140">
        <v>4</v>
      </c>
      <c r="O215" s="140">
        <v>0</v>
      </c>
      <c r="P215" s="140">
        <v>0</v>
      </c>
      <c r="Q215" s="140">
        <v>0</v>
      </c>
      <c r="R215" s="140">
        <v>0</v>
      </c>
      <c r="S215" s="140">
        <v>3</v>
      </c>
      <c r="T215" s="140">
        <v>11</v>
      </c>
      <c r="U215" s="140">
        <v>0</v>
      </c>
      <c r="V215" s="140">
        <f t="shared" si="47"/>
        <v>18</v>
      </c>
      <c r="X215" s="98">
        <v>0</v>
      </c>
      <c r="Y215" s="98">
        <v>0</v>
      </c>
      <c r="Z215" s="98">
        <v>0</v>
      </c>
      <c r="AA215" s="98">
        <v>0</v>
      </c>
      <c r="AB215" s="98">
        <v>0</v>
      </c>
      <c r="AC215" s="98">
        <v>0</v>
      </c>
      <c r="AD215" s="98">
        <v>0</v>
      </c>
      <c r="AE215" s="98">
        <v>0</v>
      </c>
      <c r="AF215" s="98">
        <f t="shared" si="58"/>
        <v>0</v>
      </c>
      <c r="AH215" s="98">
        <v>11</v>
      </c>
      <c r="AJ215" s="98">
        <v>0</v>
      </c>
      <c r="AK215" s="98">
        <v>0</v>
      </c>
      <c r="AL215" s="380">
        <v>0</v>
      </c>
      <c r="AN215" s="214">
        <f t="shared" si="48"/>
        <v>64368</v>
      </c>
      <c r="AO215" s="214">
        <f t="shared" si="49"/>
        <v>8046</v>
      </c>
      <c r="AP215" s="214">
        <f t="shared" si="50"/>
        <v>0</v>
      </c>
      <c r="AQ215" s="214">
        <f t="shared" si="51"/>
        <v>0</v>
      </c>
      <c r="AR215" s="214">
        <f t="shared" si="52"/>
        <v>0</v>
      </c>
      <c r="AS215" s="214">
        <f t="shared" si="53"/>
        <v>0</v>
      </c>
      <c r="AT215" s="214">
        <f t="shared" si="54"/>
        <v>12069</v>
      </c>
      <c r="AU215" s="214">
        <f t="shared" si="55"/>
        <v>44253</v>
      </c>
      <c r="AV215" s="214">
        <f t="shared" si="56"/>
        <v>0</v>
      </c>
      <c r="AW215" s="215">
        <f t="shared" si="57"/>
        <v>64368</v>
      </c>
    </row>
    <row r="216" spans="1:49" ht="15" customHeight="1">
      <c r="A216" s="140" t="s">
        <v>137</v>
      </c>
      <c r="B216" s="211" t="s">
        <v>96</v>
      </c>
      <c r="C216" s="140" t="str">
        <f t="shared" si="45"/>
        <v>Regis Catholic Schools-WPCP</v>
      </c>
      <c r="D216" s="140">
        <v>0</v>
      </c>
      <c r="E216" s="140">
        <v>0</v>
      </c>
      <c r="F216" s="140">
        <v>0</v>
      </c>
      <c r="G216" s="140">
        <v>0</v>
      </c>
      <c r="H216" s="140">
        <v>0</v>
      </c>
      <c r="I216" s="140">
        <v>73</v>
      </c>
      <c r="J216" s="140">
        <v>503</v>
      </c>
      <c r="K216" s="140">
        <v>224</v>
      </c>
      <c r="L216" s="140">
        <f t="shared" si="46"/>
        <v>800</v>
      </c>
      <c r="N216" s="140">
        <v>0</v>
      </c>
      <c r="O216" s="140">
        <v>0</v>
      </c>
      <c r="P216" s="140">
        <v>0</v>
      </c>
      <c r="Q216" s="140">
        <v>0</v>
      </c>
      <c r="R216" s="140">
        <v>0</v>
      </c>
      <c r="S216" s="140">
        <v>22</v>
      </c>
      <c r="T216" s="140">
        <v>123</v>
      </c>
      <c r="U216" s="140">
        <v>37</v>
      </c>
      <c r="V216" s="140">
        <f t="shared" si="47"/>
        <v>182</v>
      </c>
      <c r="X216" s="98">
        <v>0</v>
      </c>
      <c r="Y216" s="98">
        <v>0</v>
      </c>
      <c r="Z216" s="98">
        <v>0</v>
      </c>
      <c r="AA216" s="98">
        <v>0</v>
      </c>
      <c r="AB216" s="98">
        <v>0</v>
      </c>
      <c r="AC216" s="98">
        <v>0</v>
      </c>
      <c r="AD216" s="98">
        <v>0</v>
      </c>
      <c r="AE216" s="98">
        <v>0</v>
      </c>
      <c r="AF216" s="98">
        <f t="shared" si="58"/>
        <v>0</v>
      </c>
      <c r="AH216" s="98">
        <v>107</v>
      </c>
      <c r="AJ216" s="98">
        <v>0</v>
      </c>
      <c r="AK216" s="98">
        <v>0</v>
      </c>
      <c r="AL216" s="380">
        <v>0</v>
      </c>
      <c r="AN216" s="214">
        <f t="shared" si="48"/>
        <v>744137</v>
      </c>
      <c r="AO216" s="214">
        <f t="shared" si="49"/>
        <v>0</v>
      </c>
      <c r="AP216" s="214">
        <f t="shared" si="50"/>
        <v>0</v>
      </c>
      <c r="AQ216" s="214">
        <f t="shared" si="51"/>
        <v>0</v>
      </c>
      <c r="AR216" s="214">
        <f t="shared" si="52"/>
        <v>0</v>
      </c>
      <c r="AS216" s="214">
        <f t="shared" si="53"/>
        <v>0</v>
      </c>
      <c r="AT216" s="214">
        <f t="shared" si="54"/>
        <v>88506</v>
      </c>
      <c r="AU216" s="214">
        <f t="shared" si="55"/>
        <v>494829</v>
      </c>
      <c r="AV216" s="214">
        <f t="shared" si="56"/>
        <v>160802</v>
      </c>
      <c r="AW216" s="215">
        <f t="shared" si="57"/>
        <v>744137</v>
      </c>
    </row>
    <row r="217" spans="1:49" ht="15" customHeight="1">
      <c r="A217" s="140" t="s">
        <v>585</v>
      </c>
      <c r="B217" s="211" t="s">
        <v>188</v>
      </c>
      <c r="C217" s="140" t="str">
        <f t="shared" si="45"/>
        <v>Renaissance Lutheran School-RPCP</v>
      </c>
      <c r="D217" s="140">
        <v>0</v>
      </c>
      <c r="E217" s="140">
        <v>51</v>
      </c>
      <c r="F217" s="140">
        <v>0</v>
      </c>
      <c r="G217" s="140">
        <v>0</v>
      </c>
      <c r="H217" s="140">
        <v>0</v>
      </c>
      <c r="I217" s="140">
        <v>45</v>
      </c>
      <c r="J217" s="140">
        <v>299</v>
      </c>
      <c r="K217" s="140">
        <v>0</v>
      </c>
      <c r="L217" s="140">
        <f t="shared" si="46"/>
        <v>395</v>
      </c>
      <c r="N217" s="140">
        <v>0</v>
      </c>
      <c r="O217" s="140">
        <v>48</v>
      </c>
      <c r="P217" s="140">
        <v>0</v>
      </c>
      <c r="Q217" s="140">
        <v>0</v>
      </c>
      <c r="R217" s="140">
        <v>0</v>
      </c>
      <c r="S217" s="140">
        <v>42</v>
      </c>
      <c r="T217" s="140">
        <v>289</v>
      </c>
      <c r="U217" s="140">
        <v>0</v>
      </c>
      <c r="V217" s="140">
        <f t="shared" si="47"/>
        <v>379</v>
      </c>
      <c r="X217" s="98">
        <v>0</v>
      </c>
      <c r="Y217" s="98">
        <v>2</v>
      </c>
      <c r="Z217" s="98">
        <v>0</v>
      </c>
      <c r="AA217" s="98">
        <v>0</v>
      </c>
      <c r="AB217" s="98">
        <v>0</v>
      </c>
      <c r="AC217" s="98">
        <v>0</v>
      </c>
      <c r="AD217" s="98">
        <v>3</v>
      </c>
      <c r="AE217" s="98">
        <v>0</v>
      </c>
      <c r="AF217" s="98">
        <f t="shared" si="58"/>
        <v>5</v>
      </c>
      <c r="AH217" s="98">
        <v>231</v>
      </c>
      <c r="AJ217" s="98">
        <v>97</v>
      </c>
      <c r="AK217" s="98">
        <v>0</v>
      </c>
      <c r="AL217" s="380">
        <v>30835.07000000002</v>
      </c>
      <c r="AN217" s="214">
        <f t="shared" si="48"/>
        <v>1447475.4</v>
      </c>
      <c r="AO217" s="214">
        <f t="shared" si="49"/>
        <v>0</v>
      </c>
      <c r="AP217" s="214">
        <f t="shared" si="50"/>
        <v>115862.4</v>
      </c>
      <c r="AQ217" s="214">
        <f t="shared" si="51"/>
        <v>0</v>
      </c>
      <c r="AR217" s="214">
        <f t="shared" si="52"/>
        <v>0</v>
      </c>
      <c r="AS217" s="214">
        <f t="shared" si="53"/>
        <v>0</v>
      </c>
      <c r="AT217" s="214">
        <f t="shared" si="54"/>
        <v>168966</v>
      </c>
      <c r="AU217" s="214">
        <f t="shared" si="55"/>
        <v>1162647</v>
      </c>
      <c r="AV217" s="214">
        <f t="shared" si="56"/>
        <v>0</v>
      </c>
      <c r="AW217" s="215">
        <f t="shared" si="57"/>
        <v>1447475.4</v>
      </c>
    </row>
    <row r="218" spans="1:49" ht="15" customHeight="1">
      <c r="A218" s="140" t="s">
        <v>585</v>
      </c>
      <c r="B218" s="211" t="s">
        <v>96</v>
      </c>
      <c r="C218" s="140" t="str">
        <f t="shared" si="45"/>
        <v>Renaissance Lutheran School-WPCP</v>
      </c>
      <c r="D218" s="140">
        <v>0</v>
      </c>
      <c r="E218" s="140">
        <v>51</v>
      </c>
      <c r="F218" s="140">
        <v>0</v>
      </c>
      <c r="G218" s="140">
        <v>0</v>
      </c>
      <c r="H218" s="140">
        <v>0</v>
      </c>
      <c r="I218" s="140">
        <v>45</v>
      </c>
      <c r="J218" s="140">
        <v>299</v>
      </c>
      <c r="K218" s="140">
        <v>0</v>
      </c>
      <c r="L218" s="140">
        <f t="shared" si="46"/>
        <v>395</v>
      </c>
      <c r="N218" s="140">
        <v>0</v>
      </c>
      <c r="O218" s="140">
        <v>3</v>
      </c>
      <c r="P218" s="140">
        <v>0</v>
      </c>
      <c r="Q218" s="140">
        <v>0</v>
      </c>
      <c r="R218" s="140">
        <v>0</v>
      </c>
      <c r="S218" s="140">
        <v>1</v>
      </c>
      <c r="T218" s="140">
        <v>3</v>
      </c>
      <c r="U218" s="140">
        <v>0</v>
      </c>
      <c r="V218" s="140">
        <f t="shared" si="47"/>
        <v>7</v>
      </c>
      <c r="X218" s="98">
        <v>0</v>
      </c>
      <c r="Y218" s="98">
        <v>0</v>
      </c>
      <c r="Z218" s="98">
        <v>0</v>
      </c>
      <c r="AA218" s="98">
        <v>0</v>
      </c>
      <c r="AB218" s="98">
        <v>0</v>
      </c>
      <c r="AC218" s="98">
        <v>0</v>
      </c>
      <c r="AD218" s="98">
        <v>0</v>
      </c>
      <c r="AE218" s="98">
        <v>0</v>
      </c>
      <c r="AF218" s="98">
        <f t="shared" si="58"/>
        <v>0</v>
      </c>
      <c r="AH218" s="98">
        <v>5</v>
      </c>
      <c r="AJ218" s="98">
        <v>2</v>
      </c>
      <c r="AK218" s="98">
        <v>0</v>
      </c>
      <c r="AL218" s="380">
        <v>775.4</v>
      </c>
      <c r="AN218" s="214">
        <f t="shared" si="48"/>
        <v>23333.4</v>
      </c>
      <c r="AO218" s="214">
        <f t="shared" si="49"/>
        <v>0</v>
      </c>
      <c r="AP218" s="214">
        <f t="shared" si="50"/>
        <v>7241.4</v>
      </c>
      <c r="AQ218" s="214">
        <f t="shared" si="51"/>
        <v>0</v>
      </c>
      <c r="AR218" s="214">
        <f t="shared" si="52"/>
        <v>0</v>
      </c>
      <c r="AS218" s="214">
        <f t="shared" si="53"/>
        <v>0</v>
      </c>
      <c r="AT218" s="214">
        <f t="shared" si="54"/>
        <v>4023</v>
      </c>
      <c r="AU218" s="214">
        <f t="shared" si="55"/>
        <v>12069</v>
      </c>
      <c r="AV218" s="214">
        <f t="shared" si="56"/>
        <v>0</v>
      </c>
      <c r="AW218" s="215">
        <f t="shared" si="57"/>
        <v>23333.4</v>
      </c>
    </row>
    <row r="219" spans="1:49" ht="15" customHeight="1">
      <c r="A219" s="140" t="s">
        <v>239</v>
      </c>
      <c r="B219" s="211" t="s">
        <v>187</v>
      </c>
      <c r="C219" s="140" t="str">
        <f t="shared" si="45"/>
        <v>Right Step, Inc.-MPCP</v>
      </c>
      <c r="D219" s="140">
        <v>0</v>
      </c>
      <c r="E219" s="140">
        <v>0</v>
      </c>
      <c r="F219" s="140">
        <v>0</v>
      </c>
      <c r="G219" s="140">
        <v>0</v>
      </c>
      <c r="H219" s="140">
        <v>0</v>
      </c>
      <c r="I219" s="140">
        <v>0</v>
      </c>
      <c r="J219" s="140">
        <v>43</v>
      </c>
      <c r="K219" s="140">
        <v>39</v>
      </c>
      <c r="L219" s="140">
        <f t="shared" si="46"/>
        <v>82</v>
      </c>
      <c r="N219" s="140">
        <v>0</v>
      </c>
      <c r="O219" s="140">
        <v>0</v>
      </c>
      <c r="P219" s="140">
        <v>0</v>
      </c>
      <c r="Q219" s="140">
        <v>0</v>
      </c>
      <c r="R219" s="140">
        <v>0</v>
      </c>
      <c r="S219" s="140">
        <v>0</v>
      </c>
      <c r="T219" s="140">
        <v>41</v>
      </c>
      <c r="U219" s="140">
        <v>37</v>
      </c>
      <c r="V219" s="140">
        <f t="shared" si="47"/>
        <v>78</v>
      </c>
      <c r="X219" s="98">
        <v>0</v>
      </c>
      <c r="Y219" s="98">
        <v>0</v>
      </c>
      <c r="Z219" s="98">
        <v>0</v>
      </c>
      <c r="AA219" s="98">
        <v>0</v>
      </c>
      <c r="AB219" s="98">
        <v>0</v>
      </c>
      <c r="AC219" s="98">
        <v>0</v>
      </c>
      <c r="AD219" s="98">
        <v>0</v>
      </c>
      <c r="AE219" s="98">
        <v>0</v>
      </c>
      <c r="AF219" s="98">
        <f t="shared" si="58"/>
        <v>0</v>
      </c>
      <c r="AH219" s="98">
        <v>69</v>
      </c>
      <c r="AJ219" s="98">
        <v>0</v>
      </c>
      <c r="AK219" s="98">
        <v>0</v>
      </c>
      <c r="AL219" s="380">
        <v>0</v>
      </c>
      <c r="AN219" s="214">
        <f t="shared" si="48"/>
        <v>325745</v>
      </c>
      <c r="AO219" s="214">
        <f t="shared" si="49"/>
        <v>0</v>
      </c>
      <c r="AP219" s="214">
        <f t="shared" si="50"/>
        <v>0</v>
      </c>
      <c r="AQ219" s="214">
        <f t="shared" si="51"/>
        <v>0</v>
      </c>
      <c r="AR219" s="214">
        <f t="shared" si="52"/>
        <v>0</v>
      </c>
      <c r="AS219" s="214">
        <f t="shared" si="53"/>
        <v>0</v>
      </c>
      <c r="AT219" s="214">
        <f t="shared" si="54"/>
        <v>0</v>
      </c>
      <c r="AU219" s="214">
        <f t="shared" si="55"/>
        <v>164943</v>
      </c>
      <c r="AV219" s="214">
        <f t="shared" si="56"/>
        <v>160802</v>
      </c>
      <c r="AW219" s="215">
        <f t="shared" si="57"/>
        <v>325745</v>
      </c>
    </row>
    <row r="220" spans="1:49" ht="15" customHeight="1">
      <c r="A220" s="140" t="s">
        <v>199</v>
      </c>
      <c r="B220" s="211" t="s">
        <v>187</v>
      </c>
      <c r="C220" s="140" t="str">
        <f t="shared" si="45"/>
        <v>Risen Savior Lutheran School-MPCP</v>
      </c>
      <c r="D220" s="140">
        <v>0</v>
      </c>
      <c r="E220" s="140">
        <v>23</v>
      </c>
      <c r="F220" s="140">
        <v>0</v>
      </c>
      <c r="G220" s="140">
        <v>0</v>
      </c>
      <c r="H220" s="140">
        <v>0</v>
      </c>
      <c r="I220" s="140">
        <v>27</v>
      </c>
      <c r="J220" s="140">
        <v>191</v>
      </c>
      <c r="K220" s="140">
        <v>0</v>
      </c>
      <c r="L220" s="140">
        <f t="shared" si="46"/>
        <v>241</v>
      </c>
      <c r="N220" s="140">
        <v>0</v>
      </c>
      <c r="O220" s="140">
        <v>22</v>
      </c>
      <c r="P220" s="140">
        <v>0</v>
      </c>
      <c r="Q220" s="140">
        <v>0</v>
      </c>
      <c r="R220" s="140">
        <v>0</v>
      </c>
      <c r="S220" s="140">
        <v>23</v>
      </c>
      <c r="T220" s="140">
        <v>184</v>
      </c>
      <c r="U220" s="140">
        <v>0</v>
      </c>
      <c r="V220" s="140">
        <f t="shared" si="47"/>
        <v>229</v>
      </c>
      <c r="X220" s="98">
        <v>0</v>
      </c>
      <c r="Y220" s="98">
        <v>0</v>
      </c>
      <c r="Z220" s="98">
        <v>0</v>
      </c>
      <c r="AA220" s="98">
        <v>0</v>
      </c>
      <c r="AB220" s="98">
        <v>0</v>
      </c>
      <c r="AC220" s="98">
        <v>0</v>
      </c>
      <c r="AD220" s="98">
        <v>1</v>
      </c>
      <c r="AE220" s="98">
        <v>0</v>
      </c>
      <c r="AF220" s="98">
        <f t="shared" si="58"/>
        <v>1</v>
      </c>
      <c r="AH220" s="98">
        <v>146</v>
      </c>
      <c r="AJ220" s="98">
        <v>73</v>
      </c>
      <c r="AK220" s="98">
        <v>0</v>
      </c>
      <c r="AL220" s="380">
        <v>23391.22</v>
      </c>
      <c r="AN220" s="214">
        <f t="shared" si="48"/>
        <v>885864.6</v>
      </c>
      <c r="AO220" s="214">
        <f t="shared" si="49"/>
        <v>0</v>
      </c>
      <c r="AP220" s="214">
        <f t="shared" si="50"/>
        <v>53103.6</v>
      </c>
      <c r="AQ220" s="214">
        <f t="shared" si="51"/>
        <v>0</v>
      </c>
      <c r="AR220" s="214">
        <f t="shared" si="52"/>
        <v>0</v>
      </c>
      <c r="AS220" s="214">
        <f t="shared" si="53"/>
        <v>0</v>
      </c>
      <c r="AT220" s="214">
        <f t="shared" si="54"/>
        <v>92529</v>
      </c>
      <c r="AU220" s="214">
        <f t="shared" si="55"/>
        <v>740232</v>
      </c>
      <c r="AV220" s="214">
        <f t="shared" si="56"/>
        <v>0</v>
      </c>
      <c r="AW220" s="215">
        <f t="shared" si="57"/>
        <v>885864.6</v>
      </c>
    </row>
    <row r="221" spans="1:49" ht="15" customHeight="1">
      <c r="A221" s="140" t="s">
        <v>199</v>
      </c>
      <c r="B221" s="211" t="s">
        <v>96</v>
      </c>
      <c r="C221" s="140" t="str">
        <f t="shared" si="45"/>
        <v>Risen Savior Lutheran School-WPCP</v>
      </c>
      <c r="D221" s="140">
        <v>0</v>
      </c>
      <c r="E221" s="140">
        <v>23</v>
      </c>
      <c r="F221" s="140">
        <v>0</v>
      </c>
      <c r="G221" s="140">
        <v>0</v>
      </c>
      <c r="H221" s="140">
        <v>0</v>
      </c>
      <c r="I221" s="140">
        <v>27</v>
      </c>
      <c r="J221" s="140">
        <v>191</v>
      </c>
      <c r="K221" s="140">
        <v>0</v>
      </c>
      <c r="L221" s="140">
        <f t="shared" si="46"/>
        <v>241</v>
      </c>
      <c r="N221" s="140">
        <v>0</v>
      </c>
      <c r="O221" s="140">
        <v>1</v>
      </c>
      <c r="P221" s="140">
        <v>0</v>
      </c>
      <c r="Q221" s="140">
        <v>0</v>
      </c>
      <c r="R221" s="140">
        <v>0</v>
      </c>
      <c r="S221" s="140">
        <v>4</v>
      </c>
      <c r="T221" s="140">
        <v>6</v>
      </c>
      <c r="U221" s="140">
        <v>0</v>
      </c>
      <c r="V221" s="140">
        <f t="shared" si="47"/>
        <v>11</v>
      </c>
      <c r="X221" s="98">
        <v>0</v>
      </c>
      <c r="Y221" s="98">
        <v>0</v>
      </c>
      <c r="Z221" s="98">
        <v>0</v>
      </c>
      <c r="AA221" s="98">
        <v>0</v>
      </c>
      <c r="AB221" s="98">
        <v>0</v>
      </c>
      <c r="AC221" s="98">
        <v>0</v>
      </c>
      <c r="AD221" s="98">
        <v>0</v>
      </c>
      <c r="AE221" s="98">
        <v>0</v>
      </c>
      <c r="AF221" s="98">
        <f t="shared" si="58"/>
        <v>0</v>
      </c>
      <c r="AH221" s="98">
        <v>6</v>
      </c>
      <c r="AJ221" s="98">
        <v>3</v>
      </c>
      <c r="AK221" s="98">
        <v>0</v>
      </c>
      <c r="AL221" s="380">
        <v>1137.25</v>
      </c>
      <c r="AN221" s="214">
        <f t="shared" si="48"/>
        <v>42643.8</v>
      </c>
      <c r="AO221" s="214">
        <f t="shared" si="49"/>
        <v>0</v>
      </c>
      <c r="AP221" s="214">
        <f t="shared" si="50"/>
        <v>2413.8</v>
      </c>
      <c r="AQ221" s="214">
        <f t="shared" si="51"/>
        <v>0</v>
      </c>
      <c r="AR221" s="214">
        <f t="shared" si="52"/>
        <v>0</v>
      </c>
      <c r="AS221" s="214">
        <f t="shared" si="53"/>
        <v>0</v>
      </c>
      <c r="AT221" s="214">
        <f t="shared" si="54"/>
        <v>16092</v>
      </c>
      <c r="AU221" s="214">
        <f t="shared" si="55"/>
        <v>24138</v>
      </c>
      <c r="AV221" s="214">
        <f t="shared" si="56"/>
        <v>0</v>
      </c>
      <c r="AW221" s="215">
        <f t="shared" si="57"/>
        <v>42643.8</v>
      </c>
    </row>
    <row r="222" spans="1:49" ht="15" customHeight="1">
      <c r="A222" s="140" t="s">
        <v>586</v>
      </c>
      <c r="B222" s="211" t="s">
        <v>96</v>
      </c>
      <c r="C222" s="140" t="str">
        <f t="shared" si="45"/>
        <v>Riverview Lutheran School-WPCP</v>
      </c>
      <c r="D222" s="140">
        <v>10</v>
      </c>
      <c r="E222" s="140">
        <v>0</v>
      </c>
      <c r="F222" s="140">
        <v>0</v>
      </c>
      <c r="G222" s="140">
        <v>0</v>
      </c>
      <c r="H222" s="140">
        <v>0</v>
      </c>
      <c r="I222" s="140">
        <v>10</v>
      </c>
      <c r="J222" s="140">
        <v>82</v>
      </c>
      <c r="K222" s="140">
        <v>0</v>
      </c>
      <c r="L222" s="140">
        <f t="shared" si="46"/>
        <v>102</v>
      </c>
      <c r="N222" s="140">
        <v>6</v>
      </c>
      <c r="O222" s="140">
        <v>0</v>
      </c>
      <c r="P222" s="140">
        <v>0</v>
      </c>
      <c r="Q222" s="140">
        <v>0</v>
      </c>
      <c r="R222" s="140">
        <v>0</v>
      </c>
      <c r="S222" s="140">
        <v>6</v>
      </c>
      <c r="T222" s="140">
        <v>36</v>
      </c>
      <c r="U222" s="140">
        <v>0</v>
      </c>
      <c r="V222" s="140">
        <f t="shared" si="47"/>
        <v>48</v>
      </c>
      <c r="X222" s="98">
        <v>0</v>
      </c>
      <c r="Y222" s="98">
        <v>0</v>
      </c>
      <c r="Z222" s="98">
        <v>0</v>
      </c>
      <c r="AA222" s="98">
        <v>0</v>
      </c>
      <c r="AB222" s="98">
        <v>0</v>
      </c>
      <c r="AC222" s="98">
        <v>0</v>
      </c>
      <c r="AD222" s="98">
        <v>0</v>
      </c>
      <c r="AE222" s="98">
        <v>0</v>
      </c>
      <c r="AF222" s="98">
        <f t="shared" si="58"/>
        <v>0</v>
      </c>
      <c r="AH222" s="98">
        <v>27</v>
      </c>
      <c r="AJ222" s="98">
        <v>0</v>
      </c>
      <c r="AK222" s="98">
        <v>0</v>
      </c>
      <c r="AL222" s="380">
        <v>0</v>
      </c>
      <c r="AN222" s="214">
        <f t="shared" si="48"/>
        <v>181035</v>
      </c>
      <c r="AO222" s="214">
        <f t="shared" si="49"/>
        <v>12069</v>
      </c>
      <c r="AP222" s="214">
        <f t="shared" si="50"/>
        <v>0</v>
      </c>
      <c r="AQ222" s="214">
        <f t="shared" si="51"/>
        <v>0</v>
      </c>
      <c r="AR222" s="214">
        <f t="shared" si="52"/>
        <v>0</v>
      </c>
      <c r="AS222" s="214">
        <f t="shared" si="53"/>
        <v>0</v>
      </c>
      <c r="AT222" s="214">
        <f t="shared" si="54"/>
        <v>24138</v>
      </c>
      <c r="AU222" s="214">
        <f t="shared" si="55"/>
        <v>144828</v>
      </c>
      <c r="AV222" s="214">
        <f t="shared" si="56"/>
        <v>0</v>
      </c>
      <c r="AW222" s="215">
        <f t="shared" si="57"/>
        <v>181035</v>
      </c>
    </row>
    <row r="223" spans="1:49" ht="15" customHeight="1">
      <c r="A223" s="140" t="s">
        <v>138</v>
      </c>
      <c r="B223" s="211" t="s">
        <v>96</v>
      </c>
      <c r="C223" s="140" t="str">
        <f t="shared" si="45"/>
        <v>Rock County Christian School-WPCP</v>
      </c>
      <c r="D223" s="140">
        <v>0</v>
      </c>
      <c r="E223" s="140">
        <v>0</v>
      </c>
      <c r="F223" s="140">
        <v>0</v>
      </c>
      <c r="G223" s="140">
        <v>0</v>
      </c>
      <c r="H223" s="140">
        <v>0</v>
      </c>
      <c r="I223" s="140">
        <v>16</v>
      </c>
      <c r="J223" s="140">
        <v>171</v>
      </c>
      <c r="K223" s="140">
        <v>78</v>
      </c>
      <c r="L223" s="140">
        <f t="shared" si="46"/>
        <v>265</v>
      </c>
      <c r="N223" s="140">
        <v>0</v>
      </c>
      <c r="O223" s="140">
        <v>0</v>
      </c>
      <c r="P223" s="140">
        <v>0</v>
      </c>
      <c r="Q223" s="140">
        <v>0</v>
      </c>
      <c r="R223" s="140">
        <v>0</v>
      </c>
      <c r="S223" s="140">
        <v>12</v>
      </c>
      <c r="T223" s="140">
        <v>134</v>
      </c>
      <c r="U223" s="140">
        <v>52</v>
      </c>
      <c r="V223" s="140">
        <f t="shared" si="47"/>
        <v>198</v>
      </c>
      <c r="X223" s="98">
        <v>0</v>
      </c>
      <c r="Y223" s="98">
        <v>0</v>
      </c>
      <c r="Z223" s="98">
        <v>0</v>
      </c>
      <c r="AA223" s="98">
        <v>0</v>
      </c>
      <c r="AB223" s="98">
        <v>0</v>
      </c>
      <c r="AC223" s="98">
        <v>0</v>
      </c>
      <c r="AD223" s="98">
        <v>0</v>
      </c>
      <c r="AE223" s="98">
        <v>0</v>
      </c>
      <c r="AF223" s="98">
        <f t="shared" si="58"/>
        <v>0</v>
      </c>
      <c r="AH223" s="98">
        <v>105</v>
      </c>
      <c r="AJ223" s="98">
        <v>33</v>
      </c>
      <c r="AK223" s="98">
        <v>1</v>
      </c>
      <c r="AL223" s="380">
        <v>13214.100000000006</v>
      </c>
      <c r="AN223" s="214">
        <f t="shared" si="48"/>
        <v>813350</v>
      </c>
      <c r="AO223" s="214">
        <f t="shared" si="49"/>
        <v>0</v>
      </c>
      <c r="AP223" s="214">
        <f t="shared" si="50"/>
        <v>0</v>
      </c>
      <c r="AQ223" s="214">
        <f t="shared" si="51"/>
        <v>0</v>
      </c>
      <c r="AR223" s="214">
        <f t="shared" si="52"/>
        <v>0</v>
      </c>
      <c r="AS223" s="214">
        <f t="shared" si="53"/>
        <v>0</v>
      </c>
      <c r="AT223" s="214">
        <f t="shared" si="54"/>
        <v>48276</v>
      </c>
      <c r="AU223" s="214">
        <f t="shared" si="55"/>
        <v>539082</v>
      </c>
      <c r="AV223" s="214">
        <f t="shared" si="56"/>
        <v>225992</v>
      </c>
      <c r="AW223" s="215">
        <f t="shared" si="57"/>
        <v>813350</v>
      </c>
    </row>
    <row r="224" spans="1:49" ht="15" customHeight="1">
      <c r="A224" s="140" t="s">
        <v>139</v>
      </c>
      <c r="B224" s="211" t="s">
        <v>96</v>
      </c>
      <c r="C224" s="140" t="str">
        <f t="shared" si="45"/>
        <v>Roncalli High School-WPCP</v>
      </c>
      <c r="D224" s="140">
        <v>0</v>
      </c>
      <c r="E224" s="140">
        <v>0</v>
      </c>
      <c r="F224" s="140">
        <v>0</v>
      </c>
      <c r="G224" s="140">
        <v>0</v>
      </c>
      <c r="H224" s="140">
        <v>0</v>
      </c>
      <c r="I224" s="140">
        <v>0</v>
      </c>
      <c r="J224" s="140">
        <v>0</v>
      </c>
      <c r="K224" s="140">
        <v>229</v>
      </c>
      <c r="L224" s="140">
        <f t="shared" si="46"/>
        <v>229</v>
      </c>
      <c r="N224" s="140">
        <v>0</v>
      </c>
      <c r="O224" s="140">
        <v>0</v>
      </c>
      <c r="P224" s="140">
        <v>0</v>
      </c>
      <c r="Q224" s="140">
        <v>0</v>
      </c>
      <c r="R224" s="140">
        <v>0</v>
      </c>
      <c r="S224" s="140">
        <v>0</v>
      </c>
      <c r="T224" s="140">
        <v>0</v>
      </c>
      <c r="U224" s="140">
        <v>65</v>
      </c>
      <c r="V224" s="140">
        <f t="shared" si="47"/>
        <v>65</v>
      </c>
      <c r="X224" s="98">
        <v>0</v>
      </c>
      <c r="Y224" s="98">
        <v>0</v>
      </c>
      <c r="Z224" s="98">
        <v>0</v>
      </c>
      <c r="AA224" s="98">
        <v>0</v>
      </c>
      <c r="AB224" s="98">
        <v>0</v>
      </c>
      <c r="AC224" s="98">
        <v>0</v>
      </c>
      <c r="AD224" s="98">
        <v>0</v>
      </c>
      <c r="AE224" s="98">
        <v>0</v>
      </c>
      <c r="AF224" s="98">
        <f t="shared" si="58"/>
        <v>0</v>
      </c>
      <c r="AH224" s="98">
        <v>54</v>
      </c>
      <c r="AJ224" s="98">
        <v>0</v>
      </c>
      <c r="AK224" s="98">
        <v>0</v>
      </c>
      <c r="AL224" s="380">
        <v>0</v>
      </c>
      <c r="AN224" s="214">
        <f t="shared" si="48"/>
        <v>282490</v>
      </c>
      <c r="AO224" s="214">
        <f t="shared" si="49"/>
        <v>0</v>
      </c>
      <c r="AP224" s="214">
        <f t="shared" si="50"/>
        <v>0</v>
      </c>
      <c r="AQ224" s="214">
        <f t="shared" si="51"/>
        <v>0</v>
      </c>
      <c r="AR224" s="214">
        <f t="shared" si="52"/>
        <v>0</v>
      </c>
      <c r="AS224" s="214">
        <f t="shared" si="53"/>
        <v>0</v>
      </c>
      <c r="AT224" s="214">
        <f t="shared" si="54"/>
        <v>0</v>
      </c>
      <c r="AU224" s="214">
        <f t="shared" si="55"/>
        <v>0</v>
      </c>
      <c r="AV224" s="214">
        <f t="shared" si="56"/>
        <v>282490</v>
      </c>
      <c r="AW224" s="215">
        <f t="shared" si="57"/>
        <v>282490</v>
      </c>
    </row>
    <row r="225" spans="1:49" ht="15" customHeight="1">
      <c r="A225" s="140" t="s">
        <v>456</v>
      </c>
      <c r="B225" s="211" t="s">
        <v>96</v>
      </c>
      <c r="C225" s="140" t="str">
        <f t="shared" si="45"/>
        <v>Sacred Heart Catholic School-WPCP</v>
      </c>
      <c r="D225" s="140">
        <v>16</v>
      </c>
      <c r="E225" s="140">
        <v>0</v>
      </c>
      <c r="F225" s="140">
        <v>0</v>
      </c>
      <c r="G225" s="140">
        <v>0</v>
      </c>
      <c r="H225" s="140">
        <v>0</v>
      </c>
      <c r="I225" s="140">
        <v>11</v>
      </c>
      <c r="J225" s="140">
        <v>76</v>
      </c>
      <c r="K225" s="140">
        <v>0</v>
      </c>
      <c r="L225" s="140">
        <f t="shared" si="46"/>
        <v>103</v>
      </c>
      <c r="N225" s="140">
        <v>8</v>
      </c>
      <c r="O225" s="140">
        <v>0</v>
      </c>
      <c r="P225" s="140">
        <v>0</v>
      </c>
      <c r="Q225" s="140">
        <v>0</v>
      </c>
      <c r="R225" s="140">
        <v>0</v>
      </c>
      <c r="S225" s="140">
        <v>5</v>
      </c>
      <c r="T225" s="140">
        <v>19</v>
      </c>
      <c r="U225" s="140">
        <v>0</v>
      </c>
      <c r="V225" s="140">
        <f t="shared" si="47"/>
        <v>32</v>
      </c>
      <c r="X225" s="98">
        <v>0</v>
      </c>
      <c r="Y225" s="98">
        <v>0</v>
      </c>
      <c r="Z225" s="98">
        <v>0</v>
      </c>
      <c r="AA225" s="98">
        <v>0</v>
      </c>
      <c r="AB225" s="98">
        <v>0</v>
      </c>
      <c r="AC225" s="98">
        <v>0</v>
      </c>
      <c r="AD225" s="98">
        <v>0</v>
      </c>
      <c r="AE225" s="98">
        <v>0</v>
      </c>
      <c r="AF225" s="98">
        <f t="shared" si="58"/>
        <v>0</v>
      </c>
      <c r="AH225" s="98">
        <v>22</v>
      </c>
      <c r="AJ225" s="98">
        <v>0</v>
      </c>
      <c r="AK225" s="98">
        <v>0</v>
      </c>
      <c r="AL225" s="380">
        <v>0</v>
      </c>
      <c r="AN225" s="214">
        <f t="shared" si="48"/>
        <v>112644</v>
      </c>
      <c r="AO225" s="214">
        <f t="shared" si="49"/>
        <v>16092</v>
      </c>
      <c r="AP225" s="214">
        <f t="shared" si="50"/>
        <v>0</v>
      </c>
      <c r="AQ225" s="214">
        <f t="shared" si="51"/>
        <v>0</v>
      </c>
      <c r="AR225" s="214">
        <f t="shared" si="52"/>
        <v>0</v>
      </c>
      <c r="AS225" s="214">
        <f t="shared" si="53"/>
        <v>0</v>
      </c>
      <c r="AT225" s="214">
        <f t="shared" si="54"/>
        <v>20115</v>
      </c>
      <c r="AU225" s="214">
        <f t="shared" si="55"/>
        <v>76437</v>
      </c>
      <c r="AV225" s="214">
        <f t="shared" si="56"/>
        <v>0</v>
      </c>
      <c r="AW225" s="215">
        <f t="shared" si="57"/>
        <v>112644</v>
      </c>
    </row>
    <row r="226" spans="1:49" ht="15" customHeight="1">
      <c r="A226" s="140" t="s">
        <v>240</v>
      </c>
      <c r="B226" s="211" t="s">
        <v>187</v>
      </c>
      <c r="C226" s="140" t="str">
        <f t="shared" si="45"/>
        <v>Saint Adalbert School-MPCP</v>
      </c>
      <c r="D226" s="140">
        <v>0</v>
      </c>
      <c r="E226" s="140">
        <v>33</v>
      </c>
      <c r="F226" s="140">
        <v>0</v>
      </c>
      <c r="G226" s="140">
        <v>0</v>
      </c>
      <c r="H226" s="140">
        <v>0</v>
      </c>
      <c r="I226" s="140">
        <v>27</v>
      </c>
      <c r="J226" s="140">
        <v>363</v>
      </c>
      <c r="K226" s="140">
        <v>0</v>
      </c>
      <c r="L226" s="140">
        <f t="shared" si="46"/>
        <v>423</v>
      </c>
      <c r="N226" s="140">
        <v>0</v>
      </c>
      <c r="O226" s="140">
        <v>33</v>
      </c>
      <c r="P226" s="140">
        <v>0</v>
      </c>
      <c r="Q226" s="140">
        <v>0</v>
      </c>
      <c r="R226" s="140">
        <v>0</v>
      </c>
      <c r="S226" s="140">
        <v>27</v>
      </c>
      <c r="T226" s="140">
        <v>351</v>
      </c>
      <c r="U226" s="140">
        <v>0</v>
      </c>
      <c r="V226" s="140">
        <f t="shared" si="47"/>
        <v>411</v>
      </c>
      <c r="X226" s="98">
        <v>0</v>
      </c>
      <c r="Y226" s="98">
        <v>0</v>
      </c>
      <c r="Z226" s="98">
        <v>0</v>
      </c>
      <c r="AA226" s="98">
        <v>0</v>
      </c>
      <c r="AB226" s="98">
        <v>0</v>
      </c>
      <c r="AC226" s="98">
        <v>0</v>
      </c>
      <c r="AD226" s="98">
        <v>0</v>
      </c>
      <c r="AE226" s="98">
        <v>0</v>
      </c>
      <c r="AF226" s="98">
        <f t="shared" si="58"/>
        <v>0</v>
      </c>
      <c r="AH226" s="98">
        <v>258</v>
      </c>
      <c r="AJ226" s="98">
        <v>0</v>
      </c>
      <c r="AK226" s="98">
        <v>0</v>
      </c>
      <c r="AL226" s="380">
        <v>0</v>
      </c>
      <c r="AN226" s="214">
        <f t="shared" si="48"/>
        <v>1600349.4</v>
      </c>
      <c r="AO226" s="214">
        <f t="shared" si="49"/>
        <v>0</v>
      </c>
      <c r="AP226" s="214">
        <f t="shared" si="50"/>
        <v>79655.4</v>
      </c>
      <c r="AQ226" s="214">
        <f t="shared" si="51"/>
        <v>0</v>
      </c>
      <c r="AR226" s="214">
        <f t="shared" si="52"/>
        <v>0</v>
      </c>
      <c r="AS226" s="214">
        <f t="shared" si="53"/>
        <v>0</v>
      </c>
      <c r="AT226" s="214">
        <f t="shared" si="54"/>
        <v>108621</v>
      </c>
      <c r="AU226" s="214">
        <f t="shared" si="55"/>
        <v>1412073</v>
      </c>
      <c r="AV226" s="214">
        <f t="shared" si="56"/>
        <v>0</v>
      </c>
      <c r="AW226" s="215">
        <f t="shared" si="57"/>
        <v>1600349.4</v>
      </c>
    </row>
    <row r="227" spans="1:49" ht="15" customHeight="1">
      <c r="A227" s="140" t="s">
        <v>240</v>
      </c>
      <c r="B227" s="211" t="s">
        <v>96</v>
      </c>
      <c r="C227" s="140" t="str">
        <f t="shared" si="45"/>
        <v>Saint Adalbert School-WPCP</v>
      </c>
      <c r="D227" s="140">
        <v>0</v>
      </c>
      <c r="E227" s="140">
        <v>33</v>
      </c>
      <c r="F227" s="140">
        <v>0</v>
      </c>
      <c r="G227" s="140">
        <v>0</v>
      </c>
      <c r="H227" s="140">
        <v>0</v>
      </c>
      <c r="I227" s="140">
        <v>27</v>
      </c>
      <c r="J227" s="140">
        <v>363</v>
      </c>
      <c r="K227" s="140">
        <v>0</v>
      </c>
      <c r="L227" s="140">
        <f t="shared" si="46"/>
        <v>423</v>
      </c>
      <c r="N227" s="140">
        <v>0</v>
      </c>
      <c r="O227" s="140">
        <v>0</v>
      </c>
      <c r="P227" s="140">
        <v>0</v>
      </c>
      <c r="Q227" s="140">
        <v>0</v>
      </c>
      <c r="R227" s="140">
        <v>0</v>
      </c>
      <c r="S227" s="140">
        <v>0</v>
      </c>
      <c r="T227" s="140">
        <v>10</v>
      </c>
      <c r="U227" s="140">
        <v>0</v>
      </c>
      <c r="V227" s="140">
        <f t="shared" si="47"/>
        <v>10</v>
      </c>
      <c r="X227" s="98">
        <v>0</v>
      </c>
      <c r="Y227" s="98">
        <v>0</v>
      </c>
      <c r="Z227" s="98">
        <v>0</v>
      </c>
      <c r="AA227" s="98">
        <v>0</v>
      </c>
      <c r="AB227" s="98">
        <v>0</v>
      </c>
      <c r="AC227" s="98">
        <v>0</v>
      </c>
      <c r="AD227" s="98">
        <v>0</v>
      </c>
      <c r="AE227" s="98">
        <v>0</v>
      </c>
      <c r="AF227" s="98">
        <f t="shared" si="58"/>
        <v>0</v>
      </c>
      <c r="AH227" s="98">
        <v>7</v>
      </c>
      <c r="AJ227" s="98">
        <v>0</v>
      </c>
      <c r="AK227" s="98">
        <v>0</v>
      </c>
      <c r="AL227" s="380">
        <v>0</v>
      </c>
      <c r="AN227" s="214">
        <f t="shared" si="48"/>
        <v>40230</v>
      </c>
      <c r="AO227" s="214">
        <f t="shared" si="49"/>
        <v>0</v>
      </c>
      <c r="AP227" s="214">
        <f t="shared" si="50"/>
        <v>0</v>
      </c>
      <c r="AQ227" s="214">
        <f t="shared" si="51"/>
        <v>0</v>
      </c>
      <c r="AR227" s="214">
        <f t="shared" si="52"/>
        <v>0</v>
      </c>
      <c r="AS227" s="214">
        <f t="shared" si="53"/>
        <v>0</v>
      </c>
      <c r="AT227" s="214">
        <f t="shared" si="54"/>
        <v>0</v>
      </c>
      <c r="AU227" s="214">
        <f t="shared" si="55"/>
        <v>40230</v>
      </c>
      <c r="AV227" s="214">
        <f t="shared" si="56"/>
        <v>0</v>
      </c>
      <c r="AW227" s="215">
        <f t="shared" si="57"/>
        <v>40230</v>
      </c>
    </row>
    <row r="228" spans="1:49" ht="15" customHeight="1">
      <c r="A228" s="140" t="s">
        <v>200</v>
      </c>
      <c r="B228" s="211" t="s">
        <v>187</v>
      </c>
      <c r="C228" s="140" t="str">
        <f t="shared" si="45"/>
        <v>Saint Agnes School-MPCP</v>
      </c>
      <c r="D228" s="140">
        <v>16</v>
      </c>
      <c r="E228" s="140">
        <v>0</v>
      </c>
      <c r="F228" s="140">
        <v>0</v>
      </c>
      <c r="G228" s="140">
        <v>0</v>
      </c>
      <c r="H228" s="140">
        <v>0</v>
      </c>
      <c r="I228" s="140">
        <v>15</v>
      </c>
      <c r="J228" s="140">
        <v>117</v>
      </c>
      <c r="K228" s="140">
        <v>0</v>
      </c>
      <c r="L228" s="140">
        <f t="shared" si="46"/>
        <v>148</v>
      </c>
      <c r="N228" s="140">
        <v>12</v>
      </c>
      <c r="O228" s="140">
        <v>0</v>
      </c>
      <c r="P228" s="140">
        <v>0</v>
      </c>
      <c r="Q228" s="140">
        <v>0</v>
      </c>
      <c r="R228" s="140">
        <v>0</v>
      </c>
      <c r="S228" s="140">
        <v>8</v>
      </c>
      <c r="T228" s="140">
        <v>74</v>
      </c>
      <c r="U228" s="140">
        <v>0</v>
      </c>
      <c r="V228" s="140">
        <f t="shared" si="47"/>
        <v>94</v>
      </c>
      <c r="X228" s="98">
        <v>0</v>
      </c>
      <c r="Y228" s="98">
        <v>0</v>
      </c>
      <c r="Z228" s="98">
        <v>0</v>
      </c>
      <c r="AA228" s="98">
        <v>0</v>
      </c>
      <c r="AB228" s="98">
        <v>0</v>
      </c>
      <c r="AC228" s="98">
        <v>0</v>
      </c>
      <c r="AD228" s="98">
        <v>0</v>
      </c>
      <c r="AE228" s="98">
        <v>0</v>
      </c>
      <c r="AF228" s="98">
        <f t="shared" si="58"/>
        <v>0</v>
      </c>
      <c r="AH228" s="98">
        <v>71</v>
      </c>
      <c r="AJ228" s="98">
        <v>0</v>
      </c>
      <c r="AK228" s="98">
        <v>0</v>
      </c>
      <c r="AL228" s="380">
        <v>0</v>
      </c>
      <c r="AN228" s="214">
        <f t="shared" si="48"/>
        <v>354024</v>
      </c>
      <c r="AO228" s="214">
        <f t="shared" si="49"/>
        <v>24138</v>
      </c>
      <c r="AP228" s="214">
        <f t="shared" si="50"/>
        <v>0</v>
      </c>
      <c r="AQ228" s="214">
        <f t="shared" si="51"/>
        <v>0</v>
      </c>
      <c r="AR228" s="214">
        <f t="shared" si="52"/>
        <v>0</v>
      </c>
      <c r="AS228" s="214">
        <f t="shared" si="53"/>
        <v>0</v>
      </c>
      <c r="AT228" s="214">
        <f t="shared" si="54"/>
        <v>32184</v>
      </c>
      <c r="AU228" s="214">
        <f t="shared" si="55"/>
        <v>297702</v>
      </c>
      <c r="AV228" s="214">
        <f t="shared" si="56"/>
        <v>0</v>
      </c>
      <c r="AW228" s="215">
        <f t="shared" si="57"/>
        <v>354024</v>
      </c>
    </row>
    <row r="229" spans="1:49" ht="15" customHeight="1">
      <c r="A229" s="140" t="s">
        <v>200</v>
      </c>
      <c r="B229" s="211" t="s">
        <v>96</v>
      </c>
      <c r="C229" s="140" t="str">
        <f t="shared" si="45"/>
        <v>Saint Agnes School-WPCP</v>
      </c>
      <c r="D229" s="140">
        <v>16</v>
      </c>
      <c r="E229" s="140">
        <v>0</v>
      </c>
      <c r="F229" s="140">
        <v>0</v>
      </c>
      <c r="G229" s="140">
        <v>0</v>
      </c>
      <c r="H229" s="140">
        <v>0</v>
      </c>
      <c r="I229" s="140">
        <v>15</v>
      </c>
      <c r="J229" s="140">
        <v>117</v>
      </c>
      <c r="K229" s="140">
        <v>0</v>
      </c>
      <c r="L229" s="140">
        <f t="shared" si="46"/>
        <v>148</v>
      </c>
      <c r="N229" s="140">
        <v>2</v>
      </c>
      <c r="O229" s="140">
        <v>0</v>
      </c>
      <c r="P229" s="140">
        <v>0</v>
      </c>
      <c r="Q229" s="140">
        <v>0</v>
      </c>
      <c r="R229" s="140">
        <v>0</v>
      </c>
      <c r="S229" s="140">
        <v>4</v>
      </c>
      <c r="T229" s="140">
        <v>8</v>
      </c>
      <c r="U229" s="140">
        <v>0</v>
      </c>
      <c r="V229" s="140">
        <f t="shared" si="47"/>
        <v>14</v>
      </c>
      <c r="X229" s="98">
        <v>0</v>
      </c>
      <c r="Y229" s="98">
        <v>0</v>
      </c>
      <c r="Z229" s="98">
        <v>0</v>
      </c>
      <c r="AA229" s="98">
        <v>0</v>
      </c>
      <c r="AB229" s="98">
        <v>0</v>
      </c>
      <c r="AC229" s="98">
        <v>0</v>
      </c>
      <c r="AD229" s="98">
        <v>0</v>
      </c>
      <c r="AE229" s="98">
        <v>0</v>
      </c>
      <c r="AF229" s="98">
        <f t="shared" si="58"/>
        <v>0</v>
      </c>
      <c r="AH229" s="98">
        <v>13</v>
      </c>
      <c r="AJ229" s="98">
        <v>0</v>
      </c>
      <c r="AK229" s="98">
        <v>0</v>
      </c>
      <c r="AL229" s="380">
        <v>0</v>
      </c>
      <c r="AN229" s="214">
        <f t="shared" si="48"/>
        <v>52299</v>
      </c>
      <c r="AO229" s="214">
        <f t="shared" si="49"/>
        <v>4023</v>
      </c>
      <c r="AP229" s="214">
        <f t="shared" si="50"/>
        <v>0</v>
      </c>
      <c r="AQ229" s="214">
        <f t="shared" si="51"/>
        <v>0</v>
      </c>
      <c r="AR229" s="214">
        <f t="shared" si="52"/>
        <v>0</v>
      </c>
      <c r="AS229" s="214">
        <f t="shared" si="53"/>
        <v>0</v>
      </c>
      <c r="AT229" s="214">
        <f t="shared" si="54"/>
        <v>16092</v>
      </c>
      <c r="AU229" s="214">
        <f t="shared" si="55"/>
        <v>32184</v>
      </c>
      <c r="AV229" s="214">
        <f t="shared" si="56"/>
        <v>0</v>
      </c>
      <c r="AW229" s="215">
        <f t="shared" si="57"/>
        <v>52299</v>
      </c>
    </row>
    <row r="230" spans="1:49" ht="15" customHeight="1">
      <c r="A230" s="140" t="s">
        <v>457</v>
      </c>
      <c r="B230" s="211" t="s">
        <v>96</v>
      </c>
      <c r="C230" s="140" t="str">
        <f t="shared" si="45"/>
        <v>Saint Andrew Parish School-WPCP</v>
      </c>
      <c r="D230" s="140">
        <v>0</v>
      </c>
      <c r="E230" s="140">
        <v>0</v>
      </c>
      <c r="F230" s="140">
        <v>0</v>
      </c>
      <c r="G230" s="140">
        <v>0</v>
      </c>
      <c r="H230" s="140">
        <v>0</v>
      </c>
      <c r="I230" s="140">
        <v>17</v>
      </c>
      <c r="J230" s="140">
        <v>125</v>
      </c>
      <c r="K230" s="140">
        <v>0</v>
      </c>
      <c r="L230" s="140">
        <f t="shared" si="46"/>
        <v>142</v>
      </c>
      <c r="N230" s="140">
        <v>0</v>
      </c>
      <c r="O230" s="140">
        <v>0</v>
      </c>
      <c r="P230" s="140">
        <v>0</v>
      </c>
      <c r="Q230" s="140">
        <v>0</v>
      </c>
      <c r="R230" s="140">
        <v>0</v>
      </c>
      <c r="S230" s="140">
        <v>9</v>
      </c>
      <c r="T230" s="140">
        <v>38</v>
      </c>
      <c r="U230" s="140">
        <v>0</v>
      </c>
      <c r="V230" s="140">
        <f t="shared" si="47"/>
        <v>47</v>
      </c>
      <c r="X230" s="98">
        <v>0</v>
      </c>
      <c r="Y230" s="98">
        <v>0</v>
      </c>
      <c r="Z230" s="98">
        <v>0</v>
      </c>
      <c r="AA230" s="98">
        <v>0</v>
      </c>
      <c r="AB230" s="98">
        <v>0</v>
      </c>
      <c r="AC230" s="98">
        <v>0</v>
      </c>
      <c r="AD230" s="98">
        <v>0</v>
      </c>
      <c r="AE230" s="98">
        <v>0</v>
      </c>
      <c r="AF230" s="98">
        <f aca="true" t="shared" si="59" ref="AF230:AF294">SUM(X230:AE230)</f>
        <v>0</v>
      </c>
      <c r="AH230" s="98">
        <v>34</v>
      </c>
      <c r="AJ230" s="98">
        <v>0</v>
      </c>
      <c r="AK230" s="98">
        <v>0</v>
      </c>
      <c r="AL230" s="380">
        <v>0</v>
      </c>
      <c r="AN230" s="214">
        <f t="shared" si="48"/>
        <v>189081</v>
      </c>
      <c r="AO230" s="214">
        <f t="shared" si="49"/>
        <v>0</v>
      </c>
      <c r="AP230" s="214">
        <f t="shared" si="50"/>
        <v>0</v>
      </c>
      <c r="AQ230" s="214">
        <f t="shared" si="51"/>
        <v>0</v>
      </c>
      <c r="AR230" s="214">
        <f t="shared" si="52"/>
        <v>0</v>
      </c>
      <c r="AS230" s="214">
        <f t="shared" si="53"/>
        <v>0</v>
      </c>
      <c r="AT230" s="214">
        <f t="shared" si="54"/>
        <v>36207</v>
      </c>
      <c r="AU230" s="214">
        <f t="shared" si="55"/>
        <v>152874</v>
      </c>
      <c r="AV230" s="214">
        <f t="shared" si="56"/>
        <v>0</v>
      </c>
      <c r="AW230" s="215">
        <f t="shared" si="57"/>
        <v>189081</v>
      </c>
    </row>
    <row r="231" spans="1:49" ht="15" customHeight="1">
      <c r="A231" s="140" t="s">
        <v>587</v>
      </c>
      <c r="B231" s="211" t="s">
        <v>96</v>
      </c>
      <c r="C231" s="140" t="str">
        <f t="shared" si="45"/>
        <v>Saint Anthony de Padua Catholic School-WPCP</v>
      </c>
      <c r="D231" s="140">
        <v>7</v>
      </c>
      <c r="E231" s="140">
        <v>0</v>
      </c>
      <c r="F231" s="140">
        <v>0</v>
      </c>
      <c r="G231" s="140">
        <v>0</v>
      </c>
      <c r="H231" s="140">
        <v>0</v>
      </c>
      <c r="I231" s="140">
        <v>6</v>
      </c>
      <c r="J231" s="140">
        <v>45</v>
      </c>
      <c r="K231" s="140">
        <v>0</v>
      </c>
      <c r="L231" s="140">
        <f t="shared" si="46"/>
        <v>58</v>
      </c>
      <c r="N231" s="140">
        <v>2</v>
      </c>
      <c r="O231" s="140">
        <v>0</v>
      </c>
      <c r="P231" s="140">
        <v>0</v>
      </c>
      <c r="Q231" s="140">
        <v>0</v>
      </c>
      <c r="R231" s="140">
        <v>0</v>
      </c>
      <c r="S231" s="140">
        <v>2</v>
      </c>
      <c r="T231" s="140">
        <v>16</v>
      </c>
      <c r="U231" s="140">
        <v>0</v>
      </c>
      <c r="V231" s="140">
        <f t="shared" si="47"/>
        <v>20</v>
      </c>
      <c r="X231" s="98">
        <v>0</v>
      </c>
      <c r="Y231" s="98">
        <v>0</v>
      </c>
      <c r="Z231" s="98">
        <v>0</v>
      </c>
      <c r="AA231" s="98">
        <v>0</v>
      </c>
      <c r="AB231" s="98">
        <v>0</v>
      </c>
      <c r="AC231" s="98">
        <v>1</v>
      </c>
      <c r="AD231" s="98">
        <v>1</v>
      </c>
      <c r="AE231" s="98">
        <v>0</v>
      </c>
      <c r="AF231" s="98">
        <f t="shared" si="59"/>
        <v>2</v>
      </c>
      <c r="AH231" s="98">
        <v>7</v>
      </c>
      <c r="AJ231" s="98">
        <v>0</v>
      </c>
      <c r="AK231" s="98">
        <v>0</v>
      </c>
      <c r="AL231" s="380">
        <v>0</v>
      </c>
      <c r="AN231" s="214">
        <f t="shared" si="48"/>
        <v>76437</v>
      </c>
      <c r="AO231" s="214">
        <f t="shared" si="49"/>
        <v>4023</v>
      </c>
      <c r="AP231" s="214">
        <f t="shared" si="50"/>
        <v>0</v>
      </c>
      <c r="AQ231" s="214">
        <f t="shared" si="51"/>
        <v>0</v>
      </c>
      <c r="AR231" s="214">
        <f t="shared" si="52"/>
        <v>0</v>
      </c>
      <c r="AS231" s="214">
        <f t="shared" si="53"/>
        <v>0</v>
      </c>
      <c r="AT231" s="214">
        <f t="shared" si="54"/>
        <v>8046</v>
      </c>
      <c r="AU231" s="214">
        <f t="shared" si="55"/>
        <v>64368</v>
      </c>
      <c r="AV231" s="214">
        <f t="shared" si="56"/>
        <v>0</v>
      </c>
      <c r="AW231" s="215">
        <f t="shared" si="57"/>
        <v>76437</v>
      </c>
    </row>
    <row r="232" spans="1:49" ht="15" customHeight="1">
      <c r="A232" s="140" t="s">
        <v>376</v>
      </c>
      <c r="B232" s="211" t="s">
        <v>187</v>
      </c>
      <c r="C232" s="140" t="str">
        <f t="shared" si="45"/>
        <v>Saint Anthony School - Milwaukee-MPCP</v>
      </c>
      <c r="D232" s="140">
        <v>0</v>
      </c>
      <c r="E232" s="140">
        <v>92</v>
      </c>
      <c r="F232" s="140">
        <v>0</v>
      </c>
      <c r="G232" s="140">
        <v>0</v>
      </c>
      <c r="H232" s="140">
        <v>0</v>
      </c>
      <c r="I232" s="140">
        <v>94</v>
      </c>
      <c r="J232" s="140">
        <v>921</v>
      </c>
      <c r="K232" s="140">
        <v>503</v>
      </c>
      <c r="L232" s="140">
        <f t="shared" si="46"/>
        <v>1610</v>
      </c>
      <c r="N232" s="140">
        <v>0</v>
      </c>
      <c r="O232" s="140">
        <v>83</v>
      </c>
      <c r="P232" s="140">
        <v>0</v>
      </c>
      <c r="Q232" s="140">
        <v>0</v>
      </c>
      <c r="R232" s="140">
        <v>0</v>
      </c>
      <c r="S232" s="140">
        <v>85</v>
      </c>
      <c r="T232" s="140">
        <v>898</v>
      </c>
      <c r="U232" s="140">
        <v>502</v>
      </c>
      <c r="V232" s="140">
        <f t="shared" si="47"/>
        <v>1568</v>
      </c>
      <c r="X232" s="98">
        <v>0</v>
      </c>
      <c r="Y232" s="98">
        <v>0</v>
      </c>
      <c r="Z232" s="98">
        <v>0</v>
      </c>
      <c r="AA232" s="98">
        <v>0</v>
      </c>
      <c r="AB232" s="98">
        <v>0</v>
      </c>
      <c r="AC232" s="98">
        <v>0</v>
      </c>
      <c r="AD232" s="98">
        <v>0</v>
      </c>
      <c r="AE232" s="98">
        <v>0</v>
      </c>
      <c r="AF232" s="98">
        <f t="shared" si="59"/>
        <v>0</v>
      </c>
      <c r="AH232" s="98">
        <v>988</v>
      </c>
      <c r="AJ232" s="98">
        <v>342</v>
      </c>
      <c r="AK232" s="98">
        <v>138</v>
      </c>
      <c r="AL232" s="380">
        <v>179329.37999999954</v>
      </c>
      <c r="AN232" s="214">
        <f t="shared" si="48"/>
        <v>6336646.4</v>
      </c>
      <c r="AO232" s="214">
        <f t="shared" si="49"/>
        <v>0</v>
      </c>
      <c r="AP232" s="214">
        <f t="shared" si="50"/>
        <v>200345.4</v>
      </c>
      <c r="AQ232" s="214">
        <f t="shared" si="51"/>
        <v>0</v>
      </c>
      <c r="AR232" s="214">
        <f t="shared" si="52"/>
        <v>0</v>
      </c>
      <c r="AS232" s="214">
        <f t="shared" si="53"/>
        <v>0</v>
      </c>
      <c r="AT232" s="214">
        <f t="shared" si="54"/>
        <v>341955</v>
      </c>
      <c r="AU232" s="214">
        <f t="shared" si="55"/>
        <v>3612654</v>
      </c>
      <c r="AV232" s="214">
        <f t="shared" si="56"/>
        <v>2181692</v>
      </c>
      <c r="AW232" s="215">
        <f t="shared" si="57"/>
        <v>6336646.4</v>
      </c>
    </row>
    <row r="233" spans="1:49" ht="14.25">
      <c r="A233" s="140" t="s">
        <v>458</v>
      </c>
      <c r="B233" s="211" t="s">
        <v>96</v>
      </c>
      <c r="C233" s="140" t="str">
        <f t="shared" si="45"/>
        <v>Saint Anthony School - Oconto Falls-WPCP</v>
      </c>
      <c r="D233" s="140">
        <v>16</v>
      </c>
      <c r="E233" s="140">
        <v>0</v>
      </c>
      <c r="F233" s="140">
        <v>0</v>
      </c>
      <c r="G233" s="140">
        <v>0</v>
      </c>
      <c r="H233" s="140">
        <v>0</v>
      </c>
      <c r="I233" s="140">
        <v>11</v>
      </c>
      <c r="J233" s="140">
        <v>45</v>
      </c>
      <c r="K233" s="140">
        <v>0</v>
      </c>
      <c r="L233" s="140">
        <f t="shared" si="46"/>
        <v>72</v>
      </c>
      <c r="N233" s="140">
        <v>2</v>
      </c>
      <c r="O233" s="140">
        <v>0</v>
      </c>
      <c r="P233" s="140">
        <v>0</v>
      </c>
      <c r="Q233" s="140">
        <v>0</v>
      </c>
      <c r="R233" s="140">
        <v>0</v>
      </c>
      <c r="S233" s="140">
        <v>2</v>
      </c>
      <c r="T233" s="140">
        <v>14</v>
      </c>
      <c r="U233" s="140">
        <v>0</v>
      </c>
      <c r="V233" s="140">
        <f t="shared" si="47"/>
        <v>18</v>
      </c>
      <c r="X233" s="98">
        <v>0</v>
      </c>
      <c r="Y233" s="98">
        <v>0</v>
      </c>
      <c r="Z233" s="98">
        <v>0</v>
      </c>
      <c r="AA233" s="98">
        <v>0</v>
      </c>
      <c r="AB233" s="98">
        <v>0</v>
      </c>
      <c r="AC233" s="98">
        <v>0</v>
      </c>
      <c r="AD233" s="98">
        <v>0</v>
      </c>
      <c r="AE233" s="98">
        <v>0</v>
      </c>
      <c r="AF233" s="98">
        <f t="shared" si="59"/>
        <v>0</v>
      </c>
      <c r="AH233" s="98">
        <v>15</v>
      </c>
      <c r="AJ233" s="98">
        <v>0</v>
      </c>
      <c r="AK233" s="98">
        <v>0</v>
      </c>
      <c r="AL233" s="380">
        <v>0</v>
      </c>
      <c r="AN233" s="214">
        <f t="shared" si="48"/>
        <v>68391</v>
      </c>
      <c r="AO233" s="214">
        <f t="shared" si="49"/>
        <v>4023</v>
      </c>
      <c r="AP233" s="214">
        <f t="shared" si="50"/>
        <v>0</v>
      </c>
      <c r="AQ233" s="214">
        <f t="shared" si="51"/>
        <v>0</v>
      </c>
      <c r="AR233" s="214">
        <f t="shared" si="52"/>
        <v>0</v>
      </c>
      <c r="AS233" s="214">
        <f t="shared" si="53"/>
        <v>0</v>
      </c>
      <c r="AT233" s="214">
        <f t="shared" si="54"/>
        <v>8046</v>
      </c>
      <c r="AU233" s="214">
        <f t="shared" si="55"/>
        <v>56322</v>
      </c>
      <c r="AV233" s="214">
        <f t="shared" si="56"/>
        <v>0</v>
      </c>
      <c r="AW233" s="215">
        <f t="shared" si="57"/>
        <v>68391</v>
      </c>
    </row>
    <row r="234" spans="1:49" ht="15" customHeight="1">
      <c r="A234" s="140" t="s">
        <v>377</v>
      </c>
      <c r="B234" s="211" t="s">
        <v>187</v>
      </c>
      <c r="C234" s="140" t="str">
        <f t="shared" si="45"/>
        <v>Saint Augustine Preparatory Academy - Milwaukee-MPCP</v>
      </c>
      <c r="D234" s="140">
        <v>0</v>
      </c>
      <c r="E234" s="140">
        <v>68</v>
      </c>
      <c r="F234" s="140">
        <v>0</v>
      </c>
      <c r="G234" s="140">
        <v>0</v>
      </c>
      <c r="H234" s="140">
        <v>0</v>
      </c>
      <c r="I234" s="140">
        <v>74</v>
      </c>
      <c r="J234" s="140">
        <v>748</v>
      </c>
      <c r="K234" s="140">
        <v>418</v>
      </c>
      <c r="L234" s="140">
        <f t="shared" si="46"/>
        <v>1308</v>
      </c>
      <c r="N234" s="140">
        <v>0</v>
      </c>
      <c r="O234" s="140">
        <v>59</v>
      </c>
      <c r="P234" s="140">
        <v>0</v>
      </c>
      <c r="Q234" s="140">
        <v>0</v>
      </c>
      <c r="R234" s="140">
        <v>0</v>
      </c>
      <c r="S234" s="140">
        <v>61</v>
      </c>
      <c r="T234" s="140">
        <v>670</v>
      </c>
      <c r="U234" s="140">
        <v>395</v>
      </c>
      <c r="V234" s="140">
        <f t="shared" si="47"/>
        <v>1185</v>
      </c>
      <c r="X234" s="98">
        <v>0</v>
      </c>
      <c r="Y234" s="98">
        <v>24</v>
      </c>
      <c r="Z234" s="98">
        <v>0</v>
      </c>
      <c r="AA234" s="98">
        <v>0</v>
      </c>
      <c r="AB234" s="98">
        <v>0</v>
      </c>
      <c r="AC234" s="98">
        <v>0</v>
      </c>
      <c r="AD234" s="98">
        <v>82</v>
      </c>
      <c r="AE234" s="98">
        <v>13</v>
      </c>
      <c r="AF234" s="98">
        <f t="shared" si="59"/>
        <v>119</v>
      </c>
      <c r="AH234" s="98">
        <v>764</v>
      </c>
      <c r="AJ234" s="98">
        <v>0</v>
      </c>
      <c r="AK234" s="98">
        <v>0</v>
      </c>
      <c r="AL234" s="380">
        <v>0</v>
      </c>
      <c r="AN234" s="214">
        <f t="shared" si="48"/>
        <v>4799897.2</v>
      </c>
      <c r="AO234" s="214">
        <f t="shared" si="49"/>
        <v>0</v>
      </c>
      <c r="AP234" s="214">
        <f t="shared" si="50"/>
        <v>142414.2</v>
      </c>
      <c r="AQ234" s="214">
        <f t="shared" si="51"/>
        <v>0</v>
      </c>
      <c r="AR234" s="214">
        <f t="shared" si="52"/>
        <v>0</v>
      </c>
      <c r="AS234" s="214">
        <f t="shared" si="53"/>
        <v>0</v>
      </c>
      <c r="AT234" s="214">
        <f t="shared" si="54"/>
        <v>245403</v>
      </c>
      <c r="AU234" s="214">
        <f t="shared" si="55"/>
        <v>2695410</v>
      </c>
      <c r="AV234" s="214">
        <f t="shared" si="56"/>
        <v>1716670</v>
      </c>
      <c r="AW234" s="215">
        <f t="shared" si="57"/>
        <v>4799897.2</v>
      </c>
    </row>
    <row r="235" spans="1:49" ht="15" customHeight="1">
      <c r="A235" s="140" t="s">
        <v>377</v>
      </c>
      <c r="B235" s="211" t="s">
        <v>96</v>
      </c>
      <c r="C235" s="140" t="str">
        <f t="shared" si="45"/>
        <v>Saint Augustine Preparatory Academy - Milwaukee-WPCP</v>
      </c>
      <c r="D235" s="140">
        <v>0</v>
      </c>
      <c r="E235" s="140">
        <v>68</v>
      </c>
      <c r="F235" s="140">
        <v>0</v>
      </c>
      <c r="G235" s="140">
        <v>0</v>
      </c>
      <c r="H235" s="140">
        <v>0</v>
      </c>
      <c r="I235" s="140">
        <v>74</v>
      </c>
      <c r="J235" s="140">
        <v>748</v>
      </c>
      <c r="K235" s="140">
        <v>418</v>
      </c>
      <c r="L235" s="140">
        <f t="shared" si="46"/>
        <v>1308</v>
      </c>
      <c r="N235" s="140">
        <v>0</v>
      </c>
      <c r="O235" s="140">
        <v>2</v>
      </c>
      <c r="P235" s="140">
        <v>0</v>
      </c>
      <c r="Q235" s="140">
        <v>0</v>
      </c>
      <c r="R235" s="140">
        <v>0</v>
      </c>
      <c r="S235" s="140">
        <v>5</v>
      </c>
      <c r="T235" s="140">
        <v>6</v>
      </c>
      <c r="U235" s="140">
        <v>0</v>
      </c>
      <c r="V235" s="140">
        <f t="shared" si="47"/>
        <v>13</v>
      </c>
      <c r="X235" s="98">
        <v>0</v>
      </c>
      <c r="Y235" s="98">
        <v>1</v>
      </c>
      <c r="Z235" s="98">
        <v>0</v>
      </c>
      <c r="AA235" s="98">
        <v>0</v>
      </c>
      <c r="AB235" s="98">
        <v>0</v>
      </c>
      <c r="AC235" s="98">
        <v>0</v>
      </c>
      <c r="AD235" s="98">
        <v>2</v>
      </c>
      <c r="AE235" s="98">
        <v>0</v>
      </c>
      <c r="AF235" s="98">
        <f t="shared" si="59"/>
        <v>3</v>
      </c>
      <c r="AH235" s="98">
        <v>9</v>
      </c>
      <c r="AJ235" s="98">
        <v>0</v>
      </c>
      <c r="AK235" s="98">
        <v>0</v>
      </c>
      <c r="AL235" s="380">
        <v>0</v>
      </c>
      <c r="AN235" s="214">
        <f t="shared" si="48"/>
        <v>49080.6</v>
      </c>
      <c r="AO235" s="214">
        <f t="shared" si="49"/>
        <v>0</v>
      </c>
      <c r="AP235" s="214">
        <f t="shared" si="50"/>
        <v>4827.6</v>
      </c>
      <c r="AQ235" s="214">
        <f t="shared" si="51"/>
        <v>0</v>
      </c>
      <c r="AR235" s="214">
        <f t="shared" si="52"/>
        <v>0</v>
      </c>
      <c r="AS235" s="214">
        <f t="shared" si="53"/>
        <v>0</v>
      </c>
      <c r="AT235" s="214">
        <f t="shared" si="54"/>
        <v>20115</v>
      </c>
      <c r="AU235" s="214">
        <f t="shared" si="55"/>
        <v>24138</v>
      </c>
      <c r="AV235" s="214">
        <f t="shared" si="56"/>
        <v>0</v>
      </c>
      <c r="AW235" s="215">
        <f t="shared" si="57"/>
        <v>49080.6</v>
      </c>
    </row>
    <row r="236" spans="1:49" ht="15" customHeight="1">
      <c r="A236" s="140" t="s">
        <v>459</v>
      </c>
      <c r="B236" s="211" t="s">
        <v>96</v>
      </c>
      <c r="C236" s="140" t="str">
        <f t="shared" si="45"/>
        <v>Saint Augustine School - Hartford-WPCP</v>
      </c>
      <c r="D236" s="140">
        <v>5</v>
      </c>
      <c r="E236" s="140">
        <v>0</v>
      </c>
      <c r="F236" s="140">
        <v>0</v>
      </c>
      <c r="G236" s="140">
        <v>7</v>
      </c>
      <c r="H236" s="140">
        <v>0</v>
      </c>
      <c r="I236" s="140">
        <v>0</v>
      </c>
      <c r="J236" s="140">
        <v>51</v>
      </c>
      <c r="K236" s="140">
        <v>12</v>
      </c>
      <c r="L236" s="140">
        <f t="shared" si="46"/>
        <v>75</v>
      </c>
      <c r="N236" s="140">
        <v>3</v>
      </c>
      <c r="O236" s="140">
        <v>0</v>
      </c>
      <c r="P236" s="140">
        <v>0</v>
      </c>
      <c r="Q236" s="140">
        <v>2</v>
      </c>
      <c r="R236" s="140">
        <v>0</v>
      </c>
      <c r="S236" s="140">
        <v>0</v>
      </c>
      <c r="T236" s="140">
        <v>10</v>
      </c>
      <c r="U236" s="140">
        <v>4</v>
      </c>
      <c r="V236" s="140">
        <f t="shared" si="47"/>
        <v>19</v>
      </c>
      <c r="X236" s="98">
        <v>0</v>
      </c>
      <c r="Y236" s="98">
        <v>0</v>
      </c>
      <c r="Z236" s="98">
        <v>0</v>
      </c>
      <c r="AA236" s="98">
        <v>0</v>
      </c>
      <c r="AB236" s="98">
        <v>0</v>
      </c>
      <c r="AC236" s="98">
        <v>0</v>
      </c>
      <c r="AD236" s="98">
        <v>0</v>
      </c>
      <c r="AE236" s="98">
        <v>0</v>
      </c>
      <c r="AF236" s="98">
        <f t="shared" si="59"/>
        <v>0</v>
      </c>
      <c r="AH236" s="98">
        <v>7</v>
      </c>
      <c r="AJ236" s="98">
        <v>0</v>
      </c>
      <c r="AK236" s="98">
        <v>0</v>
      </c>
      <c r="AL236" s="380">
        <v>0</v>
      </c>
      <c r="AN236" s="214">
        <f t="shared" si="48"/>
        <v>68476.1</v>
      </c>
      <c r="AO236" s="214">
        <f t="shared" si="49"/>
        <v>6034.5</v>
      </c>
      <c r="AP236" s="214">
        <f t="shared" si="50"/>
        <v>0</v>
      </c>
      <c r="AQ236" s="214">
        <f t="shared" si="51"/>
        <v>0</v>
      </c>
      <c r="AR236" s="214">
        <f t="shared" si="52"/>
        <v>4827.6</v>
      </c>
      <c r="AS236" s="214">
        <f t="shared" si="53"/>
        <v>0</v>
      </c>
      <c r="AT236" s="214">
        <f t="shared" si="54"/>
        <v>0</v>
      </c>
      <c r="AU236" s="214">
        <f t="shared" si="55"/>
        <v>40230</v>
      </c>
      <c r="AV236" s="214">
        <f t="shared" si="56"/>
        <v>17384</v>
      </c>
      <c r="AW236" s="215">
        <f t="shared" si="57"/>
        <v>68476.1</v>
      </c>
    </row>
    <row r="237" spans="1:49" ht="15" customHeight="1">
      <c r="A237" s="140" t="s">
        <v>319</v>
      </c>
      <c r="B237" s="211" t="s">
        <v>96</v>
      </c>
      <c r="C237" s="140" t="str">
        <f t="shared" si="45"/>
        <v>Saint Bruno Parish School-WPCP</v>
      </c>
      <c r="D237" s="140">
        <v>17</v>
      </c>
      <c r="E237" s="140">
        <v>0</v>
      </c>
      <c r="F237" s="140">
        <v>0</v>
      </c>
      <c r="G237" s="140">
        <v>0</v>
      </c>
      <c r="H237" s="140">
        <v>0</v>
      </c>
      <c r="I237" s="140">
        <v>5</v>
      </c>
      <c r="J237" s="140">
        <v>70</v>
      </c>
      <c r="K237" s="140">
        <v>0</v>
      </c>
      <c r="L237" s="140">
        <f t="shared" si="46"/>
        <v>92</v>
      </c>
      <c r="N237" s="140">
        <v>1</v>
      </c>
      <c r="O237" s="140">
        <v>0</v>
      </c>
      <c r="P237" s="140">
        <v>0</v>
      </c>
      <c r="Q237" s="140">
        <v>0</v>
      </c>
      <c r="R237" s="140">
        <v>0</v>
      </c>
      <c r="S237" s="140">
        <v>2</v>
      </c>
      <c r="T237" s="140">
        <v>15</v>
      </c>
      <c r="U237" s="140">
        <v>0</v>
      </c>
      <c r="V237" s="140">
        <f t="shared" si="47"/>
        <v>18</v>
      </c>
      <c r="X237" s="98">
        <v>0</v>
      </c>
      <c r="Y237" s="98">
        <v>0</v>
      </c>
      <c r="Z237" s="98">
        <v>0</v>
      </c>
      <c r="AA237" s="98">
        <v>0</v>
      </c>
      <c r="AB237" s="98">
        <v>0</v>
      </c>
      <c r="AC237" s="98">
        <v>0</v>
      </c>
      <c r="AD237" s="98">
        <v>0</v>
      </c>
      <c r="AE237" s="98">
        <v>0</v>
      </c>
      <c r="AF237" s="98">
        <f t="shared" si="59"/>
        <v>0</v>
      </c>
      <c r="AH237" s="98">
        <v>12</v>
      </c>
      <c r="AJ237" s="98">
        <v>0</v>
      </c>
      <c r="AK237" s="98">
        <v>0</v>
      </c>
      <c r="AL237" s="380">
        <v>0</v>
      </c>
      <c r="AN237" s="214">
        <f t="shared" si="48"/>
        <v>70402.5</v>
      </c>
      <c r="AO237" s="214">
        <f t="shared" si="49"/>
        <v>2011.5</v>
      </c>
      <c r="AP237" s="214">
        <f t="shared" si="50"/>
        <v>0</v>
      </c>
      <c r="AQ237" s="214">
        <f t="shared" si="51"/>
        <v>0</v>
      </c>
      <c r="AR237" s="214">
        <f t="shared" si="52"/>
        <v>0</v>
      </c>
      <c r="AS237" s="214">
        <f t="shared" si="53"/>
        <v>0</v>
      </c>
      <c r="AT237" s="214">
        <f t="shared" si="54"/>
        <v>8046</v>
      </c>
      <c r="AU237" s="214">
        <f t="shared" si="55"/>
        <v>60345</v>
      </c>
      <c r="AV237" s="214">
        <f t="shared" si="56"/>
        <v>0</v>
      </c>
      <c r="AW237" s="215">
        <f t="shared" si="57"/>
        <v>70402.5</v>
      </c>
    </row>
    <row r="238" spans="1:49" ht="15" customHeight="1">
      <c r="A238" s="140" t="s">
        <v>140</v>
      </c>
      <c r="B238" s="211" t="s">
        <v>187</v>
      </c>
      <c r="C238" s="140" t="str">
        <f t="shared" si="45"/>
        <v>Saint Catherine School-MPCP</v>
      </c>
      <c r="D238" s="140">
        <v>0</v>
      </c>
      <c r="E238" s="140">
        <v>19</v>
      </c>
      <c r="F238" s="140">
        <v>0</v>
      </c>
      <c r="G238" s="140">
        <v>0</v>
      </c>
      <c r="H238" s="140">
        <v>0</v>
      </c>
      <c r="I238" s="140">
        <v>8</v>
      </c>
      <c r="J238" s="140">
        <v>95</v>
      </c>
      <c r="K238" s="140">
        <v>0</v>
      </c>
      <c r="L238" s="140">
        <f t="shared" si="46"/>
        <v>122</v>
      </c>
      <c r="N238" s="140">
        <v>0</v>
      </c>
      <c r="O238" s="140">
        <v>19</v>
      </c>
      <c r="P238" s="140">
        <v>0</v>
      </c>
      <c r="Q238" s="140">
        <v>0</v>
      </c>
      <c r="R238" s="140">
        <v>0</v>
      </c>
      <c r="S238" s="140">
        <v>8</v>
      </c>
      <c r="T238" s="140">
        <v>95</v>
      </c>
      <c r="U238" s="140">
        <v>0</v>
      </c>
      <c r="V238" s="140">
        <f t="shared" si="47"/>
        <v>122</v>
      </c>
      <c r="X238" s="98">
        <v>0</v>
      </c>
      <c r="Y238" s="98">
        <v>0</v>
      </c>
      <c r="Z238" s="98">
        <v>0</v>
      </c>
      <c r="AA238" s="98">
        <v>0</v>
      </c>
      <c r="AB238" s="98">
        <v>0</v>
      </c>
      <c r="AC238" s="98">
        <v>0</v>
      </c>
      <c r="AD238" s="98">
        <v>0</v>
      </c>
      <c r="AE238" s="98">
        <v>0</v>
      </c>
      <c r="AF238" s="98">
        <f t="shared" si="59"/>
        <v>0</v>
      </c>
      <c r="AH238" s="98">
        <v>82</v>
      </c>
      <c r="AJ238" s="98">
        <v>0</v>
      </c>
      <c r="AK238" s="98">
        <v>0</v>
      </c>
      <c r="AL238" s="380">
        <v>0</v>
      </c>
      <c r="AN238" s="214">
        <f t="shared" si="48"/>
        <v>460231.2</v>
      </c>
      <c r="AO238" s="214">
        <f t="shared" si="49"/>
        <v>0</v>
      </c>
      <c r="AP238" s="214">
        <f t="shared" si="50"/>
        <v>45862.2</v>
      </c>
      <c r="AQ238" s="214">
        <f t="shared" si="51"/>
        <v>0</v>
      </c>
      <c r="AR238" s="214">
        <f t="shared" si="52"/>
        <v>0</v>
      </c>
      <c r="AS238" s="214">
        <f t="shared" si="53"/>
        <v>0</v>
      </c>
      <c r="AT238" s="214">
        <f t="shared" si="54"/>
        <v>32184</v>
      </c>
      <c r="AU238" s="214">
        <f t="shared" si="55"/>
        <v>382185</v>
      </c>
      <c r="AV238" s="214">
        <f t="shared" si="56"/>
        <v>0</v>
      </c>
      <c r="AW238" s="215">
        <f t="shared" si="57"/>
        <v>460231.2</v>
      </c>
    </row>
    <row r="239" spans="1:49" ht="15" customHeight="1">
      <c r="A239" s="140" t="s">
        <v>140</v>
      </c>
      <c r="B239" s="211" t="s">
        <v>96</v>
      </c>
      <c r="C239" s="140" t="str">
        <f>A239&amp;"-"&amp;B239</f>
        <v>Saint Catherine School-WPCP</v>
      </c>
      <c r="D239" s="140">
        <v>0</v>
      </c>
      <c r="E239" s="140">
        <v>19</v>
      </c>
      <c r="F239" s="140">
        <v>0</v>
      </c>
      <c r="G239" s="140">
        <v>0</v>
      </c>
      <c r="H239" s="140">
        <v>0</v>
      </c>
      <c r="I239" s="140">
        <v>8</v>
      </c>
      <c r="J239" s="140">
        <v>95</v>
      </c>
      <c r="K239" s="140">
        <v>0</v>
      </c>
      <c r="L239" s="140">
        <f>SUM(D239:K239)</f>
        <v>122</v>
      </c>
      <c r="N239" s="140">
        <v>0</v>
      </c>
      <c r="O239" s="140">
        <v>0</v>
      </c>
      <c r="P239" s="140">
        <v>0</v>
      </c>
      <c r="Q239" s="140">
        <v>0</v>
      </c>
      <c r="R239" s="140">
        <v>0</v>
      </c>
      <c r="S239" s="140">
        <v>0</v>
      </c>
      <c r="T239" s="140">
        <v>0</v>
      </c>
      <c r="U239" s="140">
        <v>0</v>
      </c>
      <c r="V239" s="140">
        <f>SUM(N239:U239)</f>
        <v>0</v>
      </c>
      <c r="X239" s="98">
        <v>0</v>
      </c>
      <c r="Y239" s="98">
        <v>0</v>
      </c>
      <c r="Z239" s="98">
        <v>0</v>
      </c>
      <c r="AA239" s="98">
        <v>0</v>
      </c>
      <c r="AB239" s="98">
        <v>0</v>
      </c>
      <c r="AC239" s="98">
        <v>0</v>
      </c>
      <c r="AD239" s="98">
        <v>0</v>
      </c>
      <c r="AE239" s="98">
        <v>0</v>
      </c>
      <c r="AF239" s="98">
        <f>SUM(X239:AE239)</f>
        <v>0</v>
      </c>
      <c r="AH239" s="98">
        <v>0</v>
      </c>
      <c r="AJ239" s="98">
        <v>0</v>
      </c>
      <c r="AK239" s="98">
        <v>0</v>
      </c>
      <c r="AL239" s="380">
        <v>0</v>
      </c>
      <c r="AN239" s="214">
        <f>SUM(AO239:AV239)</f>
        <v>0</v>
      </c>
      <c r="AO239" s="214">
        <f aca="true" t="shared" si="60" ref="AO239:AV239">ROUND(AO$1*AO$2*N239,2)</f>
        <v>0</v>
      </c>
      <c r="AP239" s="214">
        <f t="shared" si="60"/>
        <v>0</v>
      </c>
      <c r="AQ239" s="214">
        <f t="shared" si="60"/>
        <v>0</v>
      </c>
      <c r="AR239" s="214">
        <f t="shared" si="60"/>
        <v>0</v>
      </c>
      <c r="AS239" s="214">
        <f t="shared" si="60"/>
        <v>0</v>
      </c>
      <c r="AT239" s="214">
        <f t="shared" si="60"/>
        <v>0</v>
      </c>
      <c r="AU239" s="214">
        <f t="shared" si="60"/>
        <v>0</v>
      </c>
      <c r="AV239" s="214">
        <f t="shared" si="60"/>
        <v>0</v>
      </c>
      <c r="AW239" s="215">
        <f>SUM(AO239:AV239)</f>
        <v>0</v>
      </c>
    </row>
    <row r="240" spans="1:49" ht="15" customHeight="1">
      <c r="A240" s="140" t="s">
        <v>588</v>
      </c>
      <c r="B240" s="211" t="s">
        <v>187</v>
      </c>
      <c r="C240" s="140" t="str">
        <f t="shared" si="45"/>
        <v>Saint Charles Borromeo Catholic School - Milwaukee-MPCP</v>
      </c>
      <c r="D240" s="140">
        <v>0</v>
      </c>
      <c r="E240" s="140">
        <v>22</v>
      </c>
      <c r="F240" s="140">
        <v>0</v>
      </c>
      <c r="G240" s="140">
        <v>0</v>
      </c>
      <c r="H240" s="140">
        <v>0</v>
      </c>
      <c r="I240" s="140">
        <v>27</v>
      </c>
      <c r="J240" s="140">
        <v>171</v>
      </c>
      <c r="K240" s="140">
        <v>0</v>
      </c>
      <c r="L240" s="140">
        <f t="shared" si="46"/>
        <v>220</v>
      </c>
      <c r="N240" s="140">
        <v>0</v>
      </c>
      <c r="O240" s="140">
        <v>7</v>
      </c>
      <c r="P240" s="140">
        <v>0</v>
      </c>
      <c r="Q240" s="140">
        <v>0</v>
      </c>
      <c r="R240" s="140">
        <v>0</v>
      </c>
      <c r="S240" s="140">
        <v>14</v>
      </c>
      <c r="T240" s="140">
        <v>96</v>
      </c>
      <c r="U240" s="140">
        <v>0</v>
      </c>
      <c r="V240" s="140">
        <f t="shared" si="47"/>
        <v>117</v>
      </c>
      <c r="X240" s="98">
        <v>0</v>
      </c>
      <c r="Y240" s="98">
        <v>0</v>
      </c>
      <c r="Z240" s="98">
        <v>0</v>
      </c>
      <c r="AA240" s="98">
        <v>0</v>
      </c>
      <c r="AB240" s="98">
        <v>0</v>
      </c>
      <c r="AC240" s="98">
        <v>0</v>
      </c>
      <c r="AD240" s="98">
        <v>0</v>
      </c>
      <c r="AE240" s="98">
        <v>0</v>
      </c>
      <c r="AF240" s="98">
        <f t="shared" si="59"/>
        <v>0</v>
      </c>
      <c r="AH240" s="98">
        <v>74</v>
      </c>
      <c r="AJ240" s="98">
        <v>0</v>
      </c>
      <c r="AK240" s="98">
        <v>0</v>
      </c>
      <c r="AL240" s="380">
        <v>0</v>
      </c>
      <c r="AN240" s="214">
        <f t="shared" si="48"/>
        <v>459426.6</v>
      </c>
      <c r="AO240" s="214">
        <f t="shared" si="49"/>
        <v>0</v>
      </c>
      <c r="AP240" s="214">
        <f t="shared" si="50"/>
        <v>16896.6</v>
      </c>
      <c r="AQ240" s="214">
        <f t="shared" si="51"/>
        <v>0</v>
      </c>
      <c r="AR240" s="214">
        <f t="shared" si="52"/>
        <v>0</v>
      </c>
      <c r="AS240" s="214">
        <f t="shared" si="53"/>
        <v>0</v>
      </c>
      <c r="AT240" s="214">
        <f t="shared" si="54"/>
        <v>56322</v>
      </c>
      <c r="AU240" s="214">
        <f t="shared" si="55"/>
        <v>386208</v>
      </c>
      <c r="AV240" s="214">
        <f t="shared" si="56"/>
        <v>0</v>
      </c>
      <c r="AW240" s="215">
        <f t="shared" si="57"/>
        <v>459426.6</v>
      </c>
    </row>
    <row r="241" spans="1:49" ht="15" customHeight="1">
      <c r="A241" s="140" t="s">
        <v>588</v>
      </c>
      <c r="B241" s="211" t="s">
        <v>96</v>
      </c>
      <c r="C241" s="140" t="str">
        <f t="shared" si="45"/>
        <v>Saint Charles Borromeo Catholic School - Milwaukee-WPCP</v>
      </c>
      <c r="D241" s="140">
        <v>0</v>
      </c>
      <c r="E241" s="140">
        <v>22</v>
      </c>
      <c r="F241" s="140">
        <v>0</v>
      </c>
      <c r="G241" s="140">
        <v>0</v>
      </c>
      <c r="H241" s="140">
        <v>0</v>
      </c>
      <c r="I241" s="140">
        <v>27</v>
      </c>
      <c r="J241" s="140">
        <v>171</v>
      </c>
      <c r="K241" s="140">
        <v>0</v>
      </c>
      <c r="L241" s="140">
        <f t="shared" si="46"/>
        <v>220</v>
      </c>
      <c r="N241" s="140">
        <v>0</v>
      </c>
      <c r="O241" s="140">
        <v>3</v>
      </c>
      <c r="P241" s="140">
        <v>0</v>
      </c>
      <c r="Q241" s="140">
        <v>0</v>
      </c>
      <c r="R241" s="140">
        <v>0</v>
      </c>
      <c r="S241" s="140">
        <v>1</v>
      </c>
      <c r="T241" s="140">
        <v>12</v>
      </c>
      <c r="U241" s="140">
        <v>0</v>
      </c>
      <c r="V241" s="140">
        <f t="shared" si="47"/>
        <v>16</v>
      </c>
      <c r="X241" s="98">
        <v>0</v>
      </c>
      <c r="Y241" s="98">
        <v>0</v>
      </c>
      <c r="Z241" s="98">
        <v>0</v>
      </c>
      <c r="AA241" s="98">
        <v>0</v>
      </c>
      <c r="AB241" s="98">
        <v>0</v>
      </c>
      <c r="AC241" s="98">
        <v>0</v>
      </c>
      <c r="AD241" s="98">
        <v>1</v>
      </c>
      <c r="AE241" s="98">
        <v>0</v>
      </c>
      <c r="AF241" s="98">
        <f t="shared" si="59"/>
        <v>1</v>
      </c>
      <c r="AH241" s="98">
        <v>11</v>
      </c>
      <c r="AJ241" s="98">
        <v>0</v>
      </c>
      <c r="AK241" s="98">
        <v>0</v>
      </c>
      <c r="AL241" s="380">
        <v>0</v>
      </c>
      <c r="AN241" s="214">
        <f t="shared" si="48"/>
        <v>59540.4</v>
      </c>
      <c r="AO241" s="214">
        <f t="shared" si="49"/>
        <v>0</v>
      </c>
      <c r="AP241" s="214">
        <f t="shared" si="50"/>
        <v>7241.4</v>
      </c>
      <c r="AQ241" s="214">
        <f t="shared" si="51"/>
        <v>0</v>
      </c>
      <c r="AR241" s="214">
        <f t="shared" si="52"/>
        <v>0</v>
      </c>
      <c r="AS241" s="214">
        <f t="shared" si="53"/>
        <v>0</v>
      </c>
      <c r="AT241" s="214">
        <f t="shared" si="54"/>
        <v>4023</v>
      </c>
      <c r="AU241" s="214">
        <f t="shared" si="55"/>
        <v>48276</v>
      </c>
      <c r="AV241" s="214">
        <f t="shared" si="56"/>
        <v>0</v>
      </c>
      <c r="AW241" s="215">
        <f t="shared" si="57"/>
        <v>59540.4</v>
      </c>
    </row>
    <row r="242" spans="1:49" ht="15" customHeight="1">
      <c r="A242" s="140" t="s">
        <v>589</v>
      </c>
      <c r="B242" s="211" t="s">
        <v>96</v>
      </c>
      <c r="C242" s="140" t="str">
        <f t="shared" si="45"/>
        <v>Saint Clare Catholic School-WPCP</v>
      </c>
      <c r="D242" s="140">
        <v>15</v>
      </c>
      <c r="E242" s="140">
        <v>0</v>
      </c>
      <c r="F242" s="140">
        <v>0</v>
      </c>
      <c r="G242" s="140">
        <v>0</v>
      </c>
      <c r="H242" s="140">
        <v>0</v>
      </c>
      <c r="I242" s="140">
        <v>13</v>
      </c>
      <c r="J242" s="140">
        <v>56</v>
      </c>
      <c r="K242" s="140">
        <v>0</v>
      </c>
      <c r="L242" s="140">
        <f t="shared" si="46"/>
        <v>84</v>
      </c>
      <c r="N242" s="140">
        <v>0</v>
      </c>
      <c r="O242" s="140">
        <v>0</v>
      </c>
      <c r="P242" s="140">
        <v>0</v>
      </c>
      <c r="Q242" s="140">
        <v>0</v>
      </c>
      <c r="R242" s="140">
        <v>0</v>
      </c>
      <c r="S242" s="140">
        <v>5</v>
      </c>
      <c r="T242" s="140">
        <v>7</v>
      </c>
      <c r="U242" s="140">
        <v>0</v>
      </c>
      <c r="V242" s="140">
        <f t="shared" si="47"/>
        <v>12</v>
      </c>
      <c r="X242" s="98">
        <v>0</v>
      </c>
      <c r="Y242" s="98">
        <v>0</v>
      </c>
      <c r="Z242" s="98">
        <v>0</v>
      </c>
      <c r="AA242" s="98">
        <v>0</v>
      </c>
      <c r="AB242" s="98">
        <v>0</v>
      </c>
      <c r="AC242" s="98">
        <v>0</v>
      </c>
      <c r="AD242" s="98">
        <v>0</v>
      </c>
      <c r="AE242" s="98">
        <v>0</v>
      </c>
      <c r="AF242" s="98">
        <f t="shared" si="59"/>
        <v>0</v>
      </c>
      <c r="AH242" s="98">
        <v>9</v>
      </c>
      <c r="AJ242" s="98">
        <v>0</v>
      </c>
      <c r="AK242" s="98">
        <v>0</v>
      </c>
      <c r="AL242" s="380">
        <v>0</v>
      </c>
      <c r="AN242" s="214">
        <f t="shared" si="48"/>
        <v>48276</v>
      </c>
      <c r="AO242" s="214">
        <f t="shared" si="49"/>
        <v>0</v>
      </c>
      <c r="AP242" s="214">
        <f t="shared" si="50"/>
        <v>0</v>
      </c>
      <c r="AQ242" s="214">
        <f t="shared" si="51"/>
        <v>0</v>
      </c>
      <c r="AR242" s="214">
        <f t="shared" si="52"/>
        <v>0</v>
      </c>
      <c r="AS242" s="214">
        <f t="shared" si="53"/>
        <v>0</v>
      </c>
      <c r="AT242" s="214">
        <f t="shared" si="54"/>
        <v>20115</v>
      </c>
      <c r="AU242" s="214">
        <f t="shared" si="55"/>
        <v>28161</v>
      </c>
      <c r="AV242" s="214">
        <f t="shared" si="56"/>
        <v>0</v>
      </c>
      <c r="AW242" s="215">
        <f t="shared" si="57"/>
        <v>48276</v>
      </c>
    </row>
    <row r="243" spans="1:49" ht="15" customHeight="1">
      <c r="A243" s="140" t="s">
        <v>241</v>
      </c>
      <c r="B243" s="211" t="s">
        <v>187</v>
      </c>
      <c r="C243" s="140" t="str">
        <f t="shared" si="45"/>
        <v>Saint Coletta Day School-MPCP</v>
      </c>
      <c r="D243" s="140">
        <v>0</v>
      </c>
      <c r="E243" s="140">
        <v>0</v>
      </c>
      <c r="F243" s="140">
        <v>0</v>
      </c>
      <c r="G243" s="140">
        <v>0</v>
      </c>
      <c r="H243" s="140">
        <v>0</v>
      </c>
      <c r="I243" s="140">
        <v>0</v>
      </c>
      <c r="J243" s="140">
        <v>18</v>
      </c>
      <c r="K243" s="140">
        <v>13</v>
      </c>
      <c r="L243" s="140">
        <f t="shared" si="46"/>
        <v>31</v>
      </c>
      <c r="N243" s="140">
        <v>0</v>
      </c>
      <c r="O243" s="140">
        <v>0</v>
      </c>
      <c r="P243" s="140">
        <v>0</v>
      </c>
      <c r="Q243" s="140">
        <v>0</v>
      </c>
      <c r="R243" s="140">
        <v>0</v>
      </c>
      <c r="S243" s="140">
        <v>0</v>
      </c>
      <c r="T243" s="140">
        <v>0</v>
      </c>
      <c r="U243" s="140">
        <v>0</v>
      </c>
      <c r="V243" s="140">
        <f t="shared" si="47"/>
        <v>0</v>
      </c>
      <c r="X243" s="98">
        <v>0</v>
      </c>
      <c r="Y243" s="98">
        <v>0</v>
      </c>
      <c r="Z243" s="98">
        <v>0</v>
      </c>
      <c r="AA243" s="98">
        <v>0</v>
      </c>
      <c r="AB243" s="98">
        <v>0</v>
      </c>
      <c r="AC243" s="98">
        <v>0</v>
      </c>
      <c r="AD243" s="98">
        <v>0</v>
      </c>
      <c r="AE243" s="98">
        <v>0</v>
      </c>
      <c r="AF243" s="98">
        <f t="shared" si="59"/>
        <v>0</v>
      </c>
      <c r="AH243" s="98">
        <v>0</v>
      </c>
      <c r="AJ243" s="98">
        <v>0</v>
      </c>
      <c r="AK243" s="98">
        <v>0</v>
      </c>
      <c r="AL243" s="380">
        <v>0</v>
      </c>
      <c r="AN243" s="214">
        <f t="shared" si="48"/>
        <v>0</v>
      </c>
      <c r="AO243" s="214">
        <f t="shared" si="49"/>
        <v>0</v>
      </c>
      <c r="AP243" s="214">
        <f t="shared" si="50"/>
        <v>0</v>
      </c>
      <c r="AQ243" s="214">
        <f t="shared" si="51"/>
        <v>0</v>
      </c>
      <c r="AR243" s="214">
        <f t="shared" si="52"/>
        <v>0</v>
      </c>
      <c r="AS243" s="214">
        <f t="shared" si="53"/>
        <v>0</v>
      </c>
      <c r="AT243" s="214">
        <f t="shared" si="54"/>
        <v>0</v>
      </c>
      <c r="AU243" s="214">
        <f t="shared" si="55"/>
        <v>0</v>
      </c>
      <c r="AV243" s="214">
        <f t="shared" si="56"/>
        <v>0</v>
      </c>
      <c r="AW243" s="215">
        <f t="shared" si="57"/>
        <v>0</v>
      </c>
    </row>
    <row r="244" spans="1:49" ht="15" customHeight="1">
      <c r="A244" s="140" t="s">
        <v>460</v>
      </c>
      <c r="B244" s="211" t="s">
        <v>96</v>
      </c>
      <c r="C244" s="140" t="str">
        <f t="shared" si="45"/>
        <v>Saint Elizabeth Ann Seton Catholic School-WPCP</v>
      </c>
      <c r="D244" s="140">
        <v>16</v>
      </c>
      <c r="E244" s="140">
        <v>0</v>
      </c>
      <c r="F244" s="140">
        <v>0</v>
      </c>
      <c r="G244" s="140">
        <v>0</v>
      </c>
      <c r="H244" s="140">
        <v>0</v>
      </c>
      <c r="I244" s="140">
        <v>17</v>
      </c>
      <c r="J244" s="140">
        <v>116</v>
      </c>
      <c r="K244" s="140">
        <v>0</v>
      </c>
      <c r="L244" s="140">
        <f t="shared" si="46"/>
        <v>149</v>
      </c>
      <c r="N244" s="140">
        <v>7</v>
      </c>
      <c r="O244" s="140">
        <v>0</v>
      </c>
      <c r="P244" s="140">
        <v>0</v>
      </c>
      <c r="Q244" s="140">
        <v>0</v>
      </c>
      <c r="R244" s="140">
        <v>0</v>
      </c>
      <c r="S244" s="140">
        <v>7</v>
      </c>
      <c r="T244" s="140">
        <v>28</v>
      </c>
      <c r="U244" s="140">
        <v>0</v>
      </c>
      <c r="V244" s="140">
        <f t="shared" si="47"/>
        <v>42</v>
      </c>
      <c r="X244" s="98">
        <v>0</v>
      </c>
      <c r="Y244" s="98">
        <v>0</v>
      </c>
      <c r="Z244" s="98">
        <v>0</v>
      </c>
      <c r="AA244" s="98">
        <v>0</v>
      </c>
      <c r="AB244" s="98">
        <v>0</v>
      </c>
      <c r="AC244" s="98">
        <v>0</v>
      </c>
      <c r="AD244" s="98">
        <v>0</v>
      </c>
      <c r="AE244" s="98">
        <v>0</v>
      </c>
      <c r="AF244" s="98">
        <f t="shared" si="59"/>
        <v>0</v>
      </c>
      <c r="AH244" s="98">
        <v>24</v>
      </c>
      <c r="AJ244" s="98">
        <v>0</v>
      </c>
      <c r="AK244" s="98">
        <v>0</v>
      </c>
      <c r="AL244" s="380">
        <v>0</v>
      </c>
      <c r="AN244" s="214">
        <f t="shared" si="48"/>
        <v>154885.5</v>
      </c>
      <c r="AO244" s="214">
        <f t="shared" si="49"/>
        <v>14080.5</v>
      </c>
      <c r="AP244" s="214">
        <f t="shared" si="50"/>
        <v>0</v>
      </c>
      <c r="AQ244" s="214">
        <f t="shared" si="51"/>
        <v>0</v>
      </c>
      <c r="AR244" s="214">
        <f t="shared" si="52"/>
        <v>0</v>
      </c>
      <c r="AS244" s="214">
        <f t="shared" si="53"/>
        <v>0</v>
      </c>
      <c r="AT244" s="214">
        <f t="shared" si="54"/>
        <v>28161</v>
      </c>
      <c r="AU244" s="214">
        <f t="shared" si="55"/>
        <v>112644</v>
      </c>
      <c r="AV244" s="214">
        <f t="shared" si="56"/>
        <v>0</v>
      </c>
      <c r="AW244" s="215">
        <f t="shared" si="57"/>
        <v>154885.5</v>
      </c>
    </row>
    <row r="245" spans="1:49" ht="15" customHeight="1">
      <c r="A245" s="140" t="s">
        <v>348</v>
      </c>
      <c r="B245" s="211" t="s">
        <v>96</v>
      </c>
      <c r="C245" s="140" t="str">
        <f t="shared" si="45"/>
        <v>Saint Francis de Sales Parish School-WPCP</v>
      </c>
      <c r="D245" s="140">
        <v>7</v>
      </c>
      <c r="E245" s="140">
        <v>0</v>
      </c>
      <c r="F245" s="140">
        <v>0</v>
      </c>
      <c r="G245" s="140">
        <v>0</v>
      </c>
      <c r="H245" s="140">
        <v>0</v>
      </c>
      <c r="I245" s="140">
        <v>12</v>
      </c>
      <c r="J245" s="140">
        <v>129</v>
      </c>
      <c r="K245" s="140">
        <v>0</v>
      </c>
      <c r="L245" s="140">
        <f t="shared" si="46"/>
        <v>148</v>
      </c>
      <c r="N245" s="140">
        <v>1</v>
      </c>
      <c r="O245" s="140">
        <v>0</v>
      </c>
      <c r="P245" s="140">
        <v>0</v>
      </c>
      <c r="Q245" s="140">
        <v>0</v>
      </c>
      <c r="R245" s="140">
        <v>0</v>
      </c>
      <c r="S245" s="140">
        <v>3</v>
      </c>
      <c r="T245" s="140">
        <v>16</v>
      </c>
      <c r="U245" s="140">
        <v>0</v>
      </c>
      <c r="V245" s="140">
        <f t="shared" si="47"/>
        <v>20</v>
      </c>
      <c r="X245" s="98">
        <v>0</v>
      </c>
      <c r="Y245" s="98">
        <v>0</v>
      </c>
      <c r="Z245" s="98">
        <v>0</v>
      </c>
      <c r="AA245" s="98">
        <v>0</v>
      </c>
      <c r="AB245" s="98">
        <v>0</v>
      </c>
      <c r="AC245" s="98">
        <v>0</v>
      </c>
      <c r="AD245" s="98">
        <v>0</v>
      </c>
      <c r="AE245" s="98">
        <v>0</v>
      </c>
      <c r="AF245" s="98">
        <f t="shared" si="59"/>
        <v>0</v>
      </c>
      <c r="AH245" s="98">
        <v>14</v>
      </c>
      <c r="AJ245" s="98">
        <v>0</v>
      </c>
      <c r="AK245" s="98">
        <v>0</v>
      </c>
      <c r="AL245" s="380">
        <v>0</v>
      </c>
      <c r="AN245" s="214">
        <f t="shared" si="48"/>
        <v>78448.5</v>
      </c>
      <c r="AO245" s="214">
        <f t="shared" si="49"/>
        <v>2011.5</v>
      </c>
      <c r="AP245" s="214">
        <f t="shared" si="50"/>
        <v>0</v>
      </c>
      <c r="AQ245" s="214">
        <f t="shared" si="51"/>
        <v>0</v>
      </c>
      <c r="AR245" s="214">
        <f t="shared" si="52"/>
        <v>0</v>
      </c>
      <c r="AS245" s="214">
        <f t="shared" si="53"/>
        <v>0</v>
      </c>
      <c r="AT245" s="214">
        <f t="shared" si="54"/>
        <v>12069</v>
      </c>
      <c r="AU245" s="214">
        <f t="shared" si="55"/>
        <v>64368</v>
      </c>
      <c r="AV245" s="214">
        <f t="shared" si="56"/>
        <v>0</v>
      </c>
      <c r="AW245" s="215">
        <f t="shared" si="57"/>
        <v>78448.5</v>
      </c>
    </row>
    <row r="246" spans="1:49" ht="15" customHeight="1">
      <c r="A246" s="140" t="s">
        <v>142</v>
      </c>
      <c r="B246" s="211" t="s">
        <v>96</v>
      </c>
      <c r="C246" s="140" t="str">
        <f t="shared" si="45"/>
        <v>Saint Francis of Assisi School-WPCP</v>
      </c>
      <c r="D246" s="140">
        <v>46</v>
      </c>
      <c r="E246" s="140">
        <v>0</v>
      </c>
      <c r="F246" s="140">
        <v>0</v>
      </c>
      <c r="G246" s="140">
        <v>0</v>
      </c>
      <c r="H246" s="140">
        <v>0</v>
      </c>
      <c r="I246" s="140">
        <v>52</v>
      </c>
      <c r="J246" s="140">
        <v>360</v>
      </c>
      <c r="K246" s="140">
        <v>0</v>
      </c>
      <c r="L246" s="140">
        <f t="shared" si="46"/>
        <v>458</v>
      </c>
      <c r="N246" s="140">
        <v>15</v>
      </c>
      <c r="O246" s="140">
        <v>0</v>
      </c>
      <c r="P246" s="140">
        <v>0</v>
      </c>
      <c r="Q246" s="140">
        <v>0</v>
      </c>
      <c r="R246" s="140">
        <v>0</v>
      </c>
      <c r="S246" s="140">
        <v>21</v>
      </c>
      <c r="T246" s="140">
        <v>101</v>
      </c>
      <c r="U246" s="140">
        <v>0</v>
      </c>
      <c r="V246" s="140">
        <f t="shared" si="47"/>
        <v>137</v>
      </c>
      <c r="X246" s="98">
        <v>0</v>
      </c>
      <c r="Y246" s="98">
        <v>0</v>
      </c>
      <c r="Z246" s="98">
        <v>0</v>
      </c>
      <c r="AA246" s="98">
        <v>0</v>
      </c>
      <c r="AB246" s="98">
        <v>0</v>
      </c>
      <c r="AC246" s="98">
        <v>0</v>
      </c>
      <c r="AD246" s="98">
        <v>0</v>
      </c>
      <c r="AE246" s="98">
        <v>0</v>
      </c>
      <c r="AF246" s="98">
        <f t="shared" si="59"/>
        <v>0</v>
      </c>
      <c r="AH246" s="98">
        <v>86</v>
      </c>
      <c r="AJ246" s="98">
        <v>0</v>
      </c>
      <c r="AK246" s="98">
        <v>0</v>
      </c>
      <c r="AL246" s="380">
        <v>0</v>
      </c>
      <c r="AN246" s="214">
        <f t="shared" si="48"/>
        <v>520978.5</v>
      </c>
      <c r="AO246" s="214">
        <f t="shared" si="49"/>
        <v>30172.5</v>
      </c>
      <c r="AP246" s="214">
        <f t="shared" si="50"/>
        <v>0</v>
      </c>
      <c r="AQ246" s="214">
        <f t="shared" si="51"/>
        <v>0</v>
      </c>
      <c r="AR246" s="214">
        <f t="shared" si="52"/>
        <v>0</v>
      </c>
      <c r="AS246" s="214">
        <f t="shared" si="53"/>
        <v>0</v>
      </c>
      <c r="AT246" s="214">
        <f t="shared" si="54"/>
        <v>84483</v>
      </c>
      <c r="AU246" s="214">
        <f t="shared" si="55"/>
        <v>406323</v>
      </c>
      <c r="AV246" s="214">
        <f t="shared" si="56"/>
        <v>0</v>
      </c>
      <c r="AW246" s="215">
        <f t="shared" si="57"/>
        <v>520978.5</v>
      </c>
    </row>
    <row r="247" spans="1:49" ht="15" customHeight="1">
      <c r="A247" s="140" t="s">
        <v>141</v>
      </c>
      <c r="B247" s="211" t="s">
        <v>96</v>
      </c>
      <c r="C247" s="140" t="str">
        <f t="shared" si="45"/>
        <v>Saint Francis Xavier Catholic School System, Inc.-WPCP</v>
      </c>
      <c r="D247" s="140">
        <v>76</v>
      </c>
      <c r="E247" s="140">
        <v>0</v>
      </c>
      <c r="F247" s="140">
        <v>0</v>
      </c>
      <c r="G247" s="140">
        <v>0</v>
      </c>
      <c r="H247" s="140">
        <v>0</v>
      </c>
      <c r="I247" s="140">
        <v>69</v>
      </c>
      <c r="J247" s="140">
        <v>773</v>
      </c>
      <c r="K247" s="140">
        <v>518</v>
      </c>
      <c r="L247" s="140">
        <f t="shared" si="46"/>
        <v>1436</v>
      </c>
      <c r="N247" s="140">
        <v>25</v>
      </c>
      <c r="O247" s="140">
        <v>0</v>
      </c>
      <c r="P247" s="140">
        <v>0</v>
      </c>
      <c r="Q247" s="140">
        <v>0</v>
      </c>
      <c r="R247" s="140">
        <v>0</v>
      </c>
      <c r="S247" s="140">
        <v>12</v>
      </c>
      <c r="T247" s="140">
        <v>157</v>
      </c>
      <c r="U247" s="140">
        <v>70</v>
      </c>
      <c r="V247" s="140">
        <f t="shared" si="47"/>
        <v>264</v>
      </c>
      <c r="X247" s="98">
        <v>0</v>
      </c>
      <c r="Y247" s="98">
        <v>0</v>
      </c>
      <c r="Z247" s="98">
        <v>0</v>
      </c>
      <c r="AA247" s="98">
        <v>0</v>
      </c>
      <c r="AB247" s="98">
        <v>0</v>
      </c>
      <c r="AC247" s="98">
        <v>0</v>
      </c>
      <c r="AD247" s="98">
        <v>2</v>
      </c>
      <c r="AE247" s="98">
        <v>0</v>
      </c>
      <c r="AF247" s="98">
        <f t="shared" si="59"/>
        <v>2</v>
      </c>
      <c r="AH247" s="98">
        <v>144</v>
      </c>
      <c r="AJ247" s="98">
        <v>0</v>
      </c>
      <c r="AK247" s="98">
        <v>0</v>
      </c>
      <c r="AL247" s="380">
        <v>0</v>
      </c>
      <c r="AN247" s="214">
        <f t="shared" si="48"/>
        <v>1034394.5</v>
      </c>
      <c r="AO247" s="214">
        <f t="shared" si="49"/>
        <v>50287.5</v>
      </c>
      <c r="AP247" s="214">
        <f t="shared" si="50"/>
        <v>0</v>
      </c>
      <c r="AQ247" s="214">
        <f t="shared" si="51"/>
        <v>0</v>
      </c>
      <c r="AR247" s="214">
        <f t="shared" si="52"/>
        <v>0</v>
      </c>
      <c r="AS247" s="214">
        <f t="shared" si="53"/>
        <v>0</v>
      </c>
      <c r="AT247" s="214">
        <f t="shared" si="54"/>
        <v>48276</v>
      </c>
      <c r="AU247" s="214">
        <f t="shared" si="55"/>
        <v>631611</v>
      </c>
      <c r="AV247" s="214">
        <f t="shared" si="56"/>
        <v>304220</v>
      </c>
      <c r="AW247" s="215">
        <f t="shared" si="57"/>
        <v>1034394.5</v>
      </c>
    </row>
    <row r="248" spans="1:49" ht="15" customHeight="1">
      <c r="A248" s="140" t="s">
        <v>242</v>
      </c>
      <c r="B248" s="211" t="s">
        <v>187</v>
      </c>
      <c r="C248" s="140" t="str">
        <f t="shared" si="45"/>
        <v>Saint Gregory the Great Parish School-MPCP</v>
      </c>
      <c r="D248" s="140">
        <v>15</v>
      </c>
      <c r="E248" s="140">
        <v>0</v>
      </c>
      <c r="F248" s="140">
        <v>0</v>
      </c>
      <c r="G248" s="140">
        <v>0</v>
      </c>
      <c r="H248" s="140">
        <v>0</v>
      </c>
      <c r="I248" s="140">
        <v>13</v>
      </c>
      <c r="J248" s="140">
        <v>194</v>
      </c>
      <c r="K248" s="140">
        <v>0</v>
      </c>
      <c r="L248" s="140">
        <f t="shared" si="46"/>
        <v>222</v>
      </c>
      <c r="N248" s="140">
        <v>15</v>
      </c>
      <c r="O248" s="140">
        <v>0</v>
      </c>
      <c r="P248" s="140">
        <v>0</v>
      </c>
      <c r="Q248" s="140">
        <v>0</v>
      </c>
      <c r="R248" s="140">
        <v>0</v>
      </c>
      <c r="S248" s="140">
        <v>13</v>
      </c>
      <c r="T248" s="140">
        <v>167</v>
      </c>
      <c r="U248" s="140">
        <v>0</v>
      </c>
      <c r="V248" s="140">
        <f t="shared" si="47"/>
        <v>195</v>
      </c>
      <c r="X248" s="98">
        <v>0</v>
      </c>
      <c r="Y248" s="98">
        <v>0</v>
      </c>
      <c r="Z248" s="98">
        <v>0</v>
      </c>
      <c r="AA248" s="98">
        <v>0</v>
      </c>
      <c r="AB248" s="98">
        <v>0</v>
      </c>
      <c r="AC248" s="98">
        <v>0</v>
      </c>
      <c r="AD248" s="98">
        <v>0</v>
      </c>
      <c r="AE248" s="98">
        <v>0</v>
      </c>
      <c r="AF248" s="98">
        <f t="shared" si="59"/>
        <v>0</v>
      </c>
      <c r="AH248" s="98">
        <v>122</v>
      </c>
      <c r="AJ248" s="98">
        <v>0</v>
      </c>
      <c r="AK248" s="98">
        <v>0</v>
      </c>
      <c r="AL248" s="380">
        <v>0</v>
      </c>
      <c r="AN248" s="214">
        <f t="shared" si="48"/>
        <v>754312.5</v>
      </c>
      <c r="AO248" s="214">
        <f t="shared" si="49"/>
        <v>30172.5</v>
      </c>
      <c r="AP248" s="214">
        <f t="shared" si="50"/>
        <v>0</v>
      </c>
      <c r="AQ248" s="214">
        <f t="shared" si="51"/>
        <v>0</v>
      </c>
      <c r="AR248" s="214">
        <f t="shared" si="52"/>
        <v>0</v>
      </c>
      <c r="AS248" s="214">
        <f t="shared" si="53"/>
        <v>0</v>
      </c>
      <c r="AT248" s="214">
        <f t="shared" si="54"/>
        <v>52299</v>
      </c>
      <c r="AU248" s="214">
        <f t="shared" si="55"/>
        <v>671841</v>
      </c>
      <c r="AV248" s="214">
        <f t="shared" si="56"/>
        <v>0</v>
      </c>
      <c r="AW248" s="215">
        <f t="shared" si="57"/>
        <v>754312.5</v>
      </c>
    </row>
    <row r="249" spans="1:49" ht="15" customHeight="1">
      <c r="A249" s="140" t="s">
        <v>461</v>
      </c>
      <c r="B249" s="211" t="s">
        <v>96</v>
      </c>
      <c r="C249" s="140" t="str">
        <f t="shared" si="45"/>
        <v>Saint Ignatius of Loyola Catholic School-WPCP</v>
      </c>
      <c r="D249" s="140">
        <v>18</v>
      </c>
      <c r="E249" s="140">
        <v>0</v>
      </c>
      <c r="F249" s="140">
        <v>0</v>
      </c>
      <c r="G249" s="140">
        <v>0</v>
      </c>
      <c r="H249" s="140">
        <v>0</v>
      </c>
      <c r="I249" s="140">
        <v>24</v>
      </c>
      <c r="J249" s="140">
        <v>119</v>
      </c>
      <c r="K249" s="140">
        <v>0</v>
      </c>
      <c r="L249" s="140">
        <f t="shared" si="46"/>
        <v>161</v>
      </c>
      <c r="N249" s="140">
        <v>6</v>
      </c>
      <c r="O249" s="140">
        <v>0</v>
      </c>
      <c r="P249" s="140">
        <v>0</v>
      </c>
      <c r="Q249" s="140">
        <v>0</v>
      </c>
      <c r="R249" s="140">
        <v>0</v>
      </c>
      <c r="S249" s="140">
        <v>13</v>
      </c>
      <c r="T249" s="140">
        <v>21</v>
      </c>
      <c r="U249" s="140">
        <v>0</v>
      </c>
      <c r="V249" s="140">
        <f t="shared" si="47"/>
        <v>40</v>
      </c>
      <c r="X249" s="98">
        <v>0</v>
      </c>
      <c r="Y249" s="98">
        <v>0</v>
      </c>
      <c r="Z249" s="98">
        <v>0</v>
      </c>
      <c r="AA249" s="98">
        <v>0</v>
      </c>
      <c r="AB249" s="98">
        <v>0</v>
      </c>
      <c r="AC249" s="98">
        <v>0</v>
      </c>
      <c r="AD249" s="98">
        <v>0</v>
      </c>
      <c r="AE249" s="98">
        <v>0</v>
      </c>
      <c r="AF249" s="98">
        <f t="shared" si="59"/>
        <v>0</v>
      </c>
      <c r="AH249" s="98">
        <v>23</v>
      </c>
      <c r="AJ249" s="98">
        <v>0</v>
      </c>
      <c r="AK249" s="98">
        <v>0</v>
      </c>
      <c r="AL249" s="380">
        <v>0</v>
      </c>
      <c r="AN249" s="214">
        <f t="shared" si="48"/>
        <v>148851</v>
      </c>
      <c r="AO249" s="214">
        <f t="shared" si="49"/>
        <v>12069</v>
      </c>
      <c r="AP249" s="214">
        <f t="shared" si="50"/>
        <v>0</v>
      </c>
      <c r="AQ249" s="214">
        <f t="shared" si="51"/>
        <v>0</v>
      </c>
      <c r="AR249" s="214">
        <f t="shared" si="52"/>
        <v>0</v>
      </c>
      <c r="AS249" s="214">
        <f t="shared" si="53"/>
        <v>0</v>
      </c>
      <c r="AT249" s="214">
        <f t="shared" si="54"/>
        <v>52299</v>
      </c>
      <c r="AU249" s="214">
        <f t="shared" si="55"/>
        <v>84483</v>
      </c>
      <c r="AV249" s="214">
        <f t="shared" si="56"/>
        <v>0</v>
      </c>
      <c r="AW249" s="215">
        <f t="shared" si="57"/>
        <v>148851</v>
      </c>
    </row>
    <row r="250" spans="1:49" ht="15" customHeight="1">
      <c r="A250" s="140" t="s">
        <v>462</v>
      </c>
      <c r="B250" s="211" t="s">
        <v>187</v>
      </c>
      <c r="C250" s="140" t="str">
        <f t="shared" si="45"/>
        <v>Saint Jacobi Lutheran School-MPCP</v>
      </c>
      <c r="D250" s="140">
        <v>0</v>
      </c>
      <c r="E250" s="140">
        <v>0</v>
      </c>
      <c r="F250" s="140">
        <v>8</v>
      </c>
      <c r="G250" s="140">
        <v>0</v>
      </c>
      <c r="H250" s="140">
        <v>0</v>
      </c>
      <c r="I250" s="140">
        <v>19</v>
      </c>
      <c r="J250" s="140">
        <v>170</v>
      </c>
      <c r="K250" s="140">
        <v>0</v>
      </c>
      <c r="L250" s="140">
        <f t="shared" si="46"/>
        <v>197</v>
      </c>
      <c r="N250" s="140">
        <v>0</v>
      </c>
      <c r="O250" s="140">
        <v>0</v>
      </c>
      <c r="P250" s="140">
        <v>5</v>
      </c>
      <c r="Q250" s="140">
        <v>0</v>
      </c>
      <c r="R250" s="140">
        <v>0</v>
      </c>
      <c r="S250" s="140">
        <v>2</v>
      </c>
      <c r="T250" s="140">
        <v>29</v>
      </c>
      <c r="U250" s="140">
        <v>0</v>
      </c>
      <c r="V250" s="140">
        <f t="shared" si="47"/>
        <v>36</v>
      </c>
      <c r="X250" s="98">
        <v>0</v>
      </c>
      <c r="Y250" s="98">
        <v>0</v>
      </c>
      <c r="Z250" s="98">
        <v>0</v>
      </c>
      <c r="AA250" s="98">
        <v>0</v>
      </c>
      <c r="AB250" s="98">
        <v>0</v>
      </c>
      <c r="AC250" s="98">
        <v>0</v>
      </c>
      <c r="AD250" s="98">
        <v>0</v>
      </c>
      <c r="AE250" s="98">
        <v>0</v>
      </c>
      <c r="AF250" s="98">
        <f t="shared" si="59"/>
        <v>0</v>
      </c>
      <c r="AH250" s="98">
        <v>20</v>
      </c>
      <c r="AJ250" s="98">
        <v>0</v>
      </c>
      <c r="AK250" s="98">
        <v>0</v>
      </c>
      <c r="AL250" s="380">
        <v>0</v>
      </c>
      <c r="AN250" s="214">
        <f t="shared" si="48"/>
        <v>134770.5</v>
      </c>
      <c r="AO250" s="214">
        <f t="shared" si="49"/>
        <v>0</v>
      </c>
      <c r="AP250" s="214">
        <f t="shared" si="50"/>
        <v>0</v>
      </c>
      <c r="AQ250" s="214">
        <f t="shared" si="51"/>
        <v>10057.5</v>
      </c>
      <c r="AR250" s="214">
        <f t="shared" si="52"/>
        <v>0</v>
      </c>
      <c r="AS250" s="214">
        <f t="shared" si="53"/>
        <v>0</v>
      </c>
      <c r="AT250" s="214">
        <f t="shared" si="54"/>
        <v>8046</v>
      </c>
      <c r="AU250" s="214">
        <f t="shared" si="55"/>
        <v>116667</v>
      </c>
      <c r="AV250" s="214">
        <f t="shared" si="56"/>
        <v>0</v>
      </c>
      <c r="AW250" s="215">
        <f t="shared" si="57"/>
        <v>134770.5</v>
      </c>
    </row>
    <row r="251" spans="1:49" ht="15" customHeight="1">
      <c r="A251" s="140" t="s">
        <v>462</v>
      </c>
      <c r="B251" s="211" t="s">
        <v>96</v>
      </c>
      <c r="C251" s="140" t="str">
        <f t="shared" si="45"/>
        <v>Saint Jacobi Lutheran School-WPCP</v>
      </c>
      <c r="D251" s="140">
        <v>0</v>
      </c>
      <c r="E251" s="140">
        <v>0</v>
      </c>
      <c r="F251" s="140">
        <v>8</v>
      </c>
      <c r="G251" s="140">
        <v>0</v>
      </c>
      <c r="H251" s="140">
        <v>0</v>
      </c>
      <c r="I251" s="140">
        <v>19</v>
      </c>
      <c r="J251" s="140">
        <v>170</v>
      </c>
      <c r="K251" s="140">
        <v>0</v>
      </c>
      <c r="L251" s="140">
        <f t="shared" si="46"/>
        <v>197</v>
      </c>
      <c r="N251" s="140">
        <v>0</v>
      </c>
      <c r="O251" s="140">
        <v>0</v>
      </c>
      <c r="P251" s="140">
        <v>2</v>
      </c>
      <c r="Q251" s="140">
        <v>0</v>
      </c>
      <c r="R251" s="140">
        <v>0</v>
      </c>
      <c r="S251" s="140">
        <v>1</v>
      </c>
      <c r="T251" s="140">
        <v>1</v>
      </c>
      <c r="U251" s="140">
        <v>0</v>
      </c>
      <c r="V251" s="140">
        <f t="shared" si="47"/>
        <v>4</v>
      </c>
      <c r="X251" s="98">
        <v>0</v>
      </c>
      <c r="Y251" s="98">
        <v>0</v>
      </c>
      <c r="Z251" s="98">
        <v>1</v>
      </c>
      <c r="AA251" s="98">
        <v>0</v>
      </c>
      <c r="AB251" s="98">
        <v>0</v>
      </c>
      <c r="AC251" s="98">
        <v>0</v>
      </c>
      <c r="AD251" s="98">
        <v>2</v>
      </c>
      <c r="AE251" s="98">
        <v>0</v>
      </c>
      <c r="AF251" s="98">
        <f t="shared" si="59"/>
        <v>3</v>
      </c>
      <c r="AH251" s="98">
        <v>4</v>
      </c>
      <c r="AJ251" s="98">
        <v>0</v>
      </c>
      <c r="AK251" s="98">
        <v>0</v>
      </c>
      <c r="AL251" s="380">
        <v>0</v>
      </c>
      <c r="AN251" s="214">
        <f t="shared" si="48"/>
        <v>12069</v>
      </c>
      <c r="AO251" s="214">
        <f t="shared" si="49"/>
        <v>0</v>
      </c>
      <c r="AP251" s="214">
        <f t="shared" si="50"/>
        <v>0</v>
      </c>
      <c r="AQ251" s="214">
        <f t="shared" si="51"/>
        <v>4023</v>
      </c>
      <c r="AR251" s="214">
        <f t="shared" si="52"/>
        <v>0</v>
      </c>
      <c r="AS251" s="214">
        <f t="shared" si="53"/>
        <v>0</v>
      </c>
      <c r="AT251" s="214">
        <f t="shared" si="54"/>
        <v>4023</v>
      </c>
      <c r="AU251" s="214">
        <f t="shared" si="55"/>
        <v>4023</v>
      </c>
      <c r="AV251" s="214">
        <f t="shared" si="56"/>
        <v>0</v>
      </c>
      <c r="AW251" s="215">
        <f t="shared" si="57"/>
        <v>12069</v>
      </c>
    </row>
    <row r="252" spans="1:49" ht="15" customHeight="1">
      <c r="A252" s="140" t="s">
        <v>540</v>
      </c>
      <c r="B252" s="211" t="s">
        <v>96</v>
      </c>
      <c r="C252" s="140" t="str">
        <f t="shared" si="45"/>
        <v>Saint James Lutheran School - Shawano-WPCP</v>
      </c>
      <c r="D252" s="140">
        <v>0</v>
      </c>
      <c r="E252" s="140">
        <v>0</v>
      </c>
      <c r="F252" s="140">
        <v>0</v>
      </c>
      <c r="G252" s="140">
        <v>0</v>
      </c>
      <c r="H252" s="140">
        <v>0</v>
      </c>
      <c r="I252" s="140">
        <v>23</v>
      </c>
      <c r="J252" s="140">
        <v>167</v>
      </c>
      <c r="K252" s="140">
        <v>0</v>
      </c>
      <c r="L252" s="140">
        <f t="shared" si="46"/>
        <v>190</v>
      </c>
      <c r="N252" s="140">
        <v>0</v>
      </c>
      <c r="O252" s="140">
        <v>0</v>
      </c>
      <c r="P252" s="140">
        <v>0</v>
      </c>
      <c r="Q252" s="140">
        <v>0</v>
      </c>
      <c r="R252" s="140">
        <v>0</v>
      </c>
      <c r="S252" s="140">
        <v>14</v>
      </c>
      <c r="T252" s="140">
        <v>47</v>
      </c>
      <c r="U252" s="140">
        <v>0</v>
      </c>
      <c r="V252" s="140">
        <f t="shared" si="47"/>
        <v>61</v>
      </c>
      <c r="X252" s="98">
        <v>0</v>
      </c>
      <c r="Y252" s="98">
        <v>0</v>
      </c>
      <c r="Z252" s="98">
        <v>0</v>
      </c>
      <c r="AA252" s="98">
        <v>0</v>
      </c>
      <c r="AB252" s="98">
        <v>0</v>
      </c>
      <c r="AC252" s="98">
        <v>0</v>
      </c>
      <c r="AD252" s="98">
        <v>0</v>
      </c>
      <c r="AE252" s="98">
        <v>0</v>
      </c>
      <c r="AF252" s="98">
        <f t="shared" si="59"/>
        <v>0</v>
      </c>
      <c r="AH252" s="98">
        <v>41</v>
      </c>
      <c r="AJ252" s="98">
        <v>0</v>
      </c>
      <c r="AK252" s="98">
        <v>0</v>
      </c>
      <c r="AL252" s="380">
        <v>0</v>
      </c>
      <c r="AN252" s="214">
        <f t="shared" si="48"/>
        <v>245403</v>
      </c>
      <c r="AO252" s="214">
        <f t="shared" si="49"/>
        <v>0</v>
      </c>
      <c r="AP252" s="214">
        <f t="shared" si="50"/>
        <v>0</v>
      </c>
      <c r="AQ252" s="214">
        <f t="shared" si="51"/>
        <v>0</v>
      </c>
      <c r="AR252" s="214">
        <f t="shared" si="52"/>
        <v>0</v>
      </c>
      <c r="AS252" s="214">
        <f t="shared" si="53"/>
        <v>0</v>
      </c>
      <c r="AT252" s="214">
        <f t="shared" si="54"/>
        <v>56322</v>
      </c>
      <c r="AU252" s="214">
        <f t="shared" si="55"/>
        <v>189081</v>
      </c>
      <c r="AV252" s="214">
        <f t="shared" si="56"/>
        <v>0</v>
      </c>
      <c r="AW252" s="215">
        <f t="shared" si="57"/>
        <v>245403</v>
      </c>
    </row>
    <row r="253" spans="1:49" ht="15" customHeight="1">
      <c r="A253" s="140" t="s">
        <v>320</v>
      </c>
      <c r="B253" s="211" t="s">
        <v>96</v>
      </c>
      <c r="C253" s="140" t="str">
        <f t="shared" si="45"/>
        <v>Saint Jerome Parish School-WPCP</v>
      </c>
      <c r="D253" s="140">
        <v>15</v>
      </c>
      <c r="E253" s="140">
        <v>0</v>
      </c>
      <c r="F253" s="140">
        <v>0</v>
      </c>
      <c r="G253" s="140">
        <v>0</v>
      </c>
      <c r="H253" s="140">
        <v>0</v>
      </c>
      <c r="I253" s="140">
        <v>21</v>
      </c>
      <c r="J253" s="140">
        <v>166</v>
      </c>
      <c r="K253" s="140">
        <v>0</v>
      </c>
      <c r="L253" s="140">
        <f t="shared" si="46"/>
        <v>202</v>
      </c>
      <c r="N253" s="140">
        <v>5</v>
      </c>
      <c r="O253" s="140">
        <v>0</v>
      </c>
      <c r="P253" s="140">
        <v>0</v>
      </c>
      <c r="Q253" s="140">
        <v>0</v>
      </c>
      <c r="R253" s="140">
        <v>0</v>
      </c>
      <c r="S253" s="140">
        <v>5</v>
      </c>
      <c r="T253" s="140">
        <v>18</v>
      </c>
      <c r="U253" s="140">
        <v>0</v>
      </c>
      <c r="V253" s="140">
        <f t="shared" si="47"/>
        <v>28</v>
      </c>
      <c r="X253" s="98">
        <v>0</v>
      </c>
      <c r="Y253" s="98">
        <v>0</v>
      </c>
      <c r="Z253" s="98">
        <v>0</v>
      </c>
      <c r="AA253" s="98">
        <v>0</v>
      </c>
      <c r="AB253" s="98">
        <v>0</v>
      </c>
      <c r="AC253" s="98">
        <v>0</v>
      </c>
      <c r="AD253" s="98">
        <v>1</v>
      </c>
      <c r="AE253" s="98">
        <v>0</v>
      </c>
      <c r="AF253" s="98">
        <f t="shared" si="59"/>
        <v>1</v>
      </c>
      <c r="AH253" s="98">
        <v>17</v>
      </c>
      <c r="AJ253" s="98">
        <v>0</v>
      </c>
      <c r="AK253" s="98">
        <v>0</v>
      </c>
      <c r="AL253" s="380">
        <v>0</v>
      </c>
      <c r="AN253" s="214">
        <f t="shared" si="48"/>
        <v>102586.5</v>
      </c>
      <c r="AO253" s="214">
        <f t="shared" si="49"/>
        <v>10057.5</v>
      </c>
      <c r="AP253" s="214">
        <f t="shared" si="50"/>
        <v>0</v>
      </c>
      <c r="AQ253" s="214">
        <f t="shared" si="51"/>
        <v>0</v>
      </c>
      <c r="AR253" s="214">
        <f t="shared" si="52"/>
        <v>0</v>
      </c>
      <c r="AS253" s="214">
        <f t="shared" si="53"/>
        <v>0</v>
      </c>
      <c r="AT253" s="214">
        <f t="shared" si="54"/>
        <v>20115</v>
      </c>
      <c r="AU253" s="214">
        <f t="shared" si="55"/>
        <v>72414</v>
      </c>
      <c r="AV253" s="214">
        <f t="shared" si="56"/>
        <v>0</v>
      </c>
      <c r="AW253" s="215">
        <f t="shared" si="57"/>
        <v>102586.5</v>
      </c>
    </row>
    <row r="254" spans="1:49" ht="15" customHeight="1">
      <c r="A254" s="140" t="s">
        <v>143</v>
      </c>
      <c r="B254" s="211" t="s">
        <v>187</v>
      </c>
      <c r="C254" s="140" t="str">
        <f t="shared" si="45"/>
        <v>Saint Joan Antida High School-MPCP</v>
      </c>
      <c r="D254" s="140">
        <v>0</v>
      </c>
      <c r="E254" s="140">
        <v>0</v>
      </c>
      <c r="F254" s="140">
        <v>0</v>
      </c>
      <c r="G254" s="140">
        <v>0</v>
      </c>
      <c r="H254" s="140">
        <v>0</v>
      </c>
      <c r="I254" s="140">
        <v>0</v>
      </c>
      <c r="J254" s="140">
        <v>0</v>
      </c>
      <c r="K254" s="140">
        <v>145</v>
      </c>
      <c r="L254" s="140">
        <f t="shared" si="46"/>
        <v>145</v>
      </c>
      <c r="N254" s="140">
        <v>0</v>
      </c>
      <c r="O254" s="140">
        <v>0</v>
      </c>
      <c r="P254" s="140">
        <v>0</v>
      </c>
      <c r="Q254" s="140">
        <v>0</v>
      </c>
      <c r="R254" s="140">
        <v>0</v>
      </c>
      <c r="S254" s="140">
        <v>0</v>
      </c>
      <c r="T254" s="140">
        <v>0</v>
      </c>
      <c r="U254" s="140">
        <v>143</v>
      </c>
      <c r="V254" s="140">
        <f t="shared" si="47"/>
        <v>143</v>
      </c>
      <c r="X254" s="98">
        <v>0</v>
      </c>
      <c r="Y254" s="98">
        <v>0</v>
      </c>
      <c r="Z254" s="98">
        <v>0</v>
      </c>
      <c r="AA254" s="98">
        <v>0</v>
      </c>
      <c r="AB254" s="98">
        <v>0</v>
      </c>
      <c r="AC254" s="98">
        <v>0</v>
      </c>
      <c r="AD254" s="98">
        <v>0</v>
      </c>
      <c r="AE254" s="98">
        <v>0</v>
      </c>
      <c r="AF254" s="98">
        <f t="shared" si="59"/>
        <v>0</v>
      </c>
      <c r="AH254" s="98">
        <v>133</v>
      </c>
      <c r="AJ254" s="98">
        <v>0</v>
      </c>
      <c r="AK254" s="98">
        <v>24</v>
      </c>
      <c r="AL254" s="380">
        <v>9828</v>
      </c>
      <c r="AN254" s="214">
        <f t="shared" si="48"/>
        <v>621478</v>
      </c>
      <c r="AO254" s="214">
        <f t="shared" si="49"/>
        <v>0</v>
      </c>
      <c r="AP254" s="214">
        <f t="shared" si="50"/>
        <v>0</v>
      </c>
      <c r="AQ254" s="214">
        <f t="shared" si="51"/>
        <v>0</v>
      </c>
      <c r="AR254" s="214">
        <f t="shared" si="52"/>
        <v>0</v>
      </c>
      <c r="AS254" s="214">
        <f t="shared" si="53"/>
        <v>0</v>
      </c>
      <c r="AT254" s="214">
        <f t="shared" si="54"/>
        <v>0</v>
      </c>
      <c r="AU254" s="214">
        <f t="shared" si="55"/>
        <v>0</v>
      </c>
      <c r="AV254" s="214">
        <f t="shared" si="56"/>
        <v>621478</v>
      </c>
      <c r="AW254" s="215">
        <f t="shared" si="57"/>
        <v>621478</v>
      </c>
    </row>
    <row r="255" spans="1:49" ht="15" customHeight="1">
      <c r="A255" s="140" t="s">
        <v>590</v>
      </c>
      <c r="B255" s="211" t="s">
        <v>96</v>
      </c>
      <c r="C255" s="140" t="str">
        <f t="shared" si="45"/>
        <v>Saint John Evangelical Lutheran School - Wrightstown-WPCP</v>
      </c>
      <c r="D255" s="140">
        <v>0</v>
      </c>
      <c r="E255" s="140">
        <v>14</v>
      </c>
      <c r="F255" s="140">
        <v>0</v>
      </c>
      <c r="G255" s="140">
        <v>0</v>
      </c>
      <c r="H255" s="140">
        <v>0</v>
      </c>
      <c r="I255" s="140">
        <v>8</v>
      </c>
      <c r="J255" s="140">
        <v>22</v>
      </c>
      <c r="K255" s="140">
        <v>0</v>
      </c>
      <c r="L255" s="140">
        <f t="shared" si="46"/>
        <v>44</v>
      </c>
      <c r="N255" s="140">
        <v>0</v>
      </c>
      <c r="O255" s="140">
        <v>2</v>
      </c>
      <c r="P255" s="140">
        <v>0</v>
      </c>
      <c r="Q255" s="140">
        <v>0</v>
      </c>
      <c r="R255" s="140">
        <v>0</v>
      </c>
      <c r="S255" s="140">
        <v>5</v>
      </c>
      <c r="T255" s="140">
        <v>1</v>
      </c>
      <c r="U255" s="140">
        <v>0</v>
      </c>
      <c r="V255" s="140">
        <f t="shared" si="47"/>
        <v>8</v>
      </c>
      <c r="X255" s="98">
        <v>0</v>
      </c>
      <c r="Y255" s="98">
        <v>0</v>
      </c>
      <c r="Z255" s="98">
        <v>0</v>
      </c>
      <c r="AA255" s="98">
        <v>0</v>
      </c>
      <c r="AB255" s="98">
        <v>0</v>
      </c>
      <c r="AC255" s="98">
        <v>0</v>
      </c>
      <c r="AD255" s="98">
        <v>0</v>
      </c>
      <c r="AE255" s="98">
        <v>0</v>
      </c>
      <c r="AF255" s="98">
        <f t="shared" si="59"/>
        <v>0</v>
      </c>
      <c r="AH255" s="98">
        <v>8</v>
      </c>
      <c r="AJ255" s="98">
        <v>0</v>
      </c>
      <c r="AK255" s="98">
        <v>0</v>
      </c>
      <c r="AL255" s="380">
        <v>0</v>
      </c>
      <c r="AN255" s="214">
        <f t="shared" si="48"/>
        <v>28965.6</v>
      </c>
      <c r="AO255" s="214">
        <f t="shared" si="49"/>
        <v>0</v>
      </c>
      <c r="AP255" s="214">
        <f t="shared" si="50"/>
        <v>4827.6</v>
      </c>
      <c r="AQ255" s="214">
        <f t="shared" si="51"/>
        <v>0</v>
      </c>
      <c r="AR255" s="214">
        <f t="shared" si="52"/>
        <v>0</v>
      </c>
      <c r="AS255" s="214">
        <f t="shared" si="53"/>
        <v>0</v>
      </c>
      <c r="AT255" s="214">
        <f t="shared" si="54"/>
        <v>20115</v>
      </c>
      <c r="AU255" s="214">
        <f t="shared" si="55"/>
        <v>4023</v>
      </c>
      <c r="AV255" s="214">
        <f t="shared" si="56"/>
        <v>0</v>
      </c>
      <c r="AW255" s="215">
        <f t="shared" si="57"/>
        <v>28965.6</v>
      </c>
    </row>
    <row r="256" spans="1:49" ht="15" customHeight="1">
      <c r="A256" s="140" t="s">
        <v>591</v>
      </c>
      <c r="B256" s="211" t="s">
        <v>96</v>
      </c>
      <c r="C256" s="140" t="str">
        <f t="shared" si="45"/>
        <v>Saint John Grade School - Little Chute-WPCP</v>
      </c>
      <c r="D256" s="140">
        <v>38</v>
      </c>
      <c r="E256" s="140">
        <v>0</v>
      </c>
      <c r="F256" s="140">
        <v>0</v>
      </c>
      <c r="G256" s="140">
        <v>1</v>
      </c>
      <c r="H256" s="140">
        <v>0</v>
      </c>
      <c r="I256" s="140">
        <v>7</v>
      </c>
      <c r="J256" s="140">
        <v>158</v>
      </c>
      <c r="K256" s="140">
        <v>0</v>
      </c>
      <c r="L256" s="140">
        <f t="shared" si="46"/>
        <v>204</v>
      </c>
      <c r="N256" s="140">
        <v>4</v>
      </c>
      <c r="O256" s="140">
        <v>0</v>
      </c>
      <c r="P256" s="140">
        <v>0</v>
      </c>
      <c r="Q256" s="140">
        <v>0</v>
      </c>
      <c r="R256" s="140">
        <v>0</v>
      </c>
      <c r="S256" s="140">
        <v>0</v>
      </c>
      <c r="T256" s="140">
        <v>25</v>
      </c>
      <c r="U256" s="140">
        <v>0</v>
      </c>
      <c r="V256" s="140">
        <f t="shared" si="47"/>
        <v>29</v>
      </c>
      <c r="X256" s="98">
        <v>0</v>
      </c>
      <c r="Y256" s="98">
        <v>0</v>
      </c>
      <c r="Z256" s="98">
        <v>0</v>
      </c>
      <c r="AA256" s="98">
        <v>0</v>
      </c>
      <c r="AB256" s="98">
        <v>0</v>
      </c>
      <c r="AC256" s="98">
        <v>0</v>
      </c>
      <c r="AD256" s="98">
        <v>0</v>
      </c>
      <c r="AE256" s="98">
        <v>0</v>
      </c>
      <c r="AF256" s="98">
        <f t="shared" si="59"/>
        <v>0</v>
      </c>
      <c r="AH256" s="98">
        <v>12</v>
      </c>
      <c r="AJ256" s="98">
        <v>0</v>
      </c>
      <c r="AK256" s="98">
        <v>0</v>
      </c>
      <c r="AL256" s="380">
        <v>0</v>
      </c>
      <c r="AN256" s="214">
        <f t="shared" si="48"/>
        <v>108621</v>
      </c>
      <c r="AO256" s="214">
        <f t="shared" si="49"/>
        <v>8046</v>
      </c>
      <c r="AP256" s="214">
        <f t="shared" si="50"/>
        <v>0</v>
      </c>
      <c r="AQ256" s="214">
        <f t="shared" si="51"/>
        <v>0</v>
      </c>
      <c r="AR256" s="214">
        <f t="shared" si="52"/>
        <v>0</v>
      </c>
      <c r="AS256" s="214">
        <f t="shared" si="53"/>
        <v>0</v>
      </c>
      <c r="AT256" s="214">
        <f t="shared" si="54"/>
        <v>0</v>
      </c>
      <c r="AU256" s="214">
        <f t="shared" si="55"/>
        <v>100575</v>
      </c>
      <c r="AV256" s="214">
        <f t="shared" si="56"/>
        <v>0</v>
      </c>
      <c r="AW256" s="215">
        <f t="shared" si="57"/>
        <v>108621</v>
      </c>
    </row>
    <row r="257" spans="1:49" ht="15" customHeight="1">
      <c r="A257" s="140" t="s">
        <v>321</v>
      </c>
      <c r="B257" s="211" t="s">
        <v>96</v>
      </c>
      <c r="C257" s="140" t="str">
        <f t="shared" si="45"/>
        <v>Saint John Lutheran School - Berlin-WPCP</v>
      </c>
      <c r="D257" s="140">
        <v>0</v>
      </c>
      <c r="E257" s="140">
        <v>0</v>
      </c>
      <c r="F257" s="140">
        <v>0</v>
      </c>
      <c r="G257" s="140">
        <v>0</v>
      </c>
      <c r="H257" s="140">
        <v>0</v>
      </c>
      <c r="I257" s="140">
        <v>9</v>
      </c>
      <c r="J257" s="140">
        <v>44</v>
      </c>
      <c r="K257" s="140">
        <v>0</v>
      </c>
      <c r="L257" s="140">
        <f t="shared" si="46"/>
        <v>53</v>
      </c>
      <c r="N257" s="140">
        <v>0</v>
      </c>
      <c r="O257" s="140">
        <v>0</v>
      </c>
      <c r="P257" s="140">
        <v>0</v>
      </c>
      <c r="Q257" s="140">
        <v>0</v>
      </c>
      <c r="R257" s="140">
        <v>0</v>
      </c>
      <c r="S257" s="140">
        <v>4</v>
      </c>
      <c r="T257" s="140">
        <v>15</v>
      </c>
      <c r="U257" s="140">
        <v>0</v>
      </c>
      <c r="V257" s="140">
        <f t="shared" si="47"/>
        <v>19</v>
      </c>
      <c r="X257" s="98">
        <v>0</v>
      </c>
      <c r="Y257" s="98">
        <v>0</v>
      </c>
      <c r="Z257" s="98">
        <v>0</v>
      </c>
      <c r="AA257" s="98">
        <v>0</v>
      </c>
      <c r="AB257" s="98">
        <v>0</v>
      </c>
      <c r="AC257" s="98">
        <v>0</v>
      </c>
      <c r="AD257" s="98">
        <v>0</v>
      </c>
      <c r="AE257" s="98">
        <v>0</v>
      </c>
      <c r="AF257" s="98">
        <f t="shared" si="59"/>
        <v>0</v>
      </c>
      <c r="AH257" s="98">
        <v>15</v>
      </c>
      <c r="AJ257" s="98">
        <v>0</v>
      </c>
      <c r="AK257" s="98">
        <v>0</v>
      </c>
      <c r="AL257" s="380">
        <v>0</v>
      </c>
      <c r="AN257" s="214">
        <f t="shared" si="48"/>
        <v>76437</v>
      </c>
      <c r="AO257" s="214">
        <f t="shared" si="49"/>
        <v>0</v>
      </c>
      <c r="AP257" s="214">
        <f t="shared" si="50"/>
        <v>0</v>
      </c>
      <c r="AQ257" s="214">
        <f t="shared" si="51"/>
        <v>0</v>
      </c>
      <c r="AR257" s="214">
        <f t="shared" si="52"/>
        <v>0</v>
      </c>
      <c r="AS257" s="214">
        <f t="shared" si="53"/>
        <v>0</v>
      </c>
      <c r="AT257" s="214">
        <f t="shared" si="54"/>
        <v>16092</v>
      </c>
      <c r="AU257" s="214">
        <f t="shared" si="55"/>
        <v>60345</v>
      </c>
      <c r="AV257" s="214">
        <f t="shared" si="56"/>
        <v>0</v>
      </c>
      <c r="AW257" s="215">
        <f t="shared" si="57"/>
        <v>76437</v>
      </c>
    </row>
    <row r="258" spans="1:49" ht="15" customHeight="1">
      <c r="A258" s="140" t="s">
        <v>243</v>
      </c>
      <c r="B258" s="211" t="s">
        <v>96</v>
      </c>
      <c r="C258" s="140" t="str">
        <f t="shared" si="45"/>
        <v>Saint John Lutheran School - Plymouth-WPCP</v>
      </c>
      <c r="D258" s="140">
        <v>14</v>
      </c>
      <c r="E258" s="140">
        <v>0</v>
      </c>
      <c r="F258" s="140">
        <v>0</v>
      </c>
      <c r="G258" s="140">
        <v>0</v>
      </c>
      <c r="H258" s="140">
        <v>0</v>
      </c>
      <c r="I258" s="140">
        <v>13</v>
      </c>
      <c r="J258" s="140">
        <v>139</v>
      </c>
      <c r="K258" s="140">
        <v>0</v>
      </c>
      <c r="L258" s="140">
        <f t="shared" si="46"/>
        <v>166</v>
      </c>
      <c r="N258" s="140">
        <v>5</v>
      </c>
      <c r="O258" s="140">
        <v>0</v>
      </c>
      <c r="P258" s="140">
        <v>0</v>
      </c>
      <c r="Q258" s="140">
        <v>0</v>
      </c>
      <c r="R258" s="140">
        <v>0</v>
      </c>
      <c r="S258" s="140">
        <v>3</v>
      </c>
      <c r="T258" s="140">
        <v>27</v>
      </c>
      <c r="U258" s="140">
        <v>0</v>
      </c>
      <c r="V258" s="140">
        <f t="shared" si="47"/>
        <v>35</v>
      </c>
      <c r="X258" s="98">
        <v>0</v>
      </c>
      <c r="Y258" s="98">
        <v>0</v>
      </c>
      <c r="Z258" s="98">
        <v>0</v>
      </c>
      <c r="AA258" s="98">
        <v>0</v>
      </c>
      <c r="AB258" s="98">
        <v>0</v>
      </c>
      <c r="AC258" s="98">
        <v>0</v>
      </c>
      <c r="AD258" s="98">
        <v>0</v>
      </c>
      <c r="AE258" s="98">
        <v>0</v>
      </c>
      <c r="AF258" s="98">
        <f t="shared" si="59"/>
        <v>0</v>
      </c>
      <c r="AH258" s="98">
        <v>21</v>
      </c>
      <c r="AJ258" s="98">
        <v>0</v>
      </c>
      <c r="AK258" s="98">
        <v>0</v>
      </c>
      <c r="AL258" s="380">
        <v>0</v>
      </c>
      <c r="AN258" s="214">
        <f t="shared" si="48"/>
        <v>130747.5</v>
      </c>
      <c r="AO258" s="214">
        <f t="shared" si="49"/>
        <v>10057.5</v>
      </c>
      <c r="AP258" s="214">
        <f t="shared" si="50"/>
        <v>0</v>
      </c>
      <c r="AQ258" s="214">
        <f t="shared" si="51"/>
        <v>0</v>
      </c>
      <c r="AR258" s="214">
        <f t="shared" si="52"/>
        <v>0</v>
      </c>
      <c r="AS258" s="214">
        <f t="shared" si="53"/>
        <v>0</v>
      </c>
      <c r="AT258" s="214">
        <f t="shared" si="54"/>
        <v>12069</v>
      </c>
      <c r="AU258" s="214">
        <f t="shared" si="55"/>
        <v>108621</v>
      </c>
      <c r="AV258" s="214">
        <f t="shared" si="56"/>
        <v>0</v>
      </c>
      <c r="AW258" s="215">
        <f t="shared" si="57"/>
        <v>130747.5</v>
      </c>
    </row>
    <row r="259" spans="1:49" ht="15" customHeight="1">
      <c r="A259" s="140" t="s">
        <v>592</v>
      </c>
      <c r="B259" s="211" t="s">
        <v>96</v>
      </c>
      <c r="C259" s="140" t="str">
        <f aca="true" t="shared" si="61" ref="C259:C320">A259&amp;"-"&amp;B259</f>
        <v>Saint John Lutheran School - Wausau-WPCP</v>
      </c>
      <c r="D259" s="140">
        <v>14</v>
      </c>
      <c r="E259" s="140">
        <v>0</v>
      </c>
      <c r="F259" s="140">
        <v>0</v>
      </c>
      <c r="G259" s="140">
        <v>0</v>
      </c>
      <c r="H259" s="140">
        <v>0</v>
      </c>
      <c r="I259" s="140">
        <v>1</v>
      </c>
      <c r="J259" s="140">
        <v>32</v>
      </c>
      <c r="K259" s="140">
        <v>0</v>
      </c>
      <c r="L259" s="140">
        <f aca="true" t="shared" si="62" ref="L259:L320">SUM(D259:K259)</f>
        <v>47</v>
      </c>
      <c r="N259" s="140">
        <v>6</v>
      </c>
      <c r="O259" s="140">
        <v>0</v>
      </c>
      <c r="P259" s="140">
        <v>0</v>
      </c>
      <c r="Q259" s="140">
        <v>0</v>
      </c>
      <c r="R259" s="140">
        <v>0</v>
      </c>
      <c r="S259" s="140">
        <v>0</v>
      </c>
      <c r="T259" s="140">
        <v>16</v>
      </c>
      <c r="U259" s="140">
        <v>0</v>
      </c>
      <c r="V259" s="140">
        <f aca="true" t="shared" si="63" ref="V259:V320">SUM(N259:U259)</f>
        <v>22</v>
      </c>
      <c r="X259" s="98">
        <v>0</v>
      </c>
      <c r="Y259" s="98">
        <v>0</v>
      </c>
      <c r="Z259" s="98">
        <v>0</v>
      </c>
      <c r="AA259" s="98">
        <v>0</v>
      </c>
      <c r="AB259" s="98">
        <v>0</v>
      </c>
      <c r="AC259" s="98">
        <v>0</v>
      </c>
      <c r="AD259" s="98">
        <v>0</v>
      </c>
      <c r="AE259" s="98">
        <v>0</v>
      </c>
      <c r="AF259" s="98">
        <f t="shared" si="59"/>
        <v>0</v>
      </c>
      <c r="AH259" s="98">
        <v>12</v>
      </c>
      <c r="AJ259" s="98">
        <v>0</v>
      </c>
      <c r="AK259" s="98">
        <v>0</v>
      </c>
      <c r="AL259" s="380">
        <v>0</v>
      </c>
      <c r="AN259" s="214">
        <f aca="true" t="shared" si="64" ref="AN259:AN320">SUM(AO259:AV259)</f>
        <v>76437</v>
      </c>
      <c r="AO259" s="214">
        <f aca="true" t="shared" si="65" ref="AO259:AO320">ROUND(AO$1*AO$2*N259,2)</f>
        <v>12069</v>
      </c>
      <c r="AP259" s="214">
        <f aca="true" t="shared" si="66" ref="AP259:AP320">ROUND(AP$1*AP$2*O259,2)</f>
        <v>0</v>
      </c>
      <c r="AQ259" s="214">
        <f aca="true" t="shared" si="67" ref="AQ259:AQ320">ROUND(AQ$1*AQ$2*P259,2)</f>
        <v>0</v>
      </c>
      <c r="AR259" s="214">
        <f aca="true" t="shared" si="68" ref="AR259:AR320">ROUND(AR$1*AR$2*Q259,2)</f>
        <v>0</v>
      </c>
      <c r="AS259" s="214">
        <f aca="true" t="shared" si="69" ref="AS259:AS320">ROUND(AS$1*AS$2*R259,2)</f>
        <v>0</v>
      </c>
      <c r="AT259" s="214">
        <f aca="true" t="shared" si="70" ref="AT259:AT320">ROUND(AT$1*AT$2*S259,2)</f>
        <v>0</v>
      </c>
      <c r="AU259" s="214">
        <f aca="true" t="shared" si="71" ref="AU259:AU320">ROUND(AU$1*AU$2*T259,2)</f>
        <v>64368</v>
      </c>
      <c r="AV259" s="214">
        <f aca="true" t="shared" si="72" ref="AV259:AV320">ROUND(AV$1*AV$2*U259,2)</f>
        <v>0</v>
      </c>
      <c r="AW259" s="215">
        <f aca="true" t="shared" si="73" ref="AW259:AW320">SUM(AO259:AV259)</f>
        <v>76437</v>
      </c>
    </row>
    <row r="260" spans="1:49" ht="15" customHeight="1">
      <c r="A260" s="140" t="s">
        <v>541</v>
      </c>
      <c r="B260" s="211" t="s">
        <v>187</v>
      </c>
      <c r="C260" s="140" t="str">
        <f t="shared" si="61"/>
        <v>Saint John Paul II School-MPCP</v>
      </c>
      <c r="D260" s="140">
        <v>0</v>
      </c>
      <c r="E260" s="140">
        <v>20</v>
      </c>
      <c r="F260" s="140">
        <v>0</v>
      </c>
      <c r="G260" s="140">
        <v>0</v>
      </c>
      <c r="H260" s="140">
        <v>0</v>
      </c>
      <c r="I260" s="140">
        <v>13</v>
      </c>
      <c r="J260" s="140">
        <v>258</v>
      </c>
      <c r="K260" s="140">
        <v>0</v>
      </c>
      <c r="L260" s="140">
        <f t="shared" si="62"/>
        <v>291</v>
      </c>
      <c r="N260" s="140">
        <v>0</v>
      </c>
      <c r="O260" s="140">
        <v>20</v>
      </c>
      <c r="P260" s="140">
        <v>0</v>
      </c>
      <c r="Q260" s="140">
        <v>0</v>
      </c>
      <c r="R260" s="140">
        <v>0</v>
      </c>
      <c r="S260" s="140">
        <v>12</v>
      </c>
      <c r="T260" s="140">
        <v>253</v>
      </c>
      <c r="U260" s="140">
        <v>0</v>
      </c>
      <c r="V260" s="140">
        <f t="shared" si="63"/>
        <v>285</v>
      </c>
      <c r="X260" s="98">
        <v>0</v>
      </c>
      <c r="Y260" s="98">
        <v>0</v>
      </c>
      <c r="Z260" s="98">
        <v>0</v>
      </c>
      <c r="AA260" s="98">
        <v>0</v>
      </c>
      <c r="AB260" s="98">
        <v>0</v>
      </c>
      <c r="AC260" s="98">
        <v>0</v>
      </c>
      <c r="AD260" s="98">
        <v>0</v>
      </c>
      <c r="AE260" s="98">
        <v>0</v>
      </c>
      <c r="AF260" s="98">
        <f t="shared" si="59"/>
        <v>0</v>
      </c>
      <c r="AH260" s="98">
        <v>183</v>
      </c>
      <c r="AJ260" s="98">
        <v>0</v>
      </c>
      <c r="AK260" s="98">
        <v>0</v>
      </c>
      <c r="AL260" s="380">
        <v>0</v>
      </c>
      <c r="AN260" s="214">
        <f t="shared" si="64"/>
        <v>1114371</v>
      </c>
      <c r="AO260" s="214">
        <f t="shared" si="65"/>
        <v>0</v>
      </c>
      <c r="AP260" s="214">
        <f t="shared" si="66"/>
        <v>48276</v>
      </c>
      <c r="AQ260" s="214">
        <f t="shared" si="67"/>
        <v>0</v>
      </c>
      <c r="AR260" s="214">
        <f t="shared" si="68"/>
        <v>0</v>
      </c>
      <c r="AS260" s="214">
        <f t="shared" si="69"/>
        <v>0</v>
      </c>
      <c r="AT260" s="214">
        <f t="shared" si="70"/>
        <v>48276</v>
      </c>
      <c r="AU260" s="214">
        <f t="shared" si="71"/>
        <v>1017819</v>
      </c>
      <c r="AV260" s="214">
        <f t="shared" si="72"/>
        <v>0</v>
      </c>
      <c r="AW260" s="215">
        <f t="shared" si="73"/>
        <v>1114371</v>
      </c>
    </row>
    <row r="261" spans="1:49" ht="15" customHeight="1">
      <c r="A261" s="140" t="s">
        <v>593</v>
      </c>
      <c r="B261" s="211" t="s">
        <v>96</v>
      </c>
      <c r="C261" s="140" t="str">
        <f t="shared" si="61"/>
        <v>Saint John Saint James Lutheran School - Reedsville-WPCP</v>
      </c>
      <c r="D261" s="140">
        <v>12</v>
      </c>
      <c r="E261" s="140">
        <v>0</v>
      </c>
      <c r="F261" s="140">
        <v>0</v>
      </c>
      <c r="G261" s="140">
        <v>0</v>
      </c>
      <c r="H261" s="140">
        <v>0</v>
      </c>
      <c r="I261" s="140">
        <v>8</v>
      </c>
      <c r="J261" s="140">
        <v>38</v>
      </c>
      <c r="K261" s="140">
        <v>0</v>
      </c>
      <c r="L261" s="140">
        <f t="shared" si="62"/>
        <v>58</v>
      </c>
      <c r="N261" s="140">
        <v>1</v>
      </c>
      <c r="O261" s="140">
        <v>0</v>
      </c>
      <c r="P261" s="140">
        <v>0</v>
      </c>
      <c r="Q261" s="140">
        <v>0</v>
      </c>
      <c r="R261" s="140">
        <v>0</v>
      </c>
      <c r="S261" s="140">
        <v>2</v>
      </c>
      <c r="T261" s="140">
        <v>6</v>
      </c>
      <c r="U261" s="140">
        <v>0</v>
      </c>
      <c r="V261" s="140">
        <f t="shared" si="63"/>
        <v>9</v>
      </c>
      <c r="X261" s="98">
        <v>1</v>
      </c>
      <c r="Y261" s="98">
        <v>0</v>
      </c>
      <c r="Z261" s="98">
        <v>0</v>
      </c>
      <c r="AA261" s="98">
        <v>0</v>
      </c>
      <c r="AB261" s="98">
        <v>0</v>
      </c>
      <c r="AC261" s="98">
        <v>0</v>
      </c>
      <c r="AD261" s="98">
        <v>9</v>
      </c>
      <c r="AE261" s="98">
        <v>0</v>
      </c>
      <c r="AF261" s="98">
        <f t="shared" si="59"/>
        <v>10</v>
      </c>
      <c r="AH261" s="98">
        <v>5</v>
      </c>
      <c r="AJ261" s="98">
        <v>0</v>
      </c>
      <c r="AK261" s="98">
        <v>0</v>
      </c>
      <c r="AL261" s="380">
        <v>0</v>
      </c>
      <c r="AN261" s="214">
        <f t="shared" si="64"/>
        <v>34195.5</v>
      </c>
      <c r="AO261" s="214">
        <f t="shared" si="65"/>
        <v>2011.5</v>
      </c>
      <c r="AP261" s="214">
        <f t="shared" si="66"/>
        <v>0</v>
      </c>
      <c r="AQ261" s="214">
        <f t="shared" si="67"/>
        <v>0</v>
      </c>
      <c r="AR261" s="214">
        <f t="shared" si="68"/>
        <v>0</v>
      </c>
      <c r="AS261" s="214">
        <f t="shared" si="69"/>
        <v>0</v>
      </c>
      <c r="AT261" s="214">
        <f t="shared" si="70"/>
        <v>8046</v>
      </c>
      <c r="AU261" s="214">
        <f t="shared" si="71"/>
        <v>24138</v>
      </c>
      <c r="AV261" s="214">
        <f t="shared" si="72"/>
        <v>0</v>
      </c>
      <c r="AW261" s="215">
        <f t="shared" si="73"/>
        <v>34195.5</v>
      </c>
    </row>
    <row r="262" spans="1:49" ht="15" customHeight="1">
      <c r="A262" s="140" t="s">
        <v>594</v>
      </c>
      <c r="B262" s="211" t="s">
        <v>96</v>
      </c>
      <c r="C262" s="140" t="str">
        <f t="shared" si="61"/>
        <v>Saint John School - Edgar-WPCP</v>
      </c>
      <c r="D262" s="140">
        <v>0</v>
      </c>
      <c r="E262" s="140">
        <v>1</v>
      </c>
      <c r="F262" s="140">
        <v>0</v>
      </c>
      <c r="G262" s="140">
        <v>0</v>
      </c>
      <c r="H262" s="140">
        <v>0</v>
      </c>
      <c r="I262" s="140">
        <v>1</v>
      </c>
      <c r="J262" s="140">
        <v>17</v>
      </c>
      <c r="K262" s="140">
        <v>0</v>
      </c>
      <c r="L262" s="140">
        <f t="shared" si="62"/>
        <v>19</v>
      </c>
      <c r="N262" s="140">
        <v>0</v>
      </c>
      <c r="O262" s="140">
        <v>1</v>
      </c>
      <c r="P262" s="140">
        <v>0</v>
      </c>
      <c r="Q262" s="140">
        <v>0</v>
      </c>
      <c r="R262" s="140">
        <v>0</v>
      </c>
      <c r="S262" s="140">
        <v>1</v>
      </c>
      <c r="T262" s="140">
        <v>17</v>
      </c>
      <c r="U262" s="140">
        <v>0</v>
      </c>
      <c r="V262" s="140">
        <f t="shared" si="63"/>
        <v>19</v>
      </c>
      <c r="X262" s="98">
        <v>0</v>
      </c>
      <c r="Y262" s="98">
        <v>0</v>
      </c>
      <c r="Z262" s="98">
        <v>0</v>
      </c>
      <c r="AA262" s="98">
        <v>0</v>
      </c>
      <c r="AB262" s="98">
        <v>0</v>
      </c>
      <c r="AC262" s="98">
        <v>0</v>
      </c>
      <c r="AD262" s="98">
        <v>0</v>
      </c>
      <c r="AE262" s="98">
        <v>0</v>
      </c>
      <c r="AF262" s="98">
        <f t="shared" si="59"/>
        <v>0</v>
      </c>
      <c r="AH262" s="98">
        <v>9</v>
      </c>
      <c r="AJ262" s="98">
        <v>0</v>
      </c>
      <c r="AK262" s="98">
        <v>0</v>
      </c>
      <c r="AL262" s="380">
        <v>0</v>
      </c>
      <c r="AN262" s="214">
        <f t="shared" si="64"/>
        <v>74827.8</v>
      </c>
      <c r="AO262" s="214">
        <f t="shared" si="65"/>
        <v>0</v>
      </c>
      <c r="AP262" s="214">
        <f t="shared" si="66"/>
        <v>2413.8</v>
      </c>
      <c r="AQ262" s="214">
        <f t="shared" si="67"/>
        <v>0</v>
      </c>
      <c r="AR262" s="214">
        <f t="shared" si="68"/>
        <v>0</v>
      </c>
      <c r="AS262" s="214">
        <f t="shared" si="69"/>
        <v>0</v>
      </c>
      <c r="AT262" s="214">
        <f t="shared" si="70"/>
        <v>4023</v>
      </c>
      <c r="AU262" s="214">
        <f t="shared" si="71"/>
        <v>68391</v>
      </c>
      <c r="AV262" s="214">
        <f t="shared" si="72"/>
        <v>0</v>
      </c>
      <c r="AW262" s="215">
        <f t="shared" si="73"/>
        <v>74827.8</v>
      </c>
    </row>
    <row r="263" spans="1:49" ht="15" customHeight="1">
      <c r="A263" s="140" t="s">
        <v>349</v>
      </c>
      <c r="B263" s="211" t="s">
        <v>187</v>
      </c>
      <c r="C263" s="140" t="str">
        <f t="shared" si="61"/>
        <v>Saint John the Evangelist - Greenfield-MPCP</v>
      </c>
      <c r="D263" s="140">
        <v>10</v>
      </c>
      <c r="E263" s="140">
        <v>0</v>
      </c>
      <c r="F263" s="140">
        <v>0</v>
      </c>
      <c r="G263" s="140">
        <v>0</v>
      </c>
      <c r="H263" s="140">
        <v>0</v>
      </c>
      <c r="I263" s="140">
        <v>11</v>
      </c>
      <c r="J263" s="140">
        <v>86</v>
      </c>
      <c r="K263" s="140">
        <v>0</v>
      </c>
      <c r="L263" s="140">
        <f t="shared" si="62"/>
        <v>107</v>
      </c>
      <c r="N263" s="140">
        <v>6</v>
      </c>
      <c r="O263" s="140">
        <v>0</v>
      </c>
      <c r="P263" s="140">
        <v>0</v>
      </c>
      <c r="Q263" s="140">
        <v>0</v>
      </c>
      <c r="R263" s="140">
        <v>0</v>
      </c>
      <c r="S263" s="140">
        <v>4</v>
      </c>
      <c r="T263" s="140">
        <v>23</v>
      </c>
      <c r="U263" s="140">
        <v>0</v>
      </c>
      <c r="V263" s="140">
        <f t="shared" si="63"/>
        <v>33</v>
      </c>
      <c r="X263" s="98">
        <v>0</v>
      </c>
      <c r="Y263" s="98">
        <v>0</v>
      </c>
      <c r="Z263" s="98">
        <v>0</v>
      </c>
      <c r="AA263" s="98">
        <v>0</v>
      </c>
      <c r="AB263" s="98">
        <v>0</v>
      </c>
      <c r="AC263" s="98">
        <v>0</v>
      </c>
      <c r="AD263" s="98">
        <v>0</v>
      </c>
      <c r="AE263" s="98">
        <v>0</v>
      </c>
      <c r="AF263" s="98">
        <f t="shared" si="59"/>
        <v>0</v>
      </c>
      <c r="AH263" s="98">
        <v>17</v>
      </c>
      <c r="AJ263" s="98">
        <v>0</v>
      </c>
      <c r="AK263" s="98">
        <v>0</v>
      </c>
      <c r="AL263" s="380">
        <v>0</v>
      </c>
      <c r="AN263" s="214">
        <f t="shared" si="64"/>
        <v>120690</v>
      </c>
      <c r="AO263" s="214">
        <f t="shared" si="65"/>
        <v>12069</v>
      </c>
      <c r="AP263" s="214">
        <f t="shared" si="66"/>
        <v>0</v>
      </c>
      <c r="AQ263" s="214">
        <f t="shared" si="67"/>
        <v>0</v>
      </c>
      <c r="AR263" s="214">
        <f t="shared" si="68"/>
        <v>0</v>
      </c>
      <c r="AS263" s="214">
        <f t="shared" si="69"/>
        <v>0</v>
      </c>
      <c r="AT263" s="214">
        <f t="shared" si="70"/>
        <v>16092</v>
      </c>
      <c r="AU263" s="214">
        <f t="shared" si="71"/>
        <v>92529</v>
      </c>
      <c r="AV263" s="214">
        <f t="shared" si="72"/>
        <v>0</v>
      </c>
      <c r="AW263" s="215">
        <f t="shared" si="73"/>
        <v>120690</v>
      </c>
    </row>
    <row r="264" spans="1:49" ht="15" customHeight="1">
      <c r="A264" s="140" t="s">
        <v>349</v>
      </c>
      <c r="B264" s="211" t="s">
        <v>96</v>
      </c>
      <c r="C264" s="140" t="str">
        <f t="shared" si="61"/>
        <v>Saint John the Evangelist - Greenfield-WPCP</v>
      </c>
      <c r="D264" s="140">
        <v>10</v>
      </c>
      <c r="E264" s="140">
        <v>0</v>
      </c>
      <c r="F264" s="140">
        <v>0</v>
      </c>
      <c r="G264" s="140">
        <v>0</v>
      </c>
      <c r="H264" s="140">
        <v>0</v>
      </c>
      <c r="I264" s="140">
        <v>11</v>
      </c>
      <c r="J264" s="140">
        <v>86</v>
      </c>
      <c r="K264" s="140">
        <v>0</v>
      </c>
      <c r="L264" s="140">
        <f t="shared" si="62"/>
        <v>107</v>
      </c>
      <c r="N264" s="140">
        <v>0</v>
      </c>
      <c r="O264" s="140">
        <v>0</v>
      </c>
      <c r="P264" s="140">
        <v>0</v>
      </c>
      <c r="Q264" s="140">
        <v>0</v>
      </c>
      <c r="R264" s="140">
        <v>0</v>
      </c>
      <c r="S264" s="140">
        <v>3</v>
      </c>
      <c r="T264" s="140">
        <v>11</v>
      </c>
      <c r="U264" s="140">
        <v>0</v>
      </c>
      <c r="V264" s="140">
        <f t="shared" si="63"/>
        <v>14</v>
      </c>
      <c r="X264" s="98">
        <v>0</v>
      </c>
      <c r="Y264" s="98">
        <v>0</v>
      </c>
      <c r="Z264" s="98">
        <v>0</v>
      </c>
      <c r="AA264" s="98">
        <v>0</v>
      </c>
      <c r="AB264" s="98">
        <v>0</v>
      </c>
      <c r="AC264" s="98">
        <v>0</v>
      </c>
      <c r="AD264" s="98">
        <v>0</v>
      </c>
      <c r="AE264" s="98">
        <v>0</v>
      </c>
      <c r="AF264" s="98">
        <f t="shared" si="59"/>
        <v>0</v>
      </c>
      <c r="AH264" s="98">
        <v>9</v>
      </c>
      <c r="AJ264" s="98">
        <v>0</v>
      </c>
      <c r="AK264" s="98">
        <v>0</v>
      </c>
      <c r="AL264" s="380">
        <v>0</v>
      </c>
      <c r="AN264" s="214">
        <f t="shared" si="64"/>
        <v>56322</v>
      </c>
      <c r="AO264" s="214">
        <f t="shared" si="65"/>
        <v>0</v>
      </c>
      <c r="AP264" s="214">
        <f t="shared" si="66"/>
        <v>0</v>
      </c>
      <c r="AQ264" s="214">
        <f t="shared" si="67"/>
        <v>0</v>
      </c>
      <c r="AR264" s="214">
        <f t="shared" si="68"/>
        <v>0</v>
      </c>
      <c r="AS264" s="214">
        <f t="shared" si="69"/>
        <v>0</v>
      </c>
      <c r="AT264" s="214">
        <f t="shared" si="70"/>
        <v>12069</v>
      </c>
      <c r="AU264" s="214">
        <f t="shared" si="71"/>
        <v>44253</v>
      </c>
      <c r="AV264" s="214">
        <f t="shared" si="72"/>
        <v>0</v>
      </c>
      <c r="AW264" s="215">
        <f t="shared" si="73"/>
        <v>56322</v>
      </c>
    </row>
    <row r="265" spans="1:49" ht="15" customHeight="1">
      <c r="A265" s="140" t="s">
        <v>463</v>
      </c>
      <c r="B265" s="211" t="s">
        <v>96</v>
      </c>
      <c r="C265" s="140" t="str">
        <f t="shared" si="61"/>
        <v>Saint John XXIII Catholic School - Port Washington-WPCP</v>
      </c>
      <c r="D265" s="140">
        <v>0</v>
      </c>
      <c r="E265" s="140">
        <v>0</v>
      </c>
      <c r="F265" s="140">
        <v>0</v>
      </c>
      <c r="G265" s="140">
        <v>0</v>
      </c>
      <c r="H265" s="140">
        <v>0</v>
      </c>
      <c r="I265" s="140">
        <v>9</v>
      </c>
      <c r="J265" s="140">
        <v>111</v>
      </c>
      <c r="K265" s="140">
        <v>0</v>
      </c>
      <c r="L265" s="140">
        <f t="shared" si="62"/>
        <v>120</v>
      </c>
      <c r="N265" s="140">
        <v>0</v>
      </c>
      <c r="O265" s="140">
        <v>0</v>
      </c>
      <c r="P265" s="140">
        <v>0</v>
      </c>
      <c r="Q265" s="140">
        <v>0</v>
      </c>
      <c r="R265" s="140">
        <v>0</v>
      </c>
      <c r="S265" s="140">
        <v>2</v>
      </c>
      <c r="T265" s="140">
        <v>9</v>
      </c>
      <c r="U265" s="140">
        <v>0</v>
      </c>
      <c r="V265" s="140">
        <f t="shared" si="63"/>
        <v>11</v>
      </c>
      <c r="X265" s="98">
        <v>0</v>
      </c>
      <c r="Y265" s="98">
        <v>0</v>
      </c>
      <c r="Z265" s="98">
        <v>0</v>
      </c>
      <c r="AA265" s="98">
        <v>0</v>
      </c>
      <c r="AB265" s="98">
        <v>0</v>
      </c>
      <c r="AC265" s="98">
        <v>0</v>
      </c>
      <c r="AD265" s="98">
        <v>0</v>
      </c>
      <c r="AE265" s="98">
        <v>0</v>
      </c>
      <c r="AF265" s="98">
        <f t="shared" si="59"/>
        <v>0</v>
      </c>
      <c r="AH265" s="98">
        <v>8</v>
      </c>
      <c r="AJ265" s="98">
        <v>0</v>
      </c>
      <c r="AK265" s="98">
        <v>0</v>
      </c>
      <c r="AL265" s="380">
        <v>0</v>
      </c>
      <c r="AN265" s="214">
        <f t="shared" si="64"/>
        <v>44253</v>
      </c>
      <c r="AO265" s="214">
        <f t="shared" si="65"/>
        <v>0</v>
      </c>
      <c r="AP265" s="214">
        <f t="shared" si="66"/>
        <v>0</v>
      </c>
      <c r="AQ265" s="214">
        <f t="shared" si="67"/>
        <v>0</v>
      </c>
      <c r="AR265" s="214">
        <f t="shared" si="68"/>
        <v>0</v>
      </c>
      <c r="AS265" s="214">
        <f t="shared" si="69"/>
        <v>0</v>
      </c>
      <c r="AT265" s="214">
        <f t="shared" si="70"/>
        <v>8046</v>
      </c>
      <c r="AU265" s="214">
        <f t="shared" si="71"/>
        <v>36207</v>
      </c>
      <c r="AV265" s="214">
        <f t="shared" si="72"/>
        <v>0</v>
      </c>
      <c r="AW265" s="215">
        <f t="shared" si="73"/>
        <v>44253</v>
      </c>
    </row>
    <row r="266" spans="1:49" ht="15" customHeight="1">
      <c r="A266" s="140" t="s">
        <v>464</v>
      </c>
      <c r="B266" s="211" t="s">
        <v>96</v>
      </c>
      <c r="C266" s="140" t="str">
        <f t="shared" si="61"/>
        <v>Saint John's Ev. Lutheran School - Sparta-WPCP</v>
      </c>
      <c r="D266" s="140">
        <v>17</v>
      </c>
      <c r="E266" s="140">
        <v>0</v>
      </c>
      <c r="F266" s="140">
        <v>0</v>
      </c>
      <c r="G266" s="140">
        <v>0</v>
      </c>
      <c r="H266" s="140">
        <v>0</v>
      </c>
      <c r="I266" s="140">
        <v>3</v>
      </c>
      <c r="J266" s="140">
        <v>61</v>
      </c>
      <c r="K266" s="140">
        <v>0</v>
      </c>
      <c r="L266" s="140">
        <f t="shared" si="62"/>
        <v>81</v>
      </c>
      <c r="N266" s="140">
        <v>8</v>
      </c>
      <c r="O266" s="140">
        <v>0</v>
      </c>
      <c r="P266" s="140">
        <v>0</v>
      </c>
      <c r="Q266" s="140">
        <v>0</v>
      </c>
      <c r="R266" s="140">
        <v>0</v>
      </c>
      <c r="S266" s="140">
        <v>2</v>
      </c>
      <c r="T266" s="140">
        <v>14</v>
      </c>
      <c r="U266" s="140">
        <v>0</v>
      </c>
      <c r="V266" s="140">
        <f t="shared" si="63"/>
        <v>24</v>
      </c>
      <c r="X266" s="98">
        <v>0</v>
      </c>
      <c r="Y266" s="98">
        <v>0</v>
      </c>
      <c r="Z266" s="98">
        <v>0</v>
      </c>
      <c r="AA266" s="98">
        <v>0</v>
      </c>
      <c r="AB266" s="98">
        <v>0</v>
      </c>
      <c r="AC266" s="98">
        <v>0</v>
      </c>
      <c r="AD266" s="98">
        <v>0</v>
      </c>
      <c r="AE266" s="98">
        <v>0</v>
      </c>
      <c r="AF266" s="98">
        <f t="shared" si="59"/>
        <v>0</v>
      </c>
      <c r="AH266" s="98">
        <v>15</v>
      </c>
      <c r="AJ266" s="98">
        <v>0</v>
      </c>
      <c r="AK266" s="98">
        <v>0</v>
      </c>
      <c r="AL266" s="380">
        <v>0</v>
      </c>
      <c r="AN266" s="214">
        <f t="shared" si="64"/>
        <v>80460</v>
      </c>
      <c r="AO266" s="214">
        <f t="shared" si="65"/>
        <v>16092</v>
      </c>
      <c r="AP266" s="214">
        <f t="shared" si="66"/>
        <v>0</v>
      </c>
      <c r="AQ266" s="214">
        <f t="shared" si="67"/>
        <v>0</v>
      </c>
      <c r="AR266" s="214">
        <f t="shared" si="68"/>
        <v>0</v>
      </c>
      <c r="AS266" s="214">
        <f t="shared" si="69"/>
        <v>0</v>
      </c>
      <c r="AT266" s="214">
        <f t="shared" si="70"/>
        <v>8046</v>
      </c>
      <c r="AU266" s="214">
        <f t="shared" si="71"/>
        <v>56322</v>
      </c>
      <c r="AV266" s="214">
        <f t="shared" si="72"/>
        <v>0</v>
      </c>
      <c r="AW266" s="215">
        <f t="shared" si="73"/>
        <v>80460</v>
      </c>
    </row>
    <row r="267" spans="1:49" ht="15" customHeight="1">
      <c r="A267" s="140" t="s">
        <v>595</v>
      </c>
      <c r="B267" s="211" t="s">
        <v>96</v>
      </c>
      <c r="C267" s="140" t="str">
        <f t="shared" si="61"/>
        <v>Saint John's Evangelical Lutheran School - Jefferson-WPCP</v>
      </c>
      <c r="D267" s="140">
        <v>0</v>
      </c>
      <c r="E267" s="140">
        <v>0</v>
      </c>
      <c r="F267" s="140">
        <v>0</v>
      </c>
      <c r="G267" s="140">
        <v>0</v>
      </c>
      <c r="H267" s="140">
        <v>0</v>
      </c>
      <c r="I267" s="140">
        <v>6</v>
      </c>
      <c r="J267" s="140">
        <v>62</v>
      </c>
      <c r="K267" s="140">
        <v>0</v>
      </c>
      <c r="L267" s="140">
        <f t="shared" si="62"/>
        <v>68</v>
      </c>
      <c r="N267" s="140">
        <v>0</v>
      </c>
      <c r="O267" s="140">
        <v>0</v>
      </c>
      <c r="P267" s="140">
        <v>0</v>
      </c>
      <c r="Q267" s="140">
        <v>0</v>
      </c>
      <c r="R267" s="140">
        <v>0</v>
      </c>
      <c r="S267" s="140">
        <v>3</v>
      </c>
      <c r="T267" s="140">
        <v>20</v>
      </c>
      <c r="U267" s="140">
        <v>0</v>
      </c>
      <c r="V267" s="140">
        <f t="shared" si="63"/>
        <v>23</v>
      </c>
      <c r="X267" s="98">
        <v>0</v>
      </c>
      <c r="Y267" s="98">
        <v>0</v>
      </c>
      <c r="Z267" s="98">
        <v>0</v>
      </c>
      <c r="AA267" s="98">
        <v>0</v>
      </c>
      <c r="AB267" s="98">
        <v>0</v>
      </c>
      <c r="AC267" s="98">
        <v>0</v>
      </c>
      <c r="AD267" s="98">
        <v>0</v>
      </c>
      <c r="AE267" s="98">
        <v>0</v>
      </c>
      <c r="AF267" s="98">
        <f t="shared" si="59"/>
        <v>0</v>
      </c>
      <c r="AH267" s="98">
        <v>14</v>
      </c>
      <c r="AJ267" s="98">
        <v>0</v>
      </c>
      <c r="AK267" s="98">
        <v>0</v>
      </c>
      <c r="AL267" s="380">
        <v>0</v>
      </c>
      <c r="AN267" s="214">
        <f t="shared" si="64"/>
        <v>92529</v>
      </c>
      <c r="AO267" s="214">
        <f t="shared" si="65"/>
        <v>0</v>
      </c>
      <c r="AP267" s="214">
        <f t="shared" si="66"/>
        <v>0</v>
      </c>
      <c r="AQ267" s="214">
        <f t="shared" si="67"/>
        <v>0</v>
      </c>
      <c r="AR267" s="214">
        <f t="shared" si="68"/>
        <v>0</v>
      </c>
      <c r="AS267" s="214">
        <f t="shared" si="69"/>
        <v>0</v>
      </c>
      <c r="AT267" s="214">
        <f t="shared" si="70"/>
        <v>12069</v>
      </c>
      <c r="AU267" s="214">
        <f t="shared" si="71"/>
        <v>80460</v>
      </c>
      <c r="AV267" s="214">
        <f t="shared" si="72"/>
        <v>0</v>
      </c>
      <c r="AW267" s="215">
        <f t="shared" si="73"/>
        <v>92529</v>
      </c>
    </row>
    <row r="268" spans="1:49" ht="15" customHeight="1">
      <c r="A268" s="140" t="s">
        <v>596</v>
      </c>
      <c r="B268" s="211" t="s">
        <v>96</v>
      </c>
      <c r="C268" s="140" t="str">
        <f t="shared" si="61"/>
        <v>Saint John's Lutheran School - Beloit-WPCP</v>
      </c>
      <c r="D268" s="140">
        <v>0</v>
      </c>
      <c r="E268" s="140">
        <v>6</v>
      </c>
      <c r="F268" s="140">
        <v>0</v>
      </c>
      <c r="G268" s="140">
        <v>0</v>
      </c>
      <c r="H268" s="140">
        <v>0</v>
      </c>
      <c r="I268" s="140">
        <v>1</v>
      </c>
      <c r="J268" s="140">
        <v>26</v>
      </c>
      <c r="K268" s="140">
        <v>0</v>
      </c>
      <c r="L268" s="140">
        <f t="shared" si="62"/>
        <v>33</v>
      </c>
      <c r="N268" s="140">
        <v>0</v>
      </c>
      <c r="O268" s="140">
        <v>2</v>
      </c>
      <c r="P268" s="140">
        <v>0</v>
      </c>
      <c r="Q268" s="140">
        <v>0</v>
      </c>
      <c r="R268" s="140">
        <v>0</v>
      </c>
      <c r="S268" s="140">
        <v>1</v>
      </c>
      <c r="T268" s="140">
        <v>11</v>
      </c>
      <c r="U268" s="140">
        <v>0</v>
      </c>
      <c r="V268" s="140">
        <f t="shared" si="63"/>
        <v>14</v>
      </c>
      <c r="X268" s="98">
        <v>0</v>
      </c>
      <c r="Y268" s="98">
        <v>0</v>
      </c>
      <c r="Z268" s="98">
        <v>0</v>
      </c>
      <c r="AA268" s="98">
        <v>0</v>
      </c>
      <c r="AB268" s="98">
        <v>0</v>
      </c>
      <c r="AC268" s="98">
        <v>0</v>
      </c>
      <c r="AD268" s="98">
        <v>0</v>
      </c>
      <c r="AE268" s="98">
        <v>0</v>
      </c>
      <c r="AF268" s="98">
        <f t="shared" si="59"/>
        <v>0</v>
      </c>
      <c r="AH268" s="98">
        <v>9</v>
      </c>
      <c r="AJ268" s="98">
        <v>0</v>
      </c>
      <c r="AK268" s="98">
        <v>0</v>
      </c>
      <c r="AL268" s="380">
        <v>0</v>
      </c>
      <c r="AN268" s="214">
        <f t="shared" si="64"/>
        <v>53103.6</v>
      </c>
      <c r="AO268" s="214">
        <f t="shared" si="65"/>
        <v>0</v>
      </c>
      <c r="AP268" s="214">
        <f t="shared" si="66"/>
        <v>4827.6</v>
      </c>
      <c r="AQ268" s="214">
        <f t="shared" si="67"/>
        <v>0</v>
      </c>
      <c r="AR268" s="214">
        <f t="shared" si="68"/>
        <v>0</v>
      </c>
      <c r="AS268" s="214">
        <f t="shared" si="69"/>
        <v>0</v>
      </c>
      <c r="AT268" s="214">
        <f t="shared" si="70"/>
        <v>4023</v>
      </c>
      <c r="AU268" s="214">
        <f t="shared" si="71"/>
        <v>44253</v>
      </c>
      <c r="AV268" s="214">
        <f t="shared" si="72"/>
        <v>0</v>
      </c>
      <c r="AW268" s="215">
        <f t="shared" si="73"/>
        <v>53103.6</v>
      </c>
    </row>
    <row r="269" spans="1:49" ht="15" customHeight="1">
      <c r="A269" s="140" t="s">
        <v>177</v>
      </c>
      <c r="B269" s="211" t="s">
        <v>96</v>
      </c>
      <c r="C269" s="140" t="str">
        <f t="shared" si="61"/>
        <v>Saint John's Lutheran School - Burlington-WPCP</v>
      </c>
      <c r="D269" s="140">
        <v>14</v>
      </c>
      <c r="E269" s="140">
        <v>0</v>
      </c>
      <c r="F269" s="140">
        <v>1</v>
      </c>
      <c r="G269" s="140">
        <v>0</v>
      </c>
      <c r="H269" s="140">
        <v>0</v>
      </c>
      <c r="I269" s="140">
        <v>14</v>
      </c>
      <c r="J269" s="140">
        <v>68</v>
      </c>
      <c r="K269" s="140">
        <v>0</v>
      </c>
      <c r="L269" s="140">
        <f t="shared" si="62"/>
        <v>97</v>
      </c>
      <c r="N269" s="140">
        <v>5</v>
      </c>
      <c r="O269" s="140">
        <v>0</v>
      </c>
      <c r="P269" s="140">
        <v>0</v>
      </c>
      <c r="Q269" s="140">
        <v>0</v>
      </c>
      <c r="R269" s="140">
        <v>0</v>
      </c>
      <c r="S269" s="140">
        <v>8</v>
      </c>
      <c r="T269" s="140">
        <v>30</v>
      </c>
      <c r="U269" s="140">
        <v>0</v>
      </c>
      <c r="V269" s="140">
        <f t="shared" si="63"/>
        <v>43</v>
      </c>
      <c r="X269" s="98">
        <v>0</v>
      </c>
      <c r="Y269" s="98">
        <v>0</v>
      </c>
      <c r="Z269" s="98">
        <v>0</v>
      </c>
      <c r="AA269" s="98">
        <v>0</v>
      </c>
      <c r="AB269" s="98">
        <v>0</v>
      </c>
      <c r="AC269" s="98">
        <v>0</v>
      </c>
      <c r="AD269" s="98">
        <v>0</v>
      </c>
      <c r="AE269" s="98">
        <v>0</v>
      </c>
      <c r="AF269" s="98">
        <f t="shared" si="59"/>
        <v>0</v>
      </c>
      <c r="AH269" s="98">
        <v>26</v>
      </c>
      <c r="AJ269" s="98">
        <v>0</v>
      </c>
      <c r="AK269" s="98">
        <v>0</v>
      </c>
      <c r="AL269" s="380">
        <v>0</v>
      </c>
      <c r="AN269" s="214">
        <f t="shared" si="64"/>
        <v>162931.5</v>
      </c>
      <c r="AO269" s="214">
        <f t="shared" si="65"/>
        <v>10057.5</v>
      </c>
      <c r="AP269" s="214">
        <f t="shared" si="66"/>
        <v>0</v>
      </c>
      <c r="AQ269" s="214">
        <f t="shared" si="67"/>
        <v>0</v>
      </c>
      <c r="AR269" s="214">
        <f t="shared" si="68"/>
        <v>0</v>
      </c>
      <c r="AS269" s="214">
        <f t="shared" si="69"/>
        <v>0</v>
      </c>
      <c r="AT269" s="214">
        <f t="shared" si="70"/>
        <v>32184</v>
      </c>
      <c r="AU269" s="214">
        <f t="shared" si="71"/>
        <v>120690</v>
      </c>
      <c r="AV269" s="214">
        <f t="shared" si="72"/>
        <v>0</v>
      </c>
      <c r="AW269" s="215">
        <f t="shared" si="73"/>
        <v>162931.5</v>
      </c>
    </row>
    <row r="270" spans="1:49" ht="15" customHeight="1">
      <c r="A270" s="140" t="s">
        <v>244</v>
      </c>
      <c r="B270" s="211" t="s">
        <v>187</v>
      </c>
      <c r="C270" s="140" t="str">
        <f t="shared" si="61"/>
        <v>Saint John's Lutheran School - Glendale-MPCP</v>
      </c>
      <c r="D270" s="140">
        <v>20</v>
      </c>
      <c r="E270" s="140">
        <v>0</v>
      </c>
      <c r="F270" s="140">
        <v>0</v>
      </c>
      <c r="G270" s="140">
        <v>0</v>
      </c>
      <c r="H270" s="140">
        <v>0</v>
      </c>
      <c r="I270" s="140">
        <v>9</v>
      </c>
      <c r="J270" s="140">
        <v>57</v>
      </c>
      <c r="K270" s="140">
        <v>0</v>
      </c>
      <c r="L270" s="140">
        <f t="shared" si="62"/>
        <v>86</v>
      </c>
      <c r="N270" s="140">
        <v>3</v>
      </c>
      <c r="O270" s="140">
        <v>0</v>
      </c>
      <c r="P270" s="140">
        <v>0</v>
      </c>
      <c r="Q270" s="140">
        <v>0</v>
      </c>
      <c r="R270" s="140">
        <v>0</v>
      </c>
      <c r="S270" s="140">
        <v>4</v>
      </c>
      <c r="T270" s="140">
        <v>32</v>
      </c>
      <c r="U270" s="140">
        <v>0</v>
      </c>
      <c r="V270" s="140">
        <f t="shared" si="63"/>
        <v>39</v>
      </c>
      <c r="X270" s="98">
        <v>0</v>
      </c>
      <c r="Y270" s="98">
        <v>0</v>
      </c>
      <c r="Z270" s="98">
        <v>0</v>
      </c>
      <c r="AA270" s="98">
        <v>0</v>
      </c>
      <c r="AB270" s="98">
        <v>0</v>
      </c>
      <c r="AC270" s="98">
        <v>0</v>
      </c>
      <c r="AD270" s="98">
        <v>5</v>
      </c>
      <c r="AE270" s="98">
        <v>0</v>
      </c>
      <c r="AF270" s="98">
        <f t="shared" si="59"/>
        <v>5</v>
      </c>
      <c r="AH270" s="98">
        <v>29</v>
      </c>
      <c r="AJ270" s="98">
        <v>0</v>
      </c>
      <c r="AK270" s="98">
        <v>0</v>
      </c>
      <c r="AL270" s="380">
        <v>0</v>
      </c>
      <c r="AN270" s="214">
        <f t="shared" si="64"/>
        <v>150862.5</v>
      </c>
      <c r="AO270" s="214">
        <f t="shared" si="65"/>
        <v>6034.5</v>
      </c>
      <c r="AP270" s="214">
        <f t="shared" si="66"/>
        <v>0</v>
      </c>
      <c r="AQ270" s="214">
        <f t="shared" si="67"/>
        <v>0</v>
      </c>
      <c r="AR270" s="214">
        <f t="shared" si="68"/>
        <v>0</v>
      </c>
      <c r="AS270" s="214">
        <f t="shared" si="69"/>
        <v>0</v>
      </c>
      <c r="AT270" s="214">
        <f t="shared" si="70"/>
        <v>16092</v>
      </c>
      <c r="AU270" s="214">
        <f t="shared" si="71"/>
        <v>128736</v>
      </c>
      <c r="AV270" s="214">
        <f t="shared" si="72"/>
        <v>0</v>
      </c>
      <c r="AW270" s="215">
        <f t="shared" si="73"/>
        <v>150862.5</v>
      </c>
    </row>
    <row r="271" spans="1:49" ht="15" customHeight="1">
      <c r="A271" s="140" t="s">
        <v>244</v>
      </c>
      <c r="B271" s="211" t="s">
        <v>96</v>
      </c>
      <c r="C271" s="140" t="str">
        <f t="shared" si="61"/>
        <v>Saint John's Lutheran School - Glendale-WPCP</v>
      </c>
      <c r="D271" s="140">
        <v>20</v>
      </c>
      <c r="E271" s="140">
        <v>0</v>
      </c>
      <c r="F271" s="140">
        <v>0</v>
      </c>
      <c r="G271" s="140">
        <v>0</v>
      </c>
      <c r="H271" s="140">
        <v>0</v>
      </c>
      <c r="I271" s="140">
        <v>9</v>
      </c>
      <c r="J271" s="140">
        <v>57</v>
      </c>
      <c r="K271" s="140">
        <v>0</v>
      </c>
      <c r="L271" s="140">
        <f t="shared" si="62"/>
        <v>86</v>
      </c>
      <c r="N271" s="140">
        <v>0</v>
      </c>
      <c r="O271" s="140">
        <v>0</v>
      </c>
      <c r="P271" s="140">
        <v>0</v>
      </c>
      <c r="Q271" s="140">
        <v>0</v>
      </c>
      <c r="R271" s="140">
        <v>0</v>
      </c>
      <c r="S271" s="140">
        <v>1</v>
      </c>
      <c r="T271" s="140">
        <v>4</v>
      </c>
      <c r="U271" s="140">
        <v>0</v>
      </c>
      <c r="V271" s="140">
        <f t="shared" si="63"/>
        <v>5</v>
      </c>
      <c r="X271" s="98">
        <v>0</v>
      </c>
      <c r="Y271" s="98">
        <v>0</v>
      </c>
      <c r="Z271" s="98">
        <v>0</v>
      </c>
      <c r="AA271" s="98">
        <v>0</v>
      </c>
      <c r="AB271" s="98">
        <v>0</v>
      </c>
      <c r="AC271" s="98">
        <v>0</v>
      </c>
      <c r="AD271" s="98">
        <v>0</v>
      </c>
      <c r="AE271" s="98">
        <v>0</v>
      </c>
      <c r="AF271" s="98">
        <f t="shared" si="59"/>
        <v>0</v>
      </c>
      <c r="AH271" s="98">
        <v>4</v>
      </c>
      <c r="AJ271" s="98">
        <v>0</v>
      </c>
      <c r="AK271" s="98">
        <v>0</v>
      </c>
      <c r="AL271" s="380">
        <v>0</v>
      </c>
      <c r="AN271" s="214">
        <f t="shared" si="64"/>
        <v>20115</v>
      </c>
      <c r="AO271" s="214">
        <f t="shared" si="65"/>
        <v>0</v>
      </c>
      <c r="AP271" s="214">
        <f t="shared" si="66"/>
        <v>0</v>
      </c>
      <c r="AQ271" s="214">
        <f t="shared" si="67"/>
        <v>0</v>
      </c>
      <c r="AR271" s="214">
        <f t="shared" si="68"/>
        <v>0</v>
      </c>
      <c r="AS271" s="214">
        <f t="shared" si="69"/>
        <v>0</v>
      </c>
      <c r="AT271" s="214">
        <f t="shared" si="70"/>
        <v>4023</v>
      </c>
      <c r="AU271" s="214">
        <f t="shared" si="71"/>
        <v>16092</v>
      </c>
      <c r="AV271" s="214">
        <f t="shared" si="72"/>
        <v>0</v>
      </c>
      <c r="AW271" s="215">
        <f t="shared" si="73"/>
        <v>20115</v>
      </c>
    </row>
    <row r="272" spans="1:49" ht="15" customHeight="1">
      <c r="A272" s="140" t="s">
        <v>350</v>
      </c>
      <c r="B272" s="211" t="s">
        <v>96</v>
      </c>
      <c r="C272" s="140" t="str">
        <f t="shared" si="61"/>
        <v>Saint John's Lutheran School - Lannon-WPCP</v>
      </c>
      <c r="D272" s="140">
        <v>13</v>
      </c>
      <c r="E272" s="140">
        <v>0</v>
      </c>
      <c r="F272" s="140">
        <v>0</v>
      </c>
      <c r="G272" s="140">
        <v>0</v>
      </c>
      <c r="H272" s="140">
        <v>0</v>
      </c>
      <c r="I272" s="140">
        <v>11</v>
      </c>
      <c r="J272" s="140">
        <v>74</v>
      </c>
      <c r="K272" s="140">
        <v>0</v>
      </c>
      <c r="L272" s="140">
        <f t="shared" si="62"/>
        <v>98</v>
      </c>
      <c r="N272" s="140">
        <v>5</v>
      </c>
      <c r="O272" s="140">
        <v>0</v>
      </c>
      <c r="P272" s="140">
        <v>0</v>
      </c>
      <c r="Q272" s="140">
        <v>0</v>
      </c>
      <c r="R272" s="140">
        <v>0</v>
      </c>
      <c r="S272" s="140">
        <v>0</v>
      </c>
      <c r="T272" s="140">
        <v>9</v>
      </c>
      <c r="U272" s="140">
        <v>0</v>
      </c>
      <c r="V272" s="140">
        <f t="shared" si="63"/>
        <v>14</v>
      </c>
      <c r="X272" s="98">
        <v>0</v>
      </c>
      <c r="Y272" s="98">
        <v>0</v>
      </c>
      <c r="Z272" s="98">
        <v>0</v>
      </c>
      <c r="AA272" s="98">
        <v>0</v>
      </c>
      <c r="AB272" s="98">
        <v>0</v>
      </c>
      <c r="AC272" s="98">
        <v>0</v>
      </c>
      <c r="AD272" s="98">
        <v>0</v>
      </c>
      <c r="AE272" s="98">
        <v>0</v>
      </c>
      <c r="AF272" s="98">
        <f t="shared" si="59"/>
        <v>0</v>
      </c>
      <c r="AH272" s="98">
        <v>7</v>
      </c>
      <c r="AJ272" s="98">
        <v>0</v>
      </c>
      <c r="AK272" s="98">
        <v>0</v>
      </c>
      <c r="AL272" s="380">
        <v>0</v>
      </c>
      <c r="AN272" s="214">
        <f t="shared" si="64"/>
        <v>46264.5</v>
      </c>
      <c r="AO272" s="214">
        <f t="shared" si="65"/>
        <v>10057.5</v>
      </c>
      <c r="AP272" s="214">
        <f t="shared" si="66"/>
        <v>0</v>
      </c>
      <c r="AQ272" s="214">
        <f t="shared" si="67"/>
        <v>0</v>
      </c>
      <c r="AR272" s="214">
        <f t="shared" si="68"/>
        <v>0</v>
      </c>
      <c r="AS272" s="214">
        <f t="shared" si="69"/>
        <v>0</v>
      </c>
      <c r="AT272" s="214">
        <f t="shared" si="70"/>
        <v>0</v>
      </c>
      <c r="AU272" s="214">
        <f t="shared" si="71"/>
        <v>36207</v>
      </c>
      <c r="AV272" s="214">
        <f t="shared" si="72"/>
        <v>0</v>
      </c>
      <c r="AW272" s="215">
        <f t="shared" si="73"/>
        <v>46264.5</v>
      </c>
    </row>
    <row r="273" spans="1:49" ht="15" customHeight="1">
      <c r="A273" s="140" t="s">
        <v>351</v>
      </c>
      <c r="B273" s="211" t="s">
        <v>96</v>
      </c>
      <c r="C273" s="140" t="str">
        <f t="shared" si="61"/>
        <v>Saint John's Lutheran School - Mayville-WPCP</v>
      </c>
      <c r="D273" s="140">
        <v>0</v>
      </c>
      <c r="E273" s="140">
        <v>0</v>
      </c>
      <c r="F273" s="140">
        <v>0</v>
      </c>
      <c r="G273" s="140">
        <v>0</v>
      </c>
      <c r="H273" s="140">
        <v>0</v>
      </c>
      <c r="I273" s="140">
        <v>10</v>
      </c>
      <c r="J273" s="140">
        <v>83</v>
      </c>
      <c r="K273" s="140">
        <v>0</v>
      </c>
      <c r="L273" s="140">
        <f t="shared" si="62"/>
        <v>93</v>
      </c>
      <c r="N273" s="140">
        <v>0</v>
      </c>
      <c r="O273" s="140">
        <v>0</v>
      </c>
      <c r="P273" s="140">
        <v>0</v>
      </c>
      <c r="Q273" s="140">
        <v>0</v>
      </c>
      <c r="R273" s="140">
        <v>0</v>
      </c>
      <c r="S273" s="140">
        <v>5</v>
      </c>
      <c r="T273" s="140">
        <v>14</v>
      </c>
      <c r="U273" s="140">
        <v>0</v>
      </c>
      <c r="V273" s="140">
        <f t="shared" si="63"/>
        <v>19</v>
      </c>
      <c r="X273" s="98">
        <v>0</v>
      </c>
      <c r="Y273" s="98">
        <v>0</v>
      </c>
      <c r="Z273" s="98">
        <v>0</v>
      </c>
      <c r="AA273" s="98">
        <v>0</v>
      </c>
      <c r="AB273" s="98">
        <v>0</v>
      </c>
      <c r="AC273" s="98">
        <v>0</v>
      </c>
      <c r="AD273" s="98">
        <v>0</v>
      </c>
      <c r="AE273" s="98">
        <v>0</v>
      </c>
      <c r="AF273" s="98">
        <f t="shared" si="59"/>
        <v>0</v>
      </c>
      <c r="AH273" s="98">
        <v>16</v>
      </c>
      <c r="AJ273" s="98">
        <v>0</v>
      </c>
      <c r="AK273" s="98">
        <v>0</v>
      </c>
      <c r="AL273" s="380">
        <v>0</v>
      </c>
      <c r="AN273" s="214">
        <f t="shared" si="64"/>
        <v>76437</v>
      </c>
      <c r="AO273" s="214">
        <f t="shared" si="65"/>
        <v>0</v>
      </c>
      <c r="AP273" s="214">
        <f t="shared" si="66"/>
        <v>0</v>
      </c>
      <c r="AQ273" s="214">
        <f t="shared" si="67"/>
        <v>0</v>
      </c>
      <c r="AR273" s="214">
        <f t="shared" si="68"/>
        <v>0</v>
      </c>
      <c r="AS273" s="214">
        <f t="shared" si="69"/>
        <v>0</v>
      </c>
      <c r="AT273" s="214">
        <f t="shared" si="70"/>
        <v>20115</v>
      </c>
      <c r="AU273" s="214">
        <f t="shared" si="71"/>
        <v>56322</v>
      </c>
      <c r="AV273" s="214">
        <f t="shared" si="72"/>
        <v>0</v>
      </c>
      <c r="AW273" s="215">
        <f t="shared" si="73"/>
        <v>76437</v>
      </c>
    </row>
    <row r="274" spans="1:49" ht="15" customHeight="1">
      <c r="A274" s="140" t="s">
        <v>465</v>
      </c>
      <c r="B274" s="211" t="s">
        <v>187</v>
      </c>
      <c r="C274" s="140" t="str">
        <f t="shared" si="61"/>
        <v>Saint John's Lutheran School - Milwaukee-MPCP</v>
      </c>
      <c r="D274" s="140">
        <v>36</v>
      </c>
      <c r="E274" s="140">
        <v>0</v>
      </c>
      <c r="F274" s="140">
        <v>0</v>
      </c>
      <c r="G274" s="140">
        <v>0</v>
      </c>
      <c r="H274" s="140">
        <v>0</v>
      </c>
      <c r="I274" s="140">
        <v>28</v>
      </c>
      <c r="J274" s="140">
        <v>197</v>
      </c>
      <c r="K274" s="140">
        <v>0</v>
      </c>
      <c r="L274" s="140">
        <f t="shared" si="62"/>
        <v>261</v>
      </c>
      <c r="N274" s="140">
        <v>27</v>
      </c>
      <c r="O274" s="140">
        <v>0</v>
      </c>
      <c r="P274" s="140">
        <v>0</v>
      </c>
      <c r="Q274" s="140">
        <v>0</v>
      </c>
      <c r="R274" s="140">
        <v>0</v>
      </c>
      <c r="S274" s="140">
        <v>22</v>
      </c>
      <c r="T274" s="140">
        <v>143</v>
      </c>
      <c r="U274" s="140">
        <v>0</v>
      </c>
      <c r="V274" s="140">
        <f t="shared" si="63"/>
        <v>192</v>
      </c>
      <c r="X274" s="98">
        <v>0</v>
      </c>
      <c r="Y274" s="98">
        <v>0</v>
      </c>
      <c r="Z274" s="98">
        <v>0</v>
      </c>
      <c r="AA274" s="98">
        <v>0</v>
      </c>
      <c r="AB274" s="98">
        <v>0</v>
      </c>
      <c r="AC274" s="98">
        <v>0</v>
      </c>
      <c r="AD274" s="98">
        <v>0</v>
      </c>
      <c r="AE274" s="98">
        <v>0</v>
      </c>
      <c r="AF274" s="98">
        <f t="shared" si="59"/>
        <v>0</v>
      </c>
      <c r="AH274" s="98">
        <v>111</v>
      </c>
      <c r="AJ274" s="98">
        <v>0</v>
      </c>
      <c r="AK274" s="98">
        <v>0</v>
      </c>
      <c r="AL274" s="380">
        <v>0</v>
      </c>
      <c r="AN274" s="214">
        <f t="shared" si="64"/>
        <v>718105.5</v>
      </c>
      <c r="AO274" s="214">
        <f t="shared" si="65"/>
        <v>54310.5</v>
      </c>
      <c r="AP274" s="214">
        <f t="shared" si="66"/>
        <v>0</v>
      </c>
      <c r="AQ274" s="214">
        <f t="shared" si="67"/>
        <v>0</v>
      </c>
      <c r="AR274" s="214">
        <f t="shared" si="68"/>
        <v>0</v>
      </c>
      <c r="AS274" s="214">
        <f t="shared" si="69"/>
        <v>0</v>
      </c>
      <c r="AT274" s="214">
        <f t="shared" si="70"/>
        <v>88506</v>
      </c>
      <c r="AU274" s="214">
        <f t="shared" si="71"/>
        <v>575289</v>
      </c>
      <c r="AV274" s="214">
        <f t="shared" si="72"/>
        <v>0</v>
      </c>
      <c r="AW274" s="215">
        <f t="shared" si="73"/>
        <v>718105.5</v>
      </c>
    </row>
    <row r="275" spans="1:49" ht="15" customHeight="1">
      <c r="A275" s="140" t="s">
        <v>465</v>
      </c>
      <c r="B275" s="211" t="s">
        <v>96</v>
      </c>
      <c r="C275" s="140" t="str">
        <f t="shared" si="61"/>
        <v>Saint John's Lutheran School - Milwaukee-WPCP</v>
      </c>
      <c r="D275" s="140">
        <v>36</v>
      </c>
      <c r="E275" s="140">
        <v>0</v>
      </c>
      <c r="F275" s="140">
        <v>0</v>
      </c>
      <c r="G275" s="140">
        <v>0</v>
      </c>
      <c r="H275" s="140">
        <v>0</v>
      </c>
      <c r="I275" s="140">
        <v>28</v>
      </c>
      <c r="J275" s="140">
        <v>197</v>
      </c>
      <c r="K275" s="140">
        <v>0</v>
      </c>
      <c r="L275" s="140">
        <f t="shared" si="62"/>
        <v>261</v>
      </c>
      <c r="N275" s="140">
        <v>1</v>
      </c>
      <c r="O275" s="140">
        <v>0</v>
      </c>
      <c r="P275" s="140">
        <v>0</v>
      </c>
      <c r="Q275" s="140">
        <v>0</v>
      </c>
      <c r="R275" s="140">
        <v>0</v>
      </c>
      <c r="S275" s="140">
        <v>3</v>
      </c>
      <c r="T275" s="140">
        <v>16</v>
      </c>
      <c r="U275" s="140">
        <v>0</v>
      </c>
      <c r="V275" s="140">
        <f t="shared" si="63"/>
        <v>20</v>
      </c>
      <c r="X275" s="98">
        <v>1</v>
      </c>
      <c r="Y275" s="98">
        <v>0</v>
      </c>
      <c r="Z275" s="98">
        <v>0</v>
      </c>
      <c r="AA275" s="98">
        <v>0</v>
      </c>
      <c r="AB275" s="98">
        <v>0</v>
      </c>
      <c r="AC275" s="98">
        <v>0</v>
      </c>
      <c r="AD275" s="98">
        <v>0</v>
      </c>
      <c r="AE275" s="98">
        <v>0</v>
      </c>
      <c r="AF275" s="98">
        <f t="shared" si="59"/>
        <v>1</v>
      </c>
      <c r="AH275" s="98">
        <v>10</v>
      </c>
      <c r="AJ275" s="98">
        <v>0</v>
      </c>
      <c r="AK275" s="98">
        <v>0</v>
      </c>
      <c r="AL275" s="380">
        <v>0</v>
      </c>
      <c r="AN275" s="214">
        <f t="shared" si="64"/>
        <v>78448.5</v>
      </c>
      <c r="AO275" s="214">
        <f t="shared" si="65"/>
        <v>2011.5</v>
      </c>
      <c r="AP275" s="214">
        <f t="shared" si="66"/>
        <v>0</v>
      </c>
      <c r="AQ275" s="214">
        <f t="shared" si="67"/>
        <v>0</v>
      </c>
      <c r="AR275" s="214">
        <f t="shared" si="68"/>
        <v>0</v>
      </c>
      <c r="AS275" s="214">
        <f t="shared" si="69"/>
        <v>0</v>
      </c>
      <c r="AT275" s="214">
        <f t="shared" si="70"/>
        <v>12069</v>
      </c>
      <c r="AU275" s="214">
        <f t="shared" si="71"/>
        <v>64368</v>
      </c>
      <c r="AV275" s="214">
        <f t="shared" si="72"/>
        <v>0</v>
      </c>
      <c r="AW275" s="215">
        <f t="shared" si="73"/>
        <v>78448.5</v>
      </c>
    </row>
    <row r="276" spans="1:49" ht="15" customHeight="1">
      <c r="A276" s="140" t="s">
        <v>597</v>
      </c>
      <c r="B276" s="211" t="s">
        <v>96</v>
      </c>
      <c r="C276" s="140" t="str">
        <f t="shared" si="61"/>
        <v>Saint John's Lutheran School - Newburg-WPCP</v>
      </c>
      <c r="D276" s="140">
        <v>3</v>
      </c>
      <c r="E276" s="140">
        <v>0</v>
      </c>
      <c r="F276" s="140">
        <v>0</v>
      </c>
      <c r="G276" s="140">
        <v>0</v>
      </c>
      <c r="H276" s="140">
        <v>0</v>
      </c>
      <c r="I276" s="140">
        <v>8</v>
      </c>
      <c r="J276" s="140">
        <v>52</v>
      </c>
      <c r="K276" s="140">
        <v>0</v>
      </c>
      <c r="L276" s="140">
        <f t="shared" si="62"/>
        <v>63</v>
      </c>
      <c r="N276" s="140">
        <v>1</v>
      </c>
      <c r="O276" s="140">
        <v>0</v>
      </c>
      <c r="P276" s="140">
        <v>0</v>
      </c>
      <c r="Q276" s="140">
        <v>0</v>
      </c>
      <c r="R276" s="140">
        <v>0</v>
      </c>
      <c r="S276" s="140">
        <v>2</v>
      </c>
      <c r="T276" s="140">
        <v>16</v>
      </c>
      <c r="U276" s="140">
        <v>0</v>
      </c>
      <c r="V276" s="140">
        <f t="shared" si="63"/>
        <v>19</v>
      </c>
      <c r="X276" s="98">
        <v>0</v>
      </c>
      <c r="Y276" s="98">
        <v>0</v>
      </c>
      <c r="Z276" s="98">
        <v>0</v>
      </c>
      <c r="AA276" s="98">
        <v>0</v>
      </c>
      <c r="AB276" s="98">
        <v>0</v>
      </c>
      <c r="AC276" s="98">
        <v>0</v>
      </c>
      <c r="AD276" s="98">
        <v>0</v>
      </c>
      <c r="AE276" s="98">
        <v>0</v>
      </c>
      <c r="AF276" s="98">
        <f t="shared" si="59"/>
        <v>0</v>
      </c>
      <c r="AH276" s="98">
        <v>13</v>
      </c>
      <c r="AJ276" s="98">
        <v>0</v>
      </c>
      <c r="AK276" s="98">
        <v>0</v>
      </c>
      <c r="AL276" s="380">
        <v>0</v>
      </c>
      <c r="AN276" s="214">
        <f t="shared" si="64"/>
        <v>74425.5</v>
      </c>
      <c r="AO276" s="214">
        <f t="shared" si="65"/>
        <v>2011.5</v>
      </c>
      <c r="AP276" s="214">
        <f t="shared" si="66"/>
        <v>0</v>
      </c>
      <c r="AQ276" s="214">
        <f t="shared" si="67"/>
        <v>0</v>
      </c>
      <c r="AR276" s="214">
        <f t="shared" si="68"/>
        <v>0</v>
      </c>
      <c r="AS276" s="214">
        <f t="shared" si="69"/>
        <v>0</v>
      </c>
      <c r="AT276" s="214">
        <f t="shared" si="70"/>
        <v>8046</v>
      </c>
      <c r="AU276" s="214">
        <f t="shared" si="71"/>
        <v>64368</v>
      </c>
      <c r="AV276" s="214">
        <f t="shared" si="72"/>
        <v>0</v>
      </c>
      <c r="AW276" s="215">
        <f t="shared" si="73"/>
        <v>74425.5</v>
      </c>
    </row>
    <row r="277" spans="1:49" ht="15" customHeight="1">
      <c r="A277" s="140" t="s">
        <v>245</v>
      </c>
      <c r="B277" s="211" t="s">
        <v>96</v>
      </c>
      <c r="C277" s="140" t="str">
        <f t="shared" si="61"/>
        <v>Saint John's Lutheran School - Portage-WPCP</v>
      </c>
      <c r="D277" s="140">
        <v>0</v>
      </c>
      <c r="E277" s="140">
        <v>0</v>
      </c>
      <c r="F277" s="140">
        <v>0</v>
      </c>
      <c r="G277" s="140">
        <v>0</v>
      </c>
      <c r="H277" s="140">
        <v>0</v>
      </c>
      <c r="I277" s="140">
        <v>13</v>
      </c>
      <c r="J277" s="140">
        <v>76</v>
      </c>
      <c r="K277" s="140">
        <v>0</v>
      </c>
      <c r="L277" s="140">
        <f t="shared" si="62"/>
        <v>89</v>
      </c>
      <c r="N277" s="140">
        <v>0</v>
      </c>
      <c r="O277" s="140">
        <v>0</v>
      </c>
      <c r="P277" s="140">
        <v>0</v>
      </c>
      <c r="Q277" s="140">
        <v>0</v>
      </c>
      <c r="R277" s="140">
        <v>0</v>
      </c>
      <c r="S277" s="140">
        <v>3</v>
      </c>
      <c r="T277" s="140">
        <v>24</v>
      </c>
      <c r="U277" s="140">
        <v>0</v>
      </c>
      <c r="V277" s="140">
        <f t="shared" si="63"/>
        <v>27</v>
      </c>
      <c r="X277" s="98">
        <v>0</v>
      </c>
      <c r="Y277" s="98">
        <v>0</v>
      </c>
      <c r="Z277" s="98">
        <v>0</v>
      </c>
      <c r="AA277" s="98">
        <v>0</v>
      </c>
      <c r="AB277" s="98">
        <v>0</v>
      </c>
      <c r="AC277" s="98">
        <v>0</v>
      </c>
      <c r="AD277" s="98">
        <v>0</v>
      </c>
      <c r="AE277" s="98">
        <v>0</v>
      </c>
      <c r="AF277" s="98">
        <f t="shared" si="59"/>
        <v>0</v>
      </c>
      <c r="AH277" s="98">
        <v>20</v>
      </c>
      <c r="AJ277" s="98">
        <v>0</v>
      </c>
      <c r="AK277" s="98">
        <v>0</v>
      </c>
      <c r="AL277" s="380">
        <v>0</v>
      </c>
      <c r="AN277" s="214">
        <f t="shared" si="64"/>
        <v>108621</v>
      </c>
      <c r="AO277" s="214">
        <f t="shared" si="65"/>
        <v>0</v>
      </c>
      <c r="AP277" s="214">
        <f t="shared" si="66"/>
        <v>0</v>
      </c>
      <c r="AQ277" s="214">
        <f t="shared" si="67"/>
        <v>0</v>
      </c>
      <c r="AR277" s="214">
        <f t="shared" si="68"/>
        <v>0</v>
      </c>
      <c r="AS277" s="214">
        <f t="shared" si="69"/>
        <v>0</v>
      </c>
      <c r="AT277" s="214">
        <f t="shared" si="70"/>
        <v>12069</v>
      </c>
      <c r="AU277" s="214">
        <f t="shared" si="71"/>
        <v>96552</v>
      </c>
      <c r="AV277" s="214">
        <f t="shared" si="72"/>
        <v>0</v>
      </c>
      <c r="AW277" s="215">
        <f t="shared" si="73"/>
        <v>108621</v>
      </c>
    </row>
    <row r="278" spans="1:49" ht="15" customHeight="1">
      <c r="A278" s="140" t="s">
        <v>144</v>
      </c>
      <c r="B278" s="211" t="s">
        <v>188</v>
      </c>
      <c r="C278" s="140" t="str">
        <f t="shared" si="61"/>
        <v>Saint John's Lutheran School - Racine-RPCP</v>
      </c>
      <c r="D278" s="140">
        <v>20</v>
      </c>
      <c r="E278" s="140">
        <v>0</v>
      </c>
      <c r="F278" s="140">
        <v>1</v>
      </c>
      <c r="G278" s="140">
        <v>0</v>
      </c>
      <c r="H278" s="140">
        <v>0</v>
      </c>
      <c r="I278" s="140">
        <v>24</v>
      </c>
      <c r="J278" s="140">
        <v>187</v>
      </c>
      <c r="K278" s="140">
        <v>0</v>
      </c>
      <c r="L278" s="140">
        <f t="shared" si="62"/>
        <v>232</v>
      </c>
      <c r="N278" s="140">
        <v>15</v>
      </c>
      <c r="O278" s="140">
        <v>0</v>
      </c>
      <c r="P278" s="140">
        <v>0</v>
      </c>
      <c r="Q278" s="140">
        <v>0</v>
      </c>
      <c r="R278" s="140">
        <v>0</v>
      </c>
      <c r="S278" s="140">
        <v>17</v>
      </c>
      <c r="T278" s="140">
        <v>152</v>
      </c>
      <c r="U278" s="140">
        <v>0</v>
      </c>
      <c r="V278" s="140">
        <f t="shared" si="63"/>
        <v>184</v>
      </c>
      <c r="X278" s="98">
        <v>0</v>
      </c>
      <c r="Y278" s="98">
        <v>0</v>
      </c>
      <c r="Z278" s="98">
        <v>0</v>
      </c>
      <c r="AA278" s="98">
        <v>0</v>
      </c>
      <c r="AB278" s="98">
        <v>0</v>
      </c>
      <c r="AC278" s="98">
        <v>0</v>
      </c>
      <c r="AD278" s="98">
        <v>6</v>
      </c>
      <c r="AE278" s="98">
        <v>0</v>
      </c>
      <c r="AF278" s="98">
        <f t="shared" si="59"/>
        <v>6</v>
      </c>
      <c r="AH278" s="98">
        <v>113</v>
      </c>
      <c r="AJ278" s="98">
        <v>0</v>
      </c>
      <c r="AK278" s="98">
        <v>0</v>
      </c>
      <c r="AL278" s="380">
        <v>0</v>
      </c>
      <c r="AN278" s="214">
        <f t="shared" si="64"/>
        <v>710059.5</v>
      </c>
      <c r="AO278" s="214">
        <f t="shared" si="65"/>
        <v>30172.5</v>
      </c>
      <c r="AP278" s="214">
        <f t="shared" si="66"/>
        <v>0</v>
      </c>
      <c r="AQ278" s="214">
        <f t="shared" si="67"/>
        <v>0</v>
      </c>
      <c r="AR278" s="214">
        <f t="shared" si="68"/>
        <v>0</v>
      </c>
      <c r="AS278" s="214">
        <f t="shared" si="69"/>
        <v>0</v>
      </c>
      <c r="AT278" s="214">
        <f t="shared" si="70"/>
        <v>68391</v>
      </c>
      <c r="AU278" s="214">
        <f t="shared" si="71"/>
        <v>611496</v>
      </c>
      <c r="AV278" s="214">
        <f t="shared" si="72"/>
        <v>0</v>
      </c>
      <c r="AW278" s="215">
        <f t="shared" si="73"/>
        <v>710059.5</v>
      </c>
    </row>
    <row r="279" spans="1:49" ht="15" customHeight="1">
      <c r="A279" s="140" t="s">
        <v>466</v>
      </c>
      <c r="B279" s="211" t="s">
        <v>96</v>
      </c>
      <c r="C279" s="140" t="str">
        <f t="shared" si="61"/>
        <v>Saint John's Lutheran School - Watertown-WPCP</v>
      </c>
      <c r="D279" s="140">
        <v>0</v>
      </c>
      <c r="E279" s="140">
        <v>0</v>
      </c>
      <c r="F279" s="140">
        <v>0</v>
      </c>
      <c r="G279" s="140">
        <v>0</v>
      </c>
      <c r="H279" s="140">
        <v>0</v>
      </c>
      <c r="I279" s="140">
        <v>16</v>
      </c>
      <c r="J279" s="140">
        <v>86</v>
      </c>
      <c r="K279" s="140">
        <v>0</v>
      </c>
      <c r="L279" s="140">
        <f t="shared" si="62"/>
        <v>102</v>
      </c>
      <c r="N279" s="140">
        <v>0</v>
      </c>
      <c r="O279" s="140">
        <v>0</v>
      </c>
      <c r="P279" s="140">
        <v>0</v>
      </c>
      <c r="Q279" s="140">
        <v>0</v>
      </c>
      <c r="R279" s="140">
        <v>0</v>
      </c>
      <c r="S279" s="140">
        <v>1</v>
      </c>
      <c r="T279" s="140">
        <v>6</v>
      </c>
      <c r="U279" s="140">
        <v>0</v>
      </c>
      <c r="V279" s="140">
        <f t="shared" si="63"/>
        <v>7</v>
      </c>
      <c r="X279" s="98">
        <v>0</v>
      </c>
      <c r="Y279" s="98">
        <v>0</v>
      </c>
      <c r="Z279" s="98">
        <v>0</v>
      </c>
      <c r="AA279" s="98">
        <v>0</v>
      </c>
      <c r="AB279" s="98">
        <v>0</v>
      </c>
      <c r="AC279" s="98">
        <v>2</v>
      </c>
      <c r="AD279" s="98">
        <v>2</v>
      </c>
      <c r="AE279" s="98">
        <v>0</v>
      </c>
      <c r="AF279" s="98">
        <f t="shared" si="59"/>
        <v>4</v>
      </c>
      <c r="AH279" s="98">
        <v>4</v>
      </c>
      <c r="AJ279" s="98">
        <v>0</v>
      </c>
      <c r="AK279" s="98">
        <v>0</v>
      </c>
      <c r="AL279" s="380">
        <v>0</v>
      </c>
      <c r="AN279" s="214">
        <f t="shared" si="64"/>
        <v>28161</v>
      </c>
      <c r="AO279" s="214">
        <f t="shared" si="65"/>
        <v>0</v>
      </c>
      <c r="AP279" s="214">
        <f t="shared" si="66"/>
        <v>0</v>
      </c>
      <c r="AQ279" s="214">
        <f t="shared" si="67"/>
        <v>0</v>
      </c>
      <c r="AR279" s="214">
        <f t="shared" si="68"/>
        <v>0</v>
      </c>
      <c r="AS279" s="214">
        <f t="shared" si="69"/>
        <v>0</v>
      </c>
      <c r="AT279" s="214">
        <f t="shared" si="70"/>
        <v>4023</v>
      </c>
      <c r="AU279" s="214">
        <f t="shared" si="71"/>
        <v>24138</v>
      </c>
      <c r="AV279" s="214">
        <f t="shared" si="72"/>
        <v>0</v>
      </c>
      <c r="AW279" s="215">
        <f t="shared" si="73"/>
        <v>28161</v>
      </c>
    </row>
    <row r="280" spans="1:49" ht="15" customHeight="1">
      <c r="A280" s="140" t="s">
        <v>467</v>
      </c>
      <c r="B280" s="211" t="s">
        <v>96</v>
      </c>
      <c r="C280" s="140" t="str">
        <f t="shared" si="61"/>
        <v>Saint John's Lutheran School - West Bend-WPCP</v>
      </c>
      <c r="D280" s="140">
        <v>40</v>
      </c>
      <c r="E280" s="140">
        <v>0</v>
      </c>
      <c r="F280" s="140">
        <v>0</v>
      </c>
      <c r="G280" s="140">
        <v>0</v>
      </c>
      <c r="H280" s="140">
        <v>0</v>
      </c>
      <c r="I280" s="140">
        <v>27</v>
      </c>
      <c r="J280" s="140">
        <v>171</v>
      </c>
      <c r="K280" s="140">
        <v>0</v>
      </c>
      <c r="L280" s="140">
        <f t="shared" si="62"/>
        <v>238</v>
      </c>
      <c r="N280" s="140">
        <v>11</v>
      </c>
      <c r="O280" s="140">
        <v>0</v>
      </c>
      <c r="P280" s="140">
        <v>0</v>
      </c>
      <c r="Q280" s="140">
        <v>0</v>
      </c>
      <c r="R280" s="140">
        <v>0</v>
      </c>
      <c r="S280" s="140">
        <v>6</v>
      </c>
      <c r="T280" s="140">
        <v>32</v>
      </c>
      <c r="U280" s="140">
        <v>0</v>
      </c>
      <c r="V280" s="140">
        <f t="shared" si="63"/>
        <v>49</v>
      </c>
      <c r="X280" s="98">
        <v>0</v>
      </c>
      <c r="Y280" s="98">
        <v>0</v>
      </c>
      <c r="Z280" s="98">
        <v>0</v>
      </c>
      <c r="AA280" s="98">
        <v>0</v>
      </c>
      <c r="AB280" s="98">
        <v>0</v>
      </c>
      <c r="AC280" s="98">
        <v>0</v>
      </c>
      <c r="AD280" s="98">
        <v>0</v>
      </c>
      <c r="AE280" s="98">
        <v>0</v>
      </c>
      <c r="AF280" s="98">
        <f t="shared" si="59"/>
        <v>0</v>
      </c>
      <c r="AH280" s="98">
        <v>32</v>
      </c>
      <c r="AJ280" s="98">
        <v>0</v>
      </c>
      <c r="AK280" s="98">
        <v>0</v>
      </c>
      <c r="AL280" s="380">
        <v>0</v>
      </c>
      <c r="AN280" s="214">
        <f t="shared" si="64"/>
        <v>175000.5</v>
      </c>
      <c r="AO280" s="214">
        <f t="shared" si="65"/>
        <v>22126.5</v>
      </c>
      <c r="AP280" s="214">
        <f t="shared" si="66"/>
        <v>0</v>
      </c>
      <c r="AQ280" s="214">
        <f t="shared" si="67"/>
        <v>0</v>
      </c>
      <c r="AR280" s="214">
        <f t="shared" si="68"/>
        <v>0</v>
      </c>
      <c r="AS280" s="214">
        <f t="shared" si="69"/>
        <v>0</v>
      </c>
      <c r="AT280" s="214">
        <f t="shared" si="70"/>
        <v>24138</v>
      </c>
      <c r="AU280" s="214">
        <f t="shared" si="71"/>
        <v>128736</v>
      </c>
      <c r="AV280" s="214">
        <f t="shared" si="72"/>
        <v>0</v>
      </c>
      <c r="AW280" s="215">
        <f t="shared" si="73"/>
        <v>175000.5</v>
      </c>
    </row>
    <row r="281" spans="1:49" ht="15" customHeight="1">
      <c r="A281" s="140" t="s">
        <v>145</v>
      </c>
      <c r="B281" s="211" t="s">
        <v>187</v>
      </c>
      <c r="C281" s="140" t="str">
        <f t="shared" si="61"/>
        <v>Saint Josaphat Parish School-MPCP</v>
      </c>
      <c r="D281" s="140">
        <v>0</v>
      </c>
      <c r="E281" s="140">
        <v>16</v>
      </c>
      <c r="F281" s="140">
        <v>0</v>
      </c>
      <c r="G281" s="140">
        <v>0</v>
      </c>
      <c r="H281" s="140">
        <v>0</v>
      </c>
      <c r="I281" s="140">
        <v>16</v>
      </c>
      <c r="J281" s="140">
        <v>154</v>
      </c>
      <c r="K281" s="140">
        <v>0</v>
      </c>
      <c r="L281" s="140">
        <f t="shared" si="62"/>
        <v>186</v>
      </c>
      <c r="N281" s="140">
        <v>0</v>
      </c>
      <c r="O281" s="140">
        <v>16</v>
      </c>
      <c r="P281" s="140">
        <v>0</v>
      </c>
      <c r="Q281" s="140">
        <v>0</v>
      </c>
      <c r="R281" s="140">
        <v>0</v>
      </c>
      <c r="S281" s="140">
        <v>15</v>
      </c>
      <c r="T281" s="140">
        <v>141</v>
      </c>
      <c r="U281" s="140">
        <v>0</v>
      </c>
      <c r="V281" s="140">
        <f t="shared" si="63"/>
        <v>172</v>
      </c>
      <c r="X281" s="98">
        <v>0</v>
      </c>
      <c r="Y281" s="98">
        <v>0</v>
      </c>
      <c r="Z281" s="98">
        <v>0</v>
      </c>
      <c r="AA281" s="98">
        <v>0</v>
      </c>
      <c r="AB281" s="98">
        <v>0</v>
      </c>
      <c r="AC281" s="98">
        <v>0</v>
      </c>
      <c r="AD281" s="98">
        <v>0</v>
      </c>
      <c r="AE281" s="98">
        <v>0</v>
      </c>
      <c r="AF281" s="98">
        <f t="shared" si="59"/>
        <v>0</v>
      </c>
      <c r="AH281" s="98">
        <v>117</v>
      </c>
      <c r="AJ281" s="98">
        <v>0</v>
      </c>
      <c r="AK281" s="98">
        <v>0</v>
      </c>
      <c r="AL281" s="380">
        <v>0</v>
      </c>
      <c r="AN281" s="214">
        <f t="shared" si="64"/>
        <v>666208.8</v>
      </c>
      <c r="AO281" s="214">
        <f t="shared" si="65"/>
        <v>0</v>
      </c>
      <c r="AP281" s="214">
        <f t="shared" si="66"/>
        <v>38620.8</v>
      </c>
      <c r="AQ281" s="214">
        <f t="shared" si="67"/>
        <v>0</v>
      </c>
      <c r="AR281" s="214">
        <f t="shared" si="68"/>
        <v>0</v>
      </c>
      <c r="AS281" s="214">
        <f t="shared" si="69"/>
        <v>0</v>
      </c>
      <c r="AT281" s="214">
        <f t="shared" si="70"/>
        <v>60345</v>
      </c>
      <c r="AU281" s="214">
        <f t="shared" si="71"/>
        <v>567243</v>
      </c>
      <c r="AV281" s="214">
        <f t="shared" si="72"/>
        <v>0</v>
      </c>
      <c r="AW281" s="215">
        <f t="shared" si="73"/>
        <v>666208.8</v>
      </c>
    </row>
    <row r="282" spans="1:49" ht="15" customHeight="1">
      <c r="A282" s="140" t="s">
        <v>146</v>
      </c>
      <c r="B282" s="211" t="s">
        <v>187</v>
      </c>
      <c r="C282" s="140" t="str">
        <f t="shared" si="61"/>
        <v>Saint Joseph Academy - Milwaukee-MPCP</v>
      </c>
      <c r="D282" s="140">
        <v>0</v>
      </c>
      <c r="E282" s="140">
        <v>63</v>
      </c>
      <c r="F282" s="140">
        <v>0</v>
      </c>
      <c r="G282" s="140">
        <v>0</v>
      </c>
      <c r="H282" s="140">
        <v>0</v>
      </c>
      <c r="I282" s="140">
        <v>53</v>
      </c>
      <c r="J282" s="140">
        <v>355</v>
      </c>
      <c r="K282" s="140">
        <v>0</v>
      </c>
      <c r="L282" s="140">
        <f t="shared" si="62"/>
        <v>471</v>
      </c>
      <c r="N282" s="140">
        <v>0</v>
      </c>
      <c r="O282" s="140">
        <v>61</v>
      </c>
      <c r="P282" s="140">
        <v>0</v>
      </c>
      <c r="Q282" s="140">
        <v>0</v>
      </c>
      <c r="R282" s="140">
        <v>0</v>
      </c>
      <c r="S282" s="140">
        <v>51</v>
      </c>
      <c r="T282" s="140">
        <v>348</v>
      </c>
      <c r="U282" s="140">
        <v>0</v>
      </c>
      <c r="V282" s="140">
        <f t="shared" si="63"/>
        <v>460</v>
      </c>
      <c r="X282" s="98">
        <v>0</v>
      </c>
      <c r="Y282" s="98">
        <v>0</v>
      </c>
      <c r="Z282" s="98">
        <v>0</v>
      </c>
      <c r="AA282" s="98">
        <v>0</v>
      </c>
      <c r="AB282" s="98">
        <v>0</v>
      </c>
      <c r="AC282" s="98">
        <v>1</v>
      </c>
      <c r="AD282" s="98">
        <v>8</v>
      </c>
      <c r="AE282" s="98">
        <v>0</v>
      </c>
      <c r="AF282" s="98">
        <f t="shared" si="59"/>
        <v>9</v>
      </c>
      <c r="AH282" s="98">
        <v>308</v>
      </c>
      <c r="AJ282" s="98">
        <v>46</v>
      </c>
      <c r="AK282" s="98">
        <v>0</v>
      </c>
      <c r="AL282" s="380">
        <v>15404.630000000012</v>
      </c>
      <c r="AN282" s="214">
        <f t="shared" si="64"/>
        <v>1752418.8</v>
      </c>
      <c r="AO282" s="214">
        <f t="shared" si="65"/>
        <v>0</v>
      </c>
      <c r="AP282" s="214">
        <f t="shared" si="66"/>
        <v>147241.8</v>
      </c>
      <c r="AQ282" s="214">
        <f t="shared" si="67"/>
        <v>0</v>
      </c>
      <c r="AR282" s="214">
        <f t="shared" si="68"/>
        <v>0</v>
      </c>
      <c r="AS282" s="214">
        <f t="shared" si="69"/>
        <v>0</v>
      </c>
      <c r="AT282" s="214">
        <f t="shared" si="70"/>
        <v>205173</v>
      </c>
      <c r="AU282" s="214">
        <f t="shared" si="71"/>
        <v>1400004</v>
      </c>
      <c r="AV282" s="214">
        <f t="shared" si="72"/>
        <v>0</v>
      </c>
      <c r="AW282" s="215">
        <f t="shared" si="73"/>
        <v>1752418.8</v>
      </c>
    </row>
    <row r="283" spans="1:49" ht="15" customHeight="1">
      <c r="A283" s="140" t="s">
        <v>146</v>
      </c>
      <c r="B283" s="211" t="s">
        <v>96</v>
      </c>
      <c r="C283" s="140" t="str">
        <f t="shared" si="61"/>
        <v>Saint Joseph Academy - Milwaukee-WPCP</v>
      </c>
      <c r="D283" s="140">
        <v>0</v>
      </c>
      <c r="E283" s="140">
        <v>63</v>
      </c>
      <c r="F283" s="140">
        <v>0</v>
      </c>
      <c r="G283" s="140">
        <v>0</v>
      </c>
      <c r="H283" s="140">
        <v>0</v>
      </c>
      <c r="I283" s="140">
        <v>53</v>
      </c>
      <c r="J283" s="140">
        <v>355</v>
      </c>
      <c r="K283" s="140">
        <v>0</v>
      </c>
      <c r="L283" s="140">
        <f t="shared" si="62"/>
        <v>471</v>
      </c>
      <c r="N283" s="140">
        <v>0</v>
      </c>
      <c r="O283" s="140">
        <v>1</v>
      </c>
      <c r="P283" s="140">
        <v>0</v>
      </c>
      <c r="Q283" s="140">
        <v>0</v>
      </c>
      <c r="R283" s="140">
        <v>0</v>
      </c>
      <c r="S283" s="140">
        <v>1</v>
      </c>
      <c r="T283" s="140">
        <v>8</v>
      </c>
      <c r="U283" s="140">
        <v>0</v>
      </c>
      <c r="V283" s="140">
        <f t="shared" si="63"/>
        <v>10</v>
      </c>
      <c r="X283" s="98">
        <v>0</v>
      </c>
      <c r="Y283" s="98">
        <v>1</v>
      </c>
      <c r="Z283" s="98">
        <v>0</v>
      </c>
      <c r="AA283" s="98">
        <v>0</v>
      </c>
      <c r="AB283" s="98">
        <v>0</v>
      </c>
      <c r="AC283" s="98">
        <v>2</v>
      </c>
      <c r="AD283" s="98">
        <v>0</v>
      </c>
      <c r="AE283" s="98">
        <v>0</v>
      </c>
      <c r="AF283" s="98">
        <f t="shared" si="59"/>
        <v>3</v>
      </c>
      <c r="AH283" s="98">
        <v>7</v>
      </c>
      <c r="AJ283" s="98">
        <v>4</v>
      </c>
      <c r="AK283" s="98">
        <v>0</v>
      </c>
      <c r="AL283" s="380">
        <v>542.79</v>
      </c>
      <c r="AN283" s="214">
        <f t="shared" si="64"/>
        <v>38620.8</v>
      </c>
      <c r="AO283" s="214">
        <f t="shared" si="65"/>
        <v>0</v>
      </c>
      <c r="AP283" s="214">
        <f t="shared" si="66"/>
        <v>2413.8</v>
      </c>
      <c r="AQ283" s="214">
        <f t="shared" si="67"/>
        <v>0</v>
      </c>
      <c r="AR283" s="214">
        <f t="shared" si="68"/>
        <v>0</v>
      </c>
      <c r="AS283" s="214">
        <f t="shared" si="69"/>
        <v>0</v>
      </c>
      <c r="AT283" s="214">
        <f t="shared" si="70"/>
        <v>4023</v>
      </c>
      <c r="AU283" s="214">
        <f t="shared" si="71"/>
        <v>32184</v>
      </c>
      <c r="AV283" s="214">
        <f t="shared" si="72"/>
        <v>0</v>
      </c>
      <c r="AW283" s="215">
        <f t="shared" si="73"/>
        <v>38620.8</v>
      </c>
    </row>
    <row r="284" spans="1:49" ht="15" customHeight="1">
      <c r="A284" s="140" t="s">
        <v>147</v>
      </c>
      <c r="B284" s="211" t="s">
        <v>96</v>
      </c>
      <c r="C284" s="140" t="str">
        <f t="shared" si="61"/>
        <v>Saint Joseph Catholic Academy - Kenosha-WPCP</v>
      </c>
      <c r="D284" s="140">
        <v>40</v>
      </c>
      <c r="E284" s="140">
        <v>0</v>
      </c>
      <c r="F284" s="140">
        <v>0</v>
      </c>
      <c r="G284" s="140">
        <v>0</v>
      </c>
      <c r="H284" s="140">
        <v>0</v>
      </c>
      <c r="I284" s="140">
        <v>42</v>
      </c>
      <c r="J284" s="140">
        <v>412</v>
      </c>
      <c r="K284" s="140">
        <v>253</v>
      </c>
      <c r="L284" s="140">
        <f t="shared" si="62"/>
        <v>747</v>
      </c>
      <c r="N284" s="140">
        <v>11</v>
      </c>
      <c r="O284" s="140">
        <v>0</v>
      </c>
      <c r="P284" s="140">
        <v>0</v>
      </c>
      <c r="Q284" s="140">
        <v>0</v>
      </c>
      <c r="R284" s="140">
        <v>0</v>
      </c>
      <c r="S284" s="140">
        <v>12</v>
      </c>
      <c r="T284" s="140">
        <v>107</v>
      </c>
      <c r="U284" s="140">
        <v>46</v>
      </c>
      <c r="V284" s="140">
        <f t="shared" si="63"/>
        <v>176</v>
      </c>
      <c r="X284" s="98">
        <v>0</v>
      </c>
      <c r="Y284" s="98">
        <v>0</v>
      </c>
      <c r="Z284" s="98">
        <v>0</v>
      </c>
      <c r="AA284" s="98">
        <v>0</v>
      </c>
      <c r="AB284" s="98">
        <v>0</v>
      </c>
      <c r="AC284" s="98">
        <v>0</v>
      </c>
      <c r="AD284" s="98">
        <v>0</v>
      </c>
      <c r="AE284" s="98">
        <v>0</v>
      </c>
      <c r="AF284" s="98">
        <f t="shared" si="59"/>
        <v>0</v>
      </c>
      <c r="AH284" s="98">
        <v>119</v>
      </c>
      <c r="AJ284" s="98">
        <v>0</v>
      </c>
      <c r="AK284" s="98">
        <v>0</v>
      </c>
      <c r="AL284" s="380">
        <v>0</v>
      </c>
      <c r="AN284" s="214">
        <f t="shared" si="64"/>
        <v>700779.5</v>
      </c>
      <c r="AO284" s="214">
        <f t="shared" si="65"/>
        <v>22126.5</v>
      </c>
      <c r="AP284" s="214">
        <f t="shared" si="66"/>
        <v>0</v>
      </c>
      <c r="AQ284" s="214">
        <f t="shared" si="67"/>
        <v>0</v>
      </c>
      <c r="AR284" s="214">
        <f t="shared" si="68"/>
        <v>0</v>
      </c>
      <c r="AS284" s="214">
        <f t="shared" si="69"/>
        <v>0</v>
      </c>
      <c r="AT284" s="214">
        <f t="shared" si="70"/>
        <v>48276</v>
      </c>
      <c r="AU284" s="214">
        <f t="shared" si="71"/>
        <v>430461</v>
      </c>
      <c r="AV284" s="214">
        <f t="shared" si="72"/>
        <v>199916</v>
      </c>
      <c r="AW284" s="215">
        <f t="shared" si="73"/>
        <v>700779.5</v>
      </c>
    </row>
    <row r="285" spans="1:49" ht="15" customHeight="1">
      <c r="A285" s="140" t="s">
        <v>178</v>
      </c>
      <c r="B285" s="211" t="s">
        <v>96</v>
      </c>
      <c r="C285" s="140" t="str">
        <f t="shared" si="61"/>
        <v>Saint Joseph Catholic School - Boyd-WPCP</v>
      </c>
      <c r="D285" s="140">
        <v>12</v>
      </c>
      <c r="E285" s="140">
        <v>0</v>
      </c>
      <c r="F285" s="140">
        <v>0</v>
      </c>
      <c r="G285" s="140">
        <v>0</v>
      </c>
      <c r="H285" s="140">
        <v>0</v>
      </c>
      <c r="I285" s="140">
        <v>6</v>
      </c>
      <c r="J285" s="140">
        <v>27</v>
      </c>
      <c r="K285" s="140">
        <v>0</v>
      </c>
      <c r="L285" s="140">
        <f t="shared" si="62"/>
        <v>45</v>
      </c>
      <c r="N285" s="140">
        <v>6</v>
      </c>
      <c r="O285" s="140">
        <v>0</v>
      </c>
      <c r="P285" s="140">
        <v>0</v>
      </c>
      <c r="Q285" s="140">
        <v>0</v>
      </c>
      <c r="R285" s="140">
        <v>0</v>
      </c>
      <c r="S285" s="140">
        <v>3</v>
      </c>
      <c r="T285" s="140">
        <v>12</v>
      </c>
      <c r="U285" s="140">
        <v>0</v>
      </c>
      <c r="V285" s="140">
        <f t="shared" si="63"/>
        <v>21</v>
      </c>
      <c r="X285" s="98">
        <v>0</v>
      </c>
      <c r="Y285" s="98">
        <v>0</v>
      </c>
      <c r="Z285" s="98">
        <v>0</v>
      </c>
      <c r="AA285" s="98">
        <v>0</v>
      </c>
      <c r="AB285" s="98">
        <v>0</v>
      </c>
      <c r="AC285" s="98">
        <v>0</v>
      </c>
      <c r="AD285" s="98">
        <v>0</v>
      </c>
      <c r="AE285" s="98">
        <v>0</v>
      </c>
      <c r="AF285" s="98">
        <f t="shared" si="59"/>
        <v>0</v>
      </c>
      <c r="AH285" s="98">
        <v>14</v>
      </c>
      <c r="AJ285" s="98">
        <v>0</v>
      </c>
      <c r="AK285" s="98">
        <v>0</v>
      </c>
      <c r="AL285" s="380">
        <v>0</v>
      </c>
      <c r="AN285" s="214">
        <f t="shared" si="64"/>
        <v>72414</v>
      </c>
      <c r="AO285" s="214">
        <f t="shared" si="65"/>
        <v>12069</v>
      </c>
      <c r="AP285" s="214">
        <f t="shared" si="66"/>
        <v>0</v>
      </c>
      <c r="AQ285" s="214">
        <f t="shared" si="67"/>
        <v>0</v>
      </c>
      <c r="AR285" s="214">
        <f t="shared" si="68"/>
        <v>0</v>
      </c>
      <c r="AS285" s="214">
        <f t="shared" si="69"/>
        <v>0</v>
      </c>
      <c r="AT285" s="214">
        <f t="shared" si="70"/>
        <v>12069</v>
      </c>
      <c r="AU285" s="214">
        <f t="shared" si="71"/>
        <v>48276</v>
      </c>
      <c r="AV285" s="214">
        <f t="shared" si="72"/>
        <v>0</v>
      </c>
      <c r="AW285" s="215">
        <f t="shared" si="73"/>
        <v>72414</v>
      </c>
    </row>
    <row r="286" spans="1:49" ht="15" customHeight="1">
      <c r="A286" s="140" t="s">
        <v>352</v>
      </c>
      <c r="B286" s="211" t="s">
        <v>96</v>
      </c>
      <c r="C286" s="140" t="str">
        <f t="shared" si="61"/>
        <v>Saint Joseph Parish School - Grafton-WPCP</v>
      </c>
      <c r="D286" s="140">
        <v>22</v>
      </c>
      <c r="E286" s="140">
        <v>0</v>
      </c>
      <c r="F286" s="140">
        <v>0</v>
      </c>
      <c r="G286" s="140">
        <v>0</v>
      </c>
      <c r="H286" s="140">
        <v>0</v>
      </c>
      <c r="I286" s="140">
        <v>10</v>
      </c>
      <c r="J286" s="140">
        <v>82</v>
      </c>
      <c r="K286" s="140">
        <v>0</v>
      </c>
      <c r="L286" s="140">
        <f t="shared" si="62"/>
        <v>114</v>
      </c>
      <c r="N286" s="140">
        <v>3</v>
      </c>
      <c r="O286" s="140">
        <v>0</v>
      </c>
      <c r="P286" s="140">
        <v>0</v>
      </c>
      <c r="Q286" s="140">
        <v>0</v>
      </c>
      <c r="R286" s="140">
        <v>0</v>
      </c>
      <c r="S286" s="140">
        <v>2</v>
      </c>
      <c r="T286" s="140">
        <v>3</v>
      </c>
      <c r="U286" s="140">
        <v>0</v>
      </c>
      <c r="V286" s="140">
        <f t="shared" si="63"/>
        <v>8</v>
      </c>
      <c r="X286" s="98">
        <v>0</v>
      </c>
      <c r="Y286" s="98">
        <v>0</v>
      </c>
      <c r="Z286" s="98">
        <v>0</v>
      </c>
      <c r="AA286" s="98">
        <v>0</v>
      </c>
      <c r="AB286" s="98">
        <v>0</v>
      </c>
      <c r="AC286" s="98">
        <v>0</v>
      </c>
      <c r="AD286" s="98">
        <v>0</v>
      </c>
      <c r="AE286" s="98">
        <v>0</v>
      </c>
      <c r="AF286" s="98">
        <f t="shared" si="59"/>
        <v>0</v>
      </c>
      <c r="AH286" s="98">
        <v>6</v>
      </c>
      <c r="AJ286" s="98">
        <v>0</v>
      </c>
      <c r="AK286" s="98">
        <v>0</v>
      </c>
      <c r="AL286" s="380">
        <v>0</v>
      </c>
      <c r="AN286" s="214">
        <f t="shared" si="64"/>
        <v>26149.5</v>
      </c>
      <c r="AO286" s="214">
        <f t="shared" si="65"/>
        <v>6034.5</v>
      </c>
      <c r="AP286" s="214">
        <f t="shared" si="66"/>
        <v>0</v>
      </c>
      <c r="AQ286" s="214">
        <f t="shared" si="67"/>
        <v>0</v>
      </c>
      <c r="AR286" s="214">
        <f t="shared" si="68"/>
        <v>0</v>
      </c>
      <c r="AS286" s="214">
        <f t="shared" si="69"/>
        <v>0</v>
      </c>
      <c r="AT286" s="214">
        <f t="shared" si="70"/>
        <v>8046</v>
      </c>
      <c r="AU286" s="214">
        <f t="shared" si="71"/>
        <v>12069</v>
      </c>
      <c r="AV286" s="214">
        <f t="shared" si="72"/>
        <v>0</v>
      </c>
      <c r="AW286" s="215">
        <f t="shared" si="73"/>
        <v>26149.5</v>
      </c>
    </row>
    <row r="287" spans="1:49" ht="15" customHeight="1">
      <c r="A287" s="140" t="s">
        <v>468</v>
      </c>
      <c r="B287" s="211" t="s">
        <v>96</v>
      </c>
      <c r="C287" s="140" t="str">
        <f t="shared" si="61"/>
        <v>Saint Joseph School - Rice Lake-WPCP</v>
      </c>
      <c r="D287" s="140">
        <v>21</v>
      </c>
      <c r="E287" s="140">
        <v>0</v>
      </c>
      <c r="F287" s="140">
        <v>0</v>
      </c>
      <c r="G287" s="140">
        <v>0</v>
      </c>
      <c r="H287" s="140">
        <v>0</v>
      </c>
      <c r="I287" s="140">
        <v>16</v>
      </c>
      <c r="J287" s="140">
        <v>118</v>
      </c>
      <c r="K287" s="140">
        <v>0</v>
      </c>
      <c r="L287" s="140">
        <f t="shared" si="62"/>
        <v>155</v>
      </c>
      <c r="N287" s="140">
        <v>3</v>
      </c>
      <c r="O287" s="140">
        <v>0</v>
      </c>
      <c r="P287" s="140">
        <v>0</v>
      </c>
      <c r="Q287" s="140">
        <v>0</v>
      </c>
      <c r="R287" s="140">
        <v>0</v>
      </c>
      <c r="S287" s="140">
        <v>1</v>
      </c>
      <c r="T287" s="140">
        <v>9</v>
      </c>
      <c r="U287" s="140">
        <v>0</v>
      </c>
      <c r="V287" s="140">
        <f t="shared" si="63"/>
        <v>13</v>
      </c>
      <c r="X287" s="98">
        <v>0</v>
      </c>
      <c r="Y287" s="98">
        <v>0</v>
      </c>
      <c r="Z287" s="98">
        <v>0</v>
      </c>
      <c r="AA287" s="98">
        <v>0</v>
      </c>
      <c r="AB287" s="98">
        <v>0</v>
      </c>
      <c r="AC287" s="98">
        <v>0</v>
      </c>
      <c r="AD287" s="98">
        <v>0</v>
      </c>
      <c r="AE287" s="98">
        <v>0</v>
      </c>
      <c r="AF287" s="98">
        <f t="shared" si="59"/>
        <v>0</v>
      </c>
      <c r="AH287" s="98">
        <v>8</v>
      </c>
      <c r="AJ287" s="98">
        <v>0</v>
      </c>
      <c r="AK287" s="98">
        <v>0</v>
      </c>
      <c r="AL287" s="380">
        <v>0</v>
      </c>
      <c r="AN287" s="214">
        <f t="shared" si="64"/>
        <v>46264.5</v>
      </c>
      <c r="AO287" s="214">
        <f t="shared" si="65"/>
        <v>6034.5</v>
      </c>
      <c r="AP287" s="214">
        <f t="shared" si="66"/>
        <v>0</v>
      </c>
      <c r="AQ287" s="214">
        <f t="shared" si="67"/>
        <v>0</v>
      </c>
      <c r="AR287" s="214">
        <f t="shared" si="68"/>
        <v>0</v>
      </c>
      <c r="AS287" s="214">
        <f t="shared" si="69"/>
        <v>0</v>
      </c>
      <c r="AT287" s="214">
        <f t="shared" si="70"/>
        <v>4023</v>
      </c>
      <c r="AU287" s="214">
        <f t="shared" si="71"/>
        <v>36207</v>
      </c>
      <c r="AV287" s="214">
        <f t="shared" si="72"/>
        <v>0</v>
      </c>
      <c r="AW287" s="215">
        <f t="shared" si="73"/>
        <v>46264.5</v>
      </c>
    </row>
    <row r="288" spans="1:49" ht="15" customHeight="1">
      <c r="A288" s="140" t="s">
        <v>322</v>
      </c>
      <c r="B288" s="211" t="s">
        <v>187</v>
      </c>
      <c r="C288" s="140" t="str">
        <f t="shared" si="61"/>
        <v>Saint Joseph School - Wauwatosa-MPCP</v>
      </c>
      <c r="D288" s="140">
        <v>23</v>
      </c>
      <c r="E288" s="140">
        <v>0</v>
      </c>
      <c r="F288" s="140">
        <v>0</v>
      </c>
      <c r="G288" s="140">
        <v>0</v>
      </c>
      <c r="H288" s="140">
        <v>0</v>
      </c>
      <c r="I288" s="140">
        <v>20</v>
      </c>
      <c r="J288" s="140">
        <v>146</v>
      </c>
      <c r="K288" s="140">
        <v>0</v>
      </c>
      <c r="L288" s="140">
        <f t="shared" si="62"/>
        <v>189</v>
      </c>
      <c r="N288" s="140">
        <v>0</v>
      </c>
      <c r="O288" s="140">
        <v>0</v>
      </c>
      <c r="P288" s="140">
        <v>0</v>
      </c>
      <c r="Q288" s="140">
        <v>0</v>
      </c>
      <c r="R288" s="140">
        <v>0</v>
      </c>
      <c r="S288" s="140">
        <v>9</v>
      </c>
      <c r="T288" s="140">
        <v>35</v>
      </c>
      <c r="U288" s="140">
        <v>0</v>
      </c>
      <c r="V288" s="140">
        <f t="shared" si="63"/>
        <v>44</v>
      </c>
      <c r="X288" s="98">
        <v>0</v>
      </c>
      <c r="Y288" s="98">
        <v>0</v>
      </c>
      <c r="Z288" s="98">
        <v>0</v>
      </c>
      <c r="AA288" s="98">
        <v>0</v>
      </c>
      <c r="AB288" s="98">
        <v>0</v>
      </c>
      <c r="AC288" s="98">
        <v>0</v>
      </c>
      <c r="AD288" s="98">
        <v>0</v>
      </c>
      <c r="AE288" s="98">
        <v>0</v>
      </c>
      <c r="AF288" s="98">
        <f t="shared" si="59"/>
        <v>0</v>
      </c>
      <c r="AH288" s="98">
        <v>29</v>
      </c>
      <c r="AJ288" s="98">
        <v>0</v>
      </c>
      <c r="AK288" s="98">
        <v>0</v>
      </c>
      <c r="AL288" s="380">
        <v>0</v>
      </c>
      <c r="AN288" s="214">
        <f t="shared" si="64"/>
        <v>177012</v>
      </c>
      <c r="AO288" s="214">
        <f t="shared" si="65"/>
        <v>0</v>
      </c>
      <c r="AP288" s="214">
        <f t="shared" si="66"/>
        <v>0</v>
      </c>
      <c r="AQ288" s="214">
        <f t="shared" si="67"/>
        <v>0</v>
      </c>
      <c r="AR288" s="214">
        <f t="shared" si="68"/>
        <v>0</v>
      </c>
      <c r="AS288" s="214">
        <f t="shared" si="69"/>
        <v>0</v>
      </c>
      <c r="AT288" s="214">
        <f t="shared" si="70"/>
        <v>36207</v>
      </c>
      <c r="AU288" s="214">
        <f t="shared" si="71"/>
        <v>140805</v>
      </c>
      <c r="AV288" s="214">
        <f t="shared" si="72"/>
        <v>0</v>
      </c>
      <c r="AW288" s="215">
        <f t="shared" si="73"/>
        <v>177012</v>
      </c>
    </row>
    <row r="289" spans="1:49" ht="15" customHeight="1">
      <c r="A289" s="140" t="s">
        <v>322</v>
      </c>
      <c r="B289" s="211" t="s">
        <v>96</v>
      </c>
      <c r="C289" s="140" t="str">
        <f t="shared" si="61"/>
        <v>Saint Joseph School - Wauwatosa-WPCP</v>
      </c>
      <c r="D289" s="140">
        <v>23</v>
      </c>
      <c r="E289" s="140">
        <v>0</v>
      </c>
      <c r="F289" s="140">
        <v>0</v>
      </c>
      <c r="G289" s="140">
        <v>0</v>
      </c>
      <c r="H289" s="140">
        <v>0</v>
      </c>
      <c r="I289" s="140">
        <v>20</v>
      </c>
      <c r="J289" s="140">
        <v>146</v>
      </c>
      <c r="K289" s="140">
        <v>0</v>
      </c>
      <c r="L289" s="140">
        <f t="shared" si="62"/>
        <v>189</v>
      </c>
      <c r="N289" s="140">
        <v>2</v>
      </c>
      <c r="O289" s="140">
        <v>0</v>
      </c>
      <c r="P289" s="140">
        <v>0</v>
      </c>
      <c r="Q289" s="140">
        <v>0</v>
      </c>
      <c r="R289" s="140">
        <v>0</v>
      </c>
      <c r="S289" s="140">
        <v>2</v>
      </c>
      <c r="T289" s="140">
        <v>12</v>
      </c>
      <c r="U289" s="140">
        <v>0</v>
      </c>
      <c r="V289" s="140">
        <f t="shared" si="63"/>
        <v>16</v>
      </c>
      <c r="X289" s="98">
        <v>0</v>
      </c>
      <c r="Y289" s="98">
        <v>0</v>
      </c>
      <c r="Z289" s="98">
        <v>0</v>
      </c>
      <c r="AA289" s="98">
        <v>0</v>
      </c>
      <c r="AB289" s="98">
        <v>0</v>
      </c>
      <c r="AC289" s="98">
        <v>0</v>
      </c>
      <c r="AD289" s="98">
        <v>0</v>
      </c>
      <c r="AE289" s="98">
        <v>0</v>
      </c>
      <c r="AF289" s="98">
        <f t="shared" si="59"/>
        <v>0</v>
      </c>
      <c r="AH289" s="98">
        <v>7</v>
      </c>
      <c r="AJ289" s="98">
        <v>0</v>
      </c>
      <c r="AK289" s="98">
        <v>0</v>
      </c>
      <c r="AL289" s="380">
        <v>0</v>
      </c>
      <c r="AN289" s="214">
        <f t="shared" si="64"/>
        <v>60345</v>
      </c>
      <c r="AO289" s="214">
        <f t="shared" si="65"/>
        <v>4023</v>
      </c>
      <c r="AP289" s="214">
        <f t="shared" si="66"/>
        <v>0</v>
      </c>
      <c r="AQ289" s="214">
        <f t="shared" si="67"/>
        <v>0</v>
      </c>
      <c r="AR289" s="214">
        <f t="shared" si="68"/>
        <v>0</v>
      </c>
      <c r="AS289" s="214">
        <f t="shared" si="69"/>
        <v>0</v>
      </c>
      <c r="AT289" s="214">
        <f t="shared" si="70"/>
        <v>8046</v>
      </c>
      <c r="AU289" s="214">
        <f t="shared" si="71"/>
        <v>48276</v>
      </c>
      <c r="AV289" s="214">
        <f t="shared" si="72"/>
        <v>0</v>
      </c>
      <c r="AW289" s="215">
        <f t="shared" si="73"/>
        <v>60345</v>
      </c>
    </row>
    <row r="290" spans="1:49" ht="15" customHeight="1">
      <c r="A290" s="140" t="s">
        <v>353</v>
      </c>
      <c r="B290" s="211" t="s">
        <v>96</v>
      </c>
      <c r="C290" s="140" t="str">
        <f t="shared" si="61"/>
        <v>Saint Katharine Drexel School-WPCP</v>
      </c>
      <c r="D290" s="140">
        <v>0</v>
      </c>
      <c r="E290" s="140">
        <v>0</v>
      </c>
      <c r="F290" s="140">
        <v>0</v>
      </c>
      <c r="G290" s="140">
        <v>0</v>
      </c>
      <c r="H290" s="140">
        <v>0</v>
      </c>
      <c r="I290" s="140">
        <v>14</v>
      </c>
      <c r="J290" s="140">
        <v>130</v>
      </c>
      <c r="K290" s="140">
        <v>0</v>
      </c>
      <c r="L290" s="140">
        <f t="shared" si="62"/>
        <v>144</v>
      </c>
      <c r="N290" s="140">
        <v>0</v>
      </c>
      <c r="O290" s="140">
        <v>0</v>
      </c>
      <c r="P290" s="140">
        <v>0</v>
      </c>
      <c r="Q290" s="140">
        <v>0</v>
      </c>
      <c r="R290" s="140">
        <v>0</v>
      </c>
      <c r="S290" s="140">
        <v>4</v>
      </c>
      <c r="T290" s="140">
        <v>10</v>
      </c>
      <c r="U290" s="140">
        <v>0</v>
      </c>
      <c r="V290" s="140">
        <f t="shared" si="63"/>
        <v>14</v>
      </c>
      <c r="X290" s="98">
        <v>0</v>
      </c>
      <c r="Y290" s="98">
        <v>0</v>
      </c>
      <c r="Z290" s="98">
        <v>0</v>
      </c>
      <c r="AA290" s="98">
        <v>0</v>
      </c>
      <c r="AB290" s="98">
        <v>0</v>
      </c>
      <c r="AC290" s="98">
        <v>0</v>
      </c>
      <c r="AD290" s="98">
        <v>0</v>
      </c>
      <c r="AE290" s="98">
        <v>0</v>
      </c>
      <c r="AF290" s="98">
        <f t="shared" si="59"/>
        <v>0</v>
      </c>
      <c r="AH290" s="98">
        <v>11</v>
      </c>
      <c r="AJ290" s="98">
        <v>0</v>
      </c>
      <c r="AK290" s="98">
        <v>0</v>
      </c>
      <c r="AL290" s="380">
        <v>0</v>
      </c>
      <c r="AN290" s="214">
        <f t="shared" si="64"/>
        <v>56322</v>
      </c>
      <c r="AO290" s="214">
        <f t="shared" si="65"/>
        <v>0</v>
      </c>
      <c r="AP290" s="214">
        <f t="shared" si="66"/>
        <v>0</v>
      </c>
      <c r="AQ290" s="214">
        <f t="shared" si="67"/>
        <v>0</v>
      </c>
      <c r="AR290" s="214">
        <f t="shared" si="68"/>
        <v>0</v>
      </c>
      <c r="AS290" s="214">
        <f t="shared" si="69"/>
        <v>0</v>
      </c>
      <c r="AT290" s="214">
        <f t="shared" si="70"/>
        <v>16092</v>
      </c>
      <c r="AU290" s="214">
        <f t="shared" si="71"/>
        <v>40230</v>
      </c>
      <c r="AV290" s="214">
        <f t="shared" si="72"/>
        <v>0</v>
      </c>
      <c r="AW290" s="215">
        <f t="shared" si="73"/>
        <v>56322</v>
      </c>
    </row>
    <row r="291" spans="1:49" ht="15" customHeight="1">
      <c r="A291" s="140" t="s">
        <v>469</v>
      </c>
      <c r="B291" s="211" t="s">
        <v>96</v>
      </c>
      <c r="C291" s="140" t="str">
        <f t="shared" si="61"/>
        <v>Saint Kilian School-WPCP</v>
      </c>
      <c r="D291" s="140">
        <v>5</v>
      </c>
      <c r="E291" s="140">
        <v>0</v>
      </c>
      <c r="F291" s="140">
        <v>0</v>
      </c>
      <c r="G291" s="140">
        <v>0</v>
      </c>
      <c r="H291" s="140">
        <v>0</v>
      </c>
      <c r="I291" s="140">
        <v>8</v>
      </c>
      <c r="J291" s="140">
        <v>61</v>
      </c>
      <c r="K291" s="140">
        <v>0</v>
      </c>
      <c r="L291" s="140">
        <f t="shared" si="62"/>
        <v>74</v>
      </c>
      <c r="N291" s="140">
        <v>1</v>
      </c>
      <c r="O291" s="140">
        <v>0</v>
      </c>
      <c r="P291" s="140">
        <v>0</v>
      </c>
      <c r="Q291" s="140">
        <v>0</v>
      </c>
      <c r="R291" s="140">
        <v>0</v>
      </c>
      <c r="S291" s="140">
        <v>0</v>
      </c>
      <c r="T291" s="140">
        <v>4</v>
      </c>
      <c r="U291" s="140">
        <v>0</v>
      </c>
      <c r="V291" s="140">
        <f t="shared" si="63"/>
        <v>5</v>
      </c>
      <c r="X291" s="98">
        <v>0</v>
      </c>
      <c r="Y291" s="98">
        <v>0</v>
      </c>
      <c r="Z291" s="98">
        <v>0</v>
      </c>
      <c r="AA291" s="98">
        <v>0</v>
      </c>
      <c r="AB291" s="98">
        <v>0</v>
      </c>
      <c r="AC291" s="98">
        <v>0</v>
      </c>
      <c r="AD291" s="98">
        <v>0</v>
      </c>
      <c r="AE291" s="98">
        <v>0</v>
      </c>
      <c r="AF291" s="98">
        <f t="shared" si="59"/>
        <v>0</v>
      </c>
      <c r="AH291" s="98">
        <v>3</v>
      </c>
      <c r="AJ291" s="98">
        <v>0</v>
      </c>
      <c r="AK291" s="98">
        <v>0</v>
      </c>
      <c r="AL291" s="380">
        <v>0</v>
      </c>
      <c r="AN291" s="214">
        <f t="shared" si="64"/>
        <v>18103.5</v>
      </c>
      <c r="AO291" s="214">
        <f t="shared" si="65"/>
        <v>2011.5</v>
      </c>
      <c r="AP291" s="214">
        <f t="shared" si="66"/>
        <v>0</v>
      </c>
      <c r="AQ291" s="214">
        <f t="shared" si="67"/>
        <v>0</v>
      </c>
      <c r="AR291" s="214">
        <f t="shared" si="68"/>
        <v>0</v>
      </c>
      <c r="AS291" s="214">
        <f t="shared" si="69"/>
        <v>0</v>
      </c>
      <c r="AT291" s="214">
        <f t="shared" si="70"/>
        <v>0</v>
      </c>
      <c r="AU291" s="214">
        <f t="shared" si="71"/>
        <v>16092</v>
      </c>
      <c r="AV291" s="214">
        <f t="shared" si="72"/>
        <v>0</v>
      </c>
      <c r="AW291" s="215">
        <f t="shared" si="73"/>
        <v>18103.5</v>
      </c>
    </row>
    <row r="292" spans="1:49" ht="15" customHeight="1">
      <c r="A292" s="140" t="s">
        <v>323</v>
      </c>
      <c r="B292" s="211" t="s">
        <v>96</v>
      </c>
      <c r="C292" s="140" t="str">
        <f t="shared" si="61"/>
        <v>Saint Leonard School-WPCP</v>
      </c>
      <c r="D292" s="140">
        <v>15</v>
      </c>
      <c r="E292" s="140">
        <v>0</v>
      </c>
      <c r="F292" s="140">
        <v>0</v>
      </c>
      <c r="G292" s="140">
        <v>0</v>
      </c>
      <c r="H292" s="140">
        <v>0</v>
      </c>
      <c r="I292" s="140">
        <v>19</v>
      </c>
      <c r="J292" s="140">
        <v>106</v>
      </c>
      <c r="K292" s="140">
        <v>0</v>
      </c>
      <c r="L292" s="140">
        <f t="shared" si="62"/>
        <v>140</v>
      </c>
      <c r="N292" s="140">
        <v>2</v>
      </c>
      <c r="O292" s="140">
        <v>0</v>
      </c>
      <c r="P292" s="140">
        <v>0</v>
      </c>
      <c r="Q292" s="140">
        <v>0</v>
      </c>
      <c r="R292" s="140">
        <v>0</v>
      </c>
      <c r="S292" s="140">
        <v>7</v>
      </c>
      <c r="T292" s="140">
        <v>7</v>
      </c>
      <c r="U292" s="140">
        <v>0</v>
      </c>
      <c r="V292" s="140">
        <f t="shared" si="63"/>
        <v>16</v>
      </c>
      <c r="X292" s="98">
        <v>0</v>
      </c>
      <c r="Y292" s="98">
        <v>0</v>
      </c>
      <c r="Z292" s="98">
        <v>0</v>
      </c>
      <c r="AA292" s="98">
        <v>0</v>
      </c>
      <c r="AB292" s="98">
        <v>0</v>
      </c>
      <c r="AC292" s="98">
        <v>0</v>
      </c>
      <c r="AD292" s="98">
        <v>0</v>
      </c>
      <c r="AE292" s="98">
        <v>0</v>
      </c>
      <c r="AF292" s="98">
        <f t="shared" si="59"/>
        <v>0</v>
      </c>
      <c r="AH292" s="98">
        <v>11</v>
      </c>
      <c r="AJ292" s="98">
        <v>0</v>
      </c>
      <c r="AK292" s="98">
        <v>0</v>
      </c>
      <c r="AL292" s="380">
        <v>0</v>
      </c>
      <c r="AN292" s="214">
        <f t="shared" si="64"/>
        <v>60345</v>
      </c>
      <c r="AO292" s="214">
        <f t="shared" si="65"/>
        <v>4023</v>
      </c>
      <c r="AP292" s="214">
        <f t="shared" si="66"/>
        <v>0</v>
      </c>
      <c r="AQ292" s="214">
        <f t="shared" si="67"/>
        <v>0</v>
      </c>
      <c r="AR292" s="214">
        <f t="shared" si="68"/>
        <v>0</v>
      </c>
      <c r="AS292" s="214">
        <f t="shared" si="69"/>
        <v>0</v>
      </c>
      <c r="AT292" s="214">
        <f t="shared" si="70"/>
        <v>28161</v>
      </c>
      <c r="AU292" s="214">
        <f t="shared" si="71"/>
        <v>28161</v>
      </c>
      <c r="AV292" s="214">
        <f t="shared" si="72"/>
        <v>0</v>
      </c>
      <c r="AW292" s="215">
        <f t="shared" si="73"/>
        <v>60345</v>
      </c>
    </row>
    <row r="293" spans="1:49" ht="15" customHeight="1">
      <c r="A293" s="140" t="s">
        <v>201</v>
      </c>
      <c r="B293" s="211" t="s">
        <v>187</v>
      </c>
      <c r="C293" s="140" t="str">
        <f t="shared" si="61"/>
        <v>Saint Lucas Lutheran School-MPCP</v>
      </c>
      <c r="D293" s="140">
        <v>18</v>
      </c>
      <c r="E293" s="140">
        <v>0</v>
      </c>
      <c r="F293" s="140">
        <v>0</v>
      </c>
      <c r="G293" s="140">
        <v>0</v>
      </c>
      <c r="H293" s="140">
        <v>0</v>
      </c>
      <c r="I293" s="140">
        <v>25</v>
      </c>
      <c r="J293" s="140">
        <v>128</v>
      </c>
      <c r="K293" s="140">
        <v>0</v>
      </c>
      <c r="L293" s="140">
        <f t="shared" si="62"/>
        <v>171</v>
      </c>
      <c r="N293" s="140">
        <v>8</v>
      </c>
      <c r="O293" s="140">
        <v>0</v>
      </c>
      <c r="P293" s="140">
        <v>0</v>
      </c>
      <c r="Q293" s="140">
        <v>0</v>
      </c>
      <c r="R293" s="140">
        <v>0</v>
      </c>
      <c r="S293" s="140">
        <v>10</v>
      </c>
      <c r="T293" s="140">
        <v>82</v>
      </c>
      <c r="U293" s="140">
        <v>0</v>
      </c>
      <c r="V293" s="140">
        <f t="shared" si="63"/>
        <v>100</v>
      </c>
      <c r="X293" s="98">
        <v>0</v>
      </c>
      <c r="Y293" s="98">
        <v>0</v>
      </c>
      <c r="Z293" s="98">
        <v>0</v>
      </c>
      <c r="AA293" s="98">
        <v>0</v>
      </c>
      <c r="AB293" s="98">
        <v>0</v>
      </c>
      <c r="AC293" s="98">
        <v>0</v>
      </c>
      <c r="AD293" s="98">
        <v>0</v>
      </c>
      <c r="AE293" s="98">
        <v>0</v>
      </c>
      <c r="AF293" s="98">
        <f t="shared" si="59"/>
        <v>0</v>
      </c>
      <c r="AH293" s="98">
        <v>66</v>
      </c>
      <c r="AJ293" s="98">
        <v>0</v>
      </c>
      <c r="AK293" s="98">
        <v>0</v>
      </c>
      <c r="AL293" s="380">
        <v>0</v>
      </c>
      <c r="AN293" s="214">
        <f t="shared" si="64"/>
        <v>386208</v>
      </c>
      <c r="AO293" s="214">
        <f t="shared" si="65"/>
        <v>16092</v>
      </c>
      <c r="AP293" s="214">
        <f t="shared" si="66"/>
        <v>0</v>
      </c>
      <c r="AQ293" s="214">
        <f t="shared" si="67"/>
        <v>0</v>
      </c>
      <c r="AR293" s="214">
        <f t="shared" si="68"/>
        <v>0</v>
      </c>
      <c r="AS293" s="214">
        <f t="shared" si="69"/>
        <v>0</v>
      </c>
      <c r="AT293" s="214">
        <f t="shared" si="70"/>
        <v>40230</v>
      </c>
      <c r="AU293" s="214">
        <f t="shared" si="71"/>
        <v>329886</v>
      </c>
      <c r="AV293" s="214">
        <f t="shared" si="72"/>
        <v>0</v>
      </c>
      <c r="AW293" s="215">
        <f t="shared" si="73"/>
        <v>386208</v>
      </c>
    </row>
    <row r="294" spans="1:49" ht="15" customHeight="1">
      <c r="A294" s="140" t="s">
        <v>201</v>
      </c>
      <c r="B294" s="211" t="s">
        <v>96</v>
      </c>
      <c r="C294" s="140" t="str">
        <f t="shared" si="61"/>
        <v>Saint Lucas Lutheran School-WPCP</v>
      </c>
      <c r="D294" s="140">
        <v>18</v>
      </c>
      <c r="E294" s="140">
        <v>0</v>
      </c>
      <c r="F294" s="140">
        <v>0</v>
      </c>
      <c r="G294" s="140">
        <v>0</v>
      </c>
      <c r="H294" s="140">
        <v>0</v>
      </c>
      <c r="I294" s="140">
        <v>25</v>
      </c>
      <c r="J294" s="140">
        <v>128</v>
      </c>
      <c r="K294" s="140">
        <v>0</v>
      </c>
      <c r="L294" s="140">
        <f t="shared" si="62"/>
        <v>171</v>
      </c>
      <c r="N294" s="140">
        <v>2</v>
      </c>
      <c r="O294" s="140">
        <v>0</v>
      </c>
      <c r="P294" s="140">
        <v>0</v>
      </c>
      <c r="Q294" s="140">
        <v>0</v>
      </c>
      <c r="R294" s="140">
        <v>0</v>
      </c>
      <c r="S294" s="140">
        <v>2</v>
      </c>
      <c r="T294" s="140">
        <v>9</v>
      </c>
      <c r="U294" s="140">
        <v>0</v>
      </c>
      <c r="V294" s="140">
        <f t="shared" si="63"/>
        <v>13</v>
      </c>
      <c r="X294" s="98">
        <v>0</v>
      </c>
      <c r="Y294" s="98">
        <v>0</v>
      </c>
      <c r="Z294" s="98">
        <v>0</v>
      </c>
      <c r="AA294" s="98">
        <v>0</v>
      </c>
      <c r="AB294" s="98">
        <v>0</v>
      </c>
      <c r="AC294" s="98">
        <v>0</v>
      </c>
      <c r="AD294" s="98">
        <v>0</v>
      </c>
      <c r="AE294" s="98">
        <v>0</v>
      </c>
      <c r="AF294" s="98">
        <f t="shared" si="59"/>
        <v>0</v>
      </c>
      <c r="AH294" s="98">
        <v>8</v>
      </c>
      <c r="AJ294" s="98">
        <v>0</v>
      </c>
      <c r="AK294" s="98">
        <v>0</v>
      </c>
      <c r="AL294" s="380">
        <v>0</v>
      </c>
      <c r="AN294" s="214">
        <f t="shared" si="64"/>
        <v>48276</v>
      </c>
      <c r="AO294" s="214">
        <f t="shared" si="65"/>
        <v>4023</v>
      </c>
      <c r="AP294" s="214">
        <f t="shared" si="66"/>
        <v>0</v>
      </c>
      <c r="AQ294" s="214">
        <f t="shared" si="67"/>
        <v>0</v>
      </c>
      <c r="AR294" s="214">
        <f t="shared" si="68"/>
        <v>0</v>
      </c>
      <c r="AS294" s="214">
        <f t="shared" si="69"/>
        <v>0</v>
      </c>
      <c r="AT294" s="214">
        <f t="shared" si="70"/>
        <v>8046</v>
      </c>
      <c r="AU294" s="214">
        <f t="shared" si="71"/>
        <v>36207</v>
      </c>
      <c r="AV294" s="214">
        <f t="shared" si="72"/>
        <v>0</v>
      </c>
      <c r="AW294" s="215">
        <f t="shared" si="73"/>
        <v>48276</v>
      </c>
    </row>
    <row r="295" spans="1:49" ht="15" customHeight="1">
      <c r="A295" s="140" t="s">
        <v>148</v>
      </c>
      <c r="B295" s="211" t="s">
        <v>187</v>
      </c>
      <c r="C295" s="140" t="str">
        <f t="shared" si="61"/>
        <v>Saint Marcus Lutheran School-MPCP</v>
      </c>
      <c r="D295" s="140">
        <v>0</v>
      </c>
      <c r="E295" s="140">
        <v>96</v>
      </c>
      <c r="F295" s="140">
        <v>0</v>
      </c>
      <c r="G295" s="140">
        <v>0</v>
      </c>
      <c r="H295" s="140">
        <v>0</v>
      </c>
      <c r="I295" s="140">
        <v>96</v>
      </c>
      <c r="J295" s="140">
        <v>664</v>
      </c>
      <c r="K295" s="140">
        <v>0</v>
      </c>
      <c r="L295" s="140">
        <f t="shared" si="62"/>
        <v>856</v>
      </c>
      <c r="N295" s="140">
        <v>0</v>
      </c>
      <c r="O295" s="140">
        <v>89</v>
      </c>
      <c r="P295" s="140">
        <v>0</v>
      </c>
      <c r="Q295" s="140">
        <v>0</v>
      </c>
      <c r="R295" s="140">
        <v>0</v>
      </c>
      <c r="S295" s="140">
        <v>81</v>
      </c>
      <c r="T295" s="140">
        <v>576</v>
      </c>
      <c r="U295" s="140">
        <v>0</v>
      </c>
      <c r="V295" s="140">
        <f t="shared" si="63"/>
        <v>746</v>
      </c>
      <c r="X295" s="98">
        <v>0</v>
      </c>
      <c r="Y295" s="98">
        <v>1</v>
      </c>
      <c r="Z295" s="98">
        <v>0</v>
      </c>
      <c r="AA295" s="98">
        <v>0</v>
      </c>
      <c r="AB295" s="98">
        <v>0</v>
      </c>
      <c r="AC295" s="98">
        <v>11</v>
      </c>
      <c r="AD295" s="98">
        <v>84</v>
      </c>
      <c r="AE295" s="98">
        <v>0</v>
      </c>
      <c r="AF295" s="98">
        <f aca="true" t="shared" si="74" ref="AF295:AF356">SUM(X295:AE295)</f>
        <v>96</v>
      </c>
      <c r="AH295" s="98">
        <v>544</v>
      </c>
      <c r="AJ295" s="98">
        <v>121</v>
      </c>
      <c r="AK295" s="98">
        <v>0</v>
      </c>
      <c r="AL295" s="380">
        <v>39803.859999999986</v>
      </c>
      <c r="AN295" s="214">
        <f t="shared" si="64"/>
        <v>2857939.2</v>
      </c>
      <c r="AO295" s="214">
        <f t="shared" si="65"/>
        <v>0</v>
      </c>
      <c r="AP295" s="214">
        <f t="shared" si="66"/>
        <v>214828.2</v>
      </c>
      <c r="AQ295" s="214">
        <f t="shared" si="67"/>
        <v>0</v>
      </c>
      <c r="AR295" s="214">
        <f t="shared" si="68"/>
        <v>0</v>
      </c>
      <c r="AS295" s="214">
        <f t="shared" si="69"/>
        <v>0</v>
      </c>
      <c r="AT295" s="214">
        <f t="shared" si="70"/>
        <v>325863</v>
      </c>
      <c r="AU295" s="214">
        <f t="shared" si="71"/>
        <v>2317248</v>
      </c>
      <c r="AV295" s="214">
        <f t="shared" si="72"/>
        <v>0</v>
      </c>
      <c r="AW295" s="215">
        <f t="shared" si="73"/>
        <v>2857939.2</v>
      </c>
    </row>
    <row r="296" spans="1:49" ht="15" customHeight="1">
      <c r="A296" s="140" t="s">
        <v>246</v>
      </c>
      <c r="B296" s="211" t="s">
        <v>187</v>
      </c>
      <c r="C296" s="140" t="str">
        <f t="shared" si="61"/>
        <v>Saint Margaret Mary School-MPCP</v>
      </c>
      <c r="D296" s="140">
        <v>12</v>
      </c>
      <c r="E296" s="140">
        <v>0</v>
      </c>
      <c r="F296" s="140">
        <v>0</v>
      </c>
      <c r="G296" s="140">
        <v>0</v>
      </c>
      <c r="H296" s="140">
        <v>0</v>
      </c>
      <c r="I296" s="140">
        <v>11</v>
      </c>
      <c r="J296" s="140">
        <v>111</v>
      </c>
      <c r="K296" s="140">
        <v>0</v>
      </c>
      <c r="L296" s="140">
        <f t="shared" si="62"/>
        <v>134</v>
      </c>
      <c r="N296" s="140">
        <v>12</v>
      </c>
      <c r="O296" s="140">
        <v>0</v>
      </c>
      <c r="P296" s="140">
        <v>0</v>
      </c>
      <c r="Q296" s="140">
        <v>0</v>
      </c>
      <c r="R296" s="140">
        <v>0</v>
      </c>
      <c r="S296" s="140">
        <v>11</v>
      </c>
      <c r="T296" s="140">
        <v>110</v>
      </c>
      <c r="U296" s="140">
        <v>0</v>
      </c>
      <c r="V296" s="140">
        <f t="shared" si="63"/>
        <v>133</v>
      </c>
      <c r="X296" s="98">
        <v>0</v>
      </c>
      <c r="Y296" s="98">
        <v>0</v>
      </c>
      <c r="Z296" s="98">
        <v>0</v>
      </c>
      <c r="AA296" s="98">
        <v>0</v>
      </c>
      <c r="AB296" s="98">
        <v>0</v>
      </c>
      <c r="AC296" s="98">
        <v>0</v>
      </c>
      <c r="AD296" s="98">
        <v>0</v>
      </c>
      <c r="AE296" s="98">
        <v>0</v>
      </c>
      <c r="AF296" s="98">
        <f t="shared" si="74"/>
        <v>0</v>
      </c>
      <c r="AH296" s="98">
        <v>96</v>
      </c>
      <c r="AJ296" s="98">
        <v>0</v>
      </c>
      <c r="AK296" s="98">
        <v>0</v>
      </c>
      <c r="AL296" s="380">
        <v>0</v>
      </c>
      <c r="AN296" s="214">
        <f t="shared" si="64"/>
        <v>510921</v>
      </c>
      <c r="AO296" s="214">
        <f t="shared" si="65"/>
        <v>24138</v>
      </c>
      <c r="AP296" s="214">
        <f t="shared" si="66"/>
        <v>0</v>
      </c>
      <c r="AQ296" s="214">
        <f t="shared" si="67"/>
        <v>0</v>
      </c>
      <c r="AR296" s="214">
        <f t="shared" si="68"/>
        <v>0</v>
      </c>
      <c r="AS296" s="214">
        <f t="shared" si="69"/>
        <v>0</v>
      </c>
      <c r="AT296" s="214">
        <f t="shared" si="70"/>
        <v>44253</v>
      </c>
      <c r="AU296" s="214">
        <f t="shared" si="71"/>
        <v>442530</v>
      </c>
      <c r="AV296" s="214">
        <f t="shared" si="72"/>
        <v>0</v>
      </c>
      <c r="AW296" s="215">
        <f t="shared" si="73"/>
        <v>510921</v>
      </c>
    </row>
    <row r="297" spans="1:49" ht="15" customHeight="1">
      <c r="A297" s="140" t="s">
        <v>179</v>
      </c>
      <c r="B297" s="211" t="s">
        <v>96</v>
      </c>
      <c r="C297" s="140" t="str">
        <f t="shared" si="61"/>
        <v>Saint Mark Lutheran School-WPCP</v>
      </c>
      <c r="D297" s="140">
        <v>0</v>
      </c>
      <c r="E297" s="140">
        <v>0</v>
      </c>
      <c r="F297" s="140">
        <v>0</v>
      </c>
      <c r="G297" s="140">
        <v>0</v>
      </c>
      <c r="H297" s="140">
        <v>0</v>
      </c>
      <c r="I297" s="140">
        <v>16</v>
      </c>
      <c r="J297" s="140">
        <v>165</v>
      </c>
      <c r="K297" s="140">
        <v>0</v>
      </c>
      <c r="L297" s="140">
        <f t="shared" si="62"/>
        <v>181</v>
      </c>
      <c r="N297" s="140">
        <v>0</v>
      </c>
      <c r="O297" s="140">
        <v>0</v>
      </c>
      <c r="P297" s="140">
        <v>0</v>
      </c>
      <c r="Q297" s="140">
        <v>0</v>
      </c>
      <c r="R297" s="140">
        <v>0</v>
      </c>
      <c r="S297" s="140">
        <v>2</v>
      </c>
      <c r="T297" s="140">
        <v>41</v>
      </c>
      <c r="U297" s="140">
        <v>0</v>
      </c>
      <c r="V297" s="140">
        <f t="shared" si="63"/>
        <v>43</v>
      </c>
      <c r="X297" s="98">
        <v>0</v>
      </c>
      <c r="Y297" s="98">
        <v>0</v>
      </c>
      <c r="Z297" s="98">
        <v>0</v>
      </c>
      <c r="AA297" s="98">
        <v>0</v>
      </c>
      <c r="AB297" s="98">
        <v>0</v>
      </c>
      <c r="AC297" s="98">
        <v>0</v>
      </c>
      <c r="AD297" s="98">
        <v>0</v>
      </c>
      <c r="AE297" s="98">
        <v>0</v>
      </c>
      <c r="AF297" s="98">
        <f t="shared" si="74"/>
        <v>0</v>
      </c>
      <c r="AH297" s="98">
        <v>27</v>
      </c>
      <c r="AJ297" s="98">
        <v>0</v>
      </c>
      <c r="AK297" s="98">
        <v>0</v>
      </c>
      <c r="AL297" s="380">
        <v>0</v>
      </c>
      <c r="AN297" s="214">
        <f t="shared" si="64"/>
        <v>172989</v>
      </c>
      <c r="AO297" s="214">
        <f t="shared" si="65"/>
        <v>0</v>
      </c>
      <c r="AP297" s="214">
        <f t="shared" si="66"/>
        <v>0</v>
      </c>
      <c r="AQ297" s="214">
        <f t="shared" si="67"/>
        <v>0</v>
      </c>
      <c r="AR297" s="214">
        <f t="shared" si="68"/>
        <v>0</v>
      </c>
      <c r="AS297" s="214">
        <f t="shared" si="69"/>
        <v>0</v>
      </c>
      <c r="AT297" s="214">
        <f t="shared" si="70"/>
        <v>8046</v>
      </c>
      <c r="AU297" s="214">
        <f t="shared" si="71"/>
        <v>164943</v>
      </c>
      <c r="AV297" s="214">
        <f t="shared" si="72"/>
        <v>0</v>
      </c>
      <c r="AW297" s="215">
        <f t="shared" si="73"/>
        <v>172989</v>
      </c>
    </row>
    <row r="298" spans="1:49" ht="15" customHeight="1">
      <c r="A298" s="140" t="s">
        <v>542</v>
      </c>
      <c r="B298" s="211" t="s">
        <v>96</v>
      </c>
      <c r="C298" s="140" t="str">
        <f t="shared" si="61"/>
        <v>Saint Martin Lutheran School - Clintonville-WPCP</v>
      </c>
      <c r="D298" s="140">
        <v>0</v>
      </c>
      <c r="E298" s="140">
        <v>0</v>
      </c>
      <c r="F298" s="140">
        <v>0</v>
      </c>
      <c r="G298" s="140">
        <v>0</v>
      </c>
      <c r="H298" s="140">
        <v>0</v>
      </c>
      <c r="I298" s="140">
        <v>22</v>
      </c>
      <c r="J298" s="140">
        <v>144</v>
      </c>
      <c r="K298" s="140">
        <v>0</v>
      </c>
      <c r="L298" s="140">
        <f t="shared" si="62"/>
        <v>166</v>
      </c>
      <c r="N298" s="140">
        <v>0</v>
      </c>
      <c r="O298" s="140">
        <v>0</v>
      </c>
      <c r="P298" s="140">
        <v>0</v>
      </c>
      <c r="Q298" s="140">
        <v>0</v>
      </c>
      <c r="R298" s="140">
        <v>0</v>
      </c>
      <c r="S298" s="140">
        <v>8</v>
      </c>
      <c r="T298" s="140">
        <v>28</v>
      </c>
      <c r="U298" s="140">
        <v>0</v>
      </c>
      <c r="V298" s="140">
        <f t="shared" si="63"/>
        <v>36</v>
      </c>
      <c r="X298" s="98">
        <v>0</v>
      </c>
      <c r="Y298" s="98">
        <v>0</v>
      </c>
      <c r="Z298" s="98">
        <v>0</v>
      </c>
      <c r="AA298" s="98">
        <v>0</v>
      </c>
      <c r="AB298" s="98">
        <v>0</v>
      </c>
      <c r="AC298" s="98">
        <v>0</v>
      </c>
      <c r="AD298" s="98">
        <v>1</v>
      </c>
      <c r="AE298" s="98">
        <v>0</v>
      </c>
      <c r="AF298" s="98">
        <f t="shared" si="74"/>
        <v>1</v>
      </c>
      <c r="AH298" s="98">
        <v>28</v>
      </c>
      <c r="AJ298" s="98">
        <v>0</v>
      </c>
      <c r="AK298" s="98">
        <v>0</v>
      </c>
      <c r="AL298" s="380">
        <v>0</v>
      </c>
      <c r="AN298" s="214">
        <f t="shared" si="64"/>
        <v>144828</v>
      </c>
      <c r="AO298" s="214">
        <f t="shared" si="65"/>
        <v>0</v>
      </c>
      <c r="AP298" s="214">
        <f t="shared" si="66"/>
        <v>0</v>
      </c>
      <c r="AQ298" s="214">
        <f t="shared" si="67"/>
        <v>0</v>
      </c>
      <c r="AR298" s="214">
        <f t="shared" si="68"/>
        <v>0</v>
      </c>
      <c r="AS298" s="214">
        <f t="shared" si="69"/>
        <v>0</v>
      </c>
      <c r="AT298" s="214">
        <f t="shared" si="70"/>
        <v>32184</v>
      </c>
      <c r="AU298" s="214">
        <f t="shared" si="71"/>
        <v>112644</v>
      </c>
      <c r="AV298" s="214">
        <f t="shared" si="72"/>
        <v>0</v>
      </c>
      <c r="AW298" s="215">
        <f t="shared" si="73"/>
        <v>144828</v>
      </c>
    </row>
    <row r="299" spans="1:49" ht="15" customHeight="1">
      <c r="A299" s="140" t="s">
        <v>247</v>
      </c>
      <c r="B299" s="211" t="s">
        <v>187</v>
      </c>
      <c r="C299" s="140" t="str">
        <f t="shared" si="61"/>
        <v>Saint Martini Lutheran School-MPCP</v>
      </c>
      <c r="D299" s="140">
        <v>0</v>
      </c>
      <c r="E299" s="140">
        <v>13</v>
      </c>
      <c r="F299" s="140">
        <v>0</v>
      </c>
      <c r="G299" s="140">
        <v>0</v>
      </c>
      <c r="H299" s="140">
        <v>0</v>
      </c>
      <c r="I299" s="140">
        <v>20</v>
      </c>
      <c r="J299" s="140">
        <v>155</v>
      </c>
      <c r="K299" s="140">
        <v>0</v>
      </c>
      <c r="L299" s="140">
        <f t="shared" si="62"/>
        <v>188</v>
      </c>
      <c r="N299" s="140">
        <v>0</v>
      </c>
      <c r="O299" s="140">
        <v>11</v>
      </c>
      <c r="P299" s="140">
        <v>0</v>
      </c>
      <c r="Q299" s="140">
        <v>0</v>
      </c>
      <c r="R299" s="140">
        <v>0</v>
      </c>
      <c r="S299" s="140">
        <v>18</v>
      </c>
      <c r="T299" s="140">
        <v>138</v>
      </c>
      <c r="U299" s="140">
        <v>0</v>
      </c>
      <c r="V299" s="140">
        <f t="shared" si="63"/>
        <v>167</v>
      </c>
      <c r="X299" s="98">
        <v>0</v>
      </c>
      <c r="Y299" s="98">
        <v>0</v>
      </c>
      <c r="Z299" s="98">
        <v>0</v>
      </c>
      <c r="AA299" s="98">
        <v>0</v>
      </c>
      <c r="AB299" s="98">
        <v>0</v>
      </c>
      <c r="AC299" s="98">
        <v>0</v>
      </c>
      <c r="AD299" s="98">
        <v>0</v>
      </c>
      <c r="AE299" s="98">
        <v>0</v>
      </c>
      <c r="AF299" s="98">
        <f t="shared" si="74"/>
        <v>0</v>
      </c>
      <c r="AH299" s="98">
        <v>101</v>
      </c>
      <c r="AJ299" s="98">
        <v>72</v>
      </c>
      <c r="AK299" s="98">
        <v>0</v>
      </c>
      <c r="AL299" s="380">
        <v>23442.930000000015</v>
      </c>
      <c r="AN299" s="214">
        <f t="shared" si="64"/>
        <v>654139.8</v>
      </c>
      <c r="AO299" s="214">
        <f t="shared" si="65"/>
        <v>0</v>
      </c>
      <c r="AP299" s="214">
        <f t="shared" si="66"/>
        <v>26551.8</v>
      </c>
      <c r="AQ299" s="214">
        <f t="shared" si="67"/>
        <v>0</v>
      </c>
      <c r="AR299" s="214">
        <f t="shared" si="68"/>
        <v>0</v>
      </c>
      <c r="AS299" s="214">
        <f t="shared" si="69"/>
        <v>0</v>
      </c>
      <c r="AT299" s="214">
        <f t="shared" si="70"/>
        <v>72414</v>
      </c>
      <c r="AU299" s="214">
        <f t="shared" si="71"/>
        <v>555174</v>
      </c>
      <c r="AV299" s="214">
        <f t="shared" si="72"/>
        <v>0</v>
      </c>
      <c r="AW299" s="215">
        <f t="shared" si="73"/>
        <v>654139.8</v>
      </c>
    </row>
    <row r="300" spans="1:49" ht="15" customHeight="1">
      <c r="A300" s="140" t="s">
        <v>247</v>
      </c>
      <c r="B300" s="211" t="s">
        <v>96</v>
      </c>
      <c r="C300" s="140" t="str">
        <f t="shared" si="61"/>
        <v>Saint Martini Lutheran School-WPCP</v>
      </c>
      <c r="D300" s="140">
        <v>0</v>
      </c>
      <c r="E300" s="140">
        <v>13</v>
      </c>
      <c r="F300" s="140">
        <v>0</v>
      </c>
      <c r="G300" s="140">
        <v>0</v>
      </c>
      <c r="H300" s="140">
        <v>0</v>
      </c>
      <c r="I300" s="140">
        <v>20</v>
      </c>
      <c r="J300" s="140">
        <v>155</v>
      </c>
      <c r="K300" s="140">
        <v>0</v>
      </c>
      <c r="L300" s="140">
        <f t="shared" si="62"/>
        <v>188</v>
      </c>
      <c r="N300" s="140">
        <v>0</v>
      </c>
      <c r="O300" s="140">
        <v>1</v>
      </c>
      <c r="P300" s="140">
        <v>0</v>
      </c>
      <c r="Q300" s="140">
        <v>0</v>
      </c>
      <c r="R300" s="140">
        <v>0</v>
      </c>
      <c r="S300" s="140">
        <v>0</v>
      </c>
      <c r="T300" s="140">
        <v>7</v>
      </c>
      <c r="U300" s="140">
        <v>0</v>
      </c>
      <c r="V300" s="140">
        <f t="shared" si="63"/>
        <v>8</v>
      </c>
      <c r="X300" s="98">
        <v>0</v>
      </c>
      <c r="Y300" s="98">
        <v>0</v>
      </c>
      <c r="Z300" s="98">
        <v>0</v>
      </c>
      <c r="AA300" s="98">
        <v>0</v>
      </c>
      <c r="AB300" s="98">
        <v>0</v>
      </c>
      <c r="AC300" s="98">
        <v>0</v>
      </c>
      <c r="AD300" s="98">
        <v>0</v>
      </c>
      <c r="AE300" s="98">
        <v>0</v>
      </c>
      <c r="AF300" s="98">
        <f t="shared" si="74"/>
        <v>0</v>
      </c>
      <c r="AH300" s="98">
        <v>3</v>
      </c>
      <c r="AJ300" s="98">
        <v>2</v>
      </c>
      <c r="AK300" s="98">
        <v>0</v>
      </c>
      <c r="AL300" s="380">
        <v>775.4</v>
      </c>
      <c r="AN300" s="214">
        <f t="shared" si="64"/>
        <v>30574.8</v>
      </c>
      <c r="AO300" s="214">
        <f t="shared" si="65"/>
        <v>0</v>
      </c>
      <c r="AP300" s="214">
        <f t="shared" si="66"/>
        <v>2413.8</v>
      </c>
      <c r="AQ300" s="214">
        <f t="shared" si="67"/>
        <v>0</v>
      </c>
      <c r="AR300" s="214">
        <f t="shared" si="68"/>
        <v>0</v>
      </c>
      <c r="AS300" s="214">
        <f t="shared" si="69"/>
        <v>0</v>
      </c>
      <c r="AT300" s="214">
        <f t="shared" si="70"/>
        <v>0</v>
      </c>
      <c r="AU300" s="214">
        <f t="shared" si="71"/>
        <v>28161</v>
      </c>
      <c r="AV300" s="214">
        <f t="shared" si="72"/>
        <v>0</v>
      </c>
      <c r="AW300" s="215">
        <f t="shared" si="73"/>
        <v>30574.8</v>
      </c>
    </row>
    <row r="301" spans="1:49" ht="15" customHeight="1">
      <c r="A301" s="140" t="s">
        <v>598</v>
      </c>
      <c r="B301" s="211" t="s">
        <v>96</v>
      </c>
      <c r="C301" s="140" t="str">
        <f t="shared" si="61"/>
        <v>Saint Mary Catholic School - Hilbert-WPCP</v>
      </c>
      <c r="D301" s="140">
        <v>6</v>
      </c>
      <c r="E301" s="140">
        <v>0</v>
      </c>
      <c r="F301" s="140">
        <v>0</v>
      </c>
      <c r="G301" s="140">
        <v>0</v>
      </c>
      <c r="H301" s="140">
        <v>0</v>
      </c>
      <c r="I301" s="140">
        <v>3</v>
      </c>
      <c r="J301" s="140">
        <v>18</v>
      </c>
      <c r="K301" s="140">
        <v>0</v>
      </c>
      <c r="L301" s="140">
        <f t="shared" si="62"/>
        <v>27</v>
      </c>
      <c r="N301" s="140">
        <v>1</v>
      </c>
      <c r="O301" s="140">
        <v>0</v>
      </c>
      <c r="P301" s="140">
        <v>0</v>
      </c>
      <c r="Q301" s="140">
        <v>0</v>
      </c>
      <c r="R301" s="140">
        <v>0</v>
      </c>
      <c r="S301" s="140">
        <v>2</v>
      </c>
      <c r="T301" s="140">
        <v>9</v>
      </c>
      <c r="U301" s="140">
        <v>0</v>
      </c>
      <c r="V301" s="140">
        <f t="shared" si="63"/>
        <v>12</v>
      </c>
      <c r="X301" s="98">
        <v>0</v>
      </c>
      <c r="Y301" s="98">
        <v>0</v>
      </c>
      <c r="Z301" s="98">
        <v>0</v>
      </c>
      <c r="AA301" s="98">
        <v>0</v>
      </c>
      <c r="AB301" s="98">
        <v>0</v>
      </c>
      <c r="AC301" s="98">
        <v>0</v>
      </c>
      <c r="AD301" s="98">
        <v>0</v>
      </c>
      <c r="AE301" s="98">
        <v>0</v>
      </c>
      <c r="AF301" s="98">
        <f t="shared" si="74"/>
        <v>0</v>
      </c>
      <c r="AH301" s="98">
        <v>4</v>
      </c>
      <c r="AJ301" s="98">
        <v>0</v>
      </c>
      <c r="AK301" s="98">
        <v>0</v>
      </c>
      <c r="AL301" s="380">
        <v>0</v>
      </c>
      <c r="AN301" s="214">
        <f t="shared" si="64"/>
        <v>46264.5</v>
      </c>
      <c r="AO301" s="214">
        <f t="shared" si="65"/>
        <v>2011.5</v>
      </c>
      <c r="AP301" s="214">
        <f t="shared" si="66"/>
        <v>0</v>
      </c>
      <c r="AQ301" s="214">
        <f t="shared" si="67"/>
        <v>0</v>
      </c>
      <c r="AR301" s="214">
        <f t="shared" si="68"/>
        <v>0</v>
      </c>
      <c r="AS301" s="214">
        <f t="shared" si="69"/>
        <v>0</v>
      </c>
      <c r="AT301" s="214">
        <f t="shared" si="70"/>
        <v>8046</v>
      </c>
      <c r="AU301" s="214">
        <f t="shared" si="71"/>
        <v>36207</v>
      </c>
      <c r="AV301" s="214">
        <f t="shared" si="72"/>
        <v>0</v>
      </c>
      <c r="AW301" s="215">
        <f t="shared" si="73"/>
        <v>46264.5</v>
      </c>
    </row>
    <row r="302" spans="1:49" ht="15" customHeight="1">
      <c r="A302" s="140" t="s">
        <v>378</v>
      </c>
      <c r="B302" s="211" t="s">
        <v>96</v>
      </c>
      <c r="C302" s="140" t="str">
        <f t="shared" si="61"/>
        <v>Saint Mary Catholic Schools - Neenah-WPCP</v>
      </c>
      <c r="D302" s="140">
        <v>64</v>
      </c>
      <c r="E302" s="140">
        <v>0</v>
      </c>
      <c r="F302" s="140">
        <v>0</v>
      </c>
      <c r="G302" s="140">
        <v>0</v>
      </c>
      <c r="H302" s="140">
        <v>0</v>
      </c>
      <c r="I302" s="140">
        <v>62</v>
      </c>
      <c r="J302" s="140">
        <v>471</v>
      </c>
      <c r="K302" s="140">
        <v>250</v>
      </c>
      <c r="L302" s="140">
        <f t="shared" si="62"/>
        <v>847</v>
      </c>
      <c r="N302" s="140">
        <v>0</v>
      </c>
      <c r="O302" s="140">
        <v>0</v>
      </c>
      <c r="P302" s="140">
        <v>0</v>
      </c>
      <c r="Q302" s="140">
        <v>0</v>
      </c>
      <c r="R302" s="140">
        <v>0</v>
      </c>
      <c r="S302" s="140">
        <v>10</v>
      </c>
      <c r="T302" s="140">
        <v>93</v>
      </c>
      <c r="U302" s="140">
        <v>40</v>
      </c>
      <c r="V302" s="140">
        <f t="shared" si="63"/>
        <v>143</v>
      </c>
      <c r="X302" s="98">
        <v>0</v>
      </c>
      <c r="Y302" s="98">
        <v>0</v>
      </c>
      <c r="Z302" s="98">
        <v>0</v>
      </c>
      <c r="AA302" s="98">
        <v>0</v>
      </c>
      <c r="AB302" s="98">
        <v>0</v>
      </c>
      <c r="AC302" s="98">
        <v>0</v>
      </c>
      <c r="AD302" s="98">
        <v>0</v>
      </c>
      <c r="AE302" s="98">
        <v>0</v>
      </c>
      <c r="AF302" s="98">
        <f t="shared" si="74"/>
        <v>0</v>
      </c>
      <c r="AH302" s="98">
        <v>88</v>
      </c>
      <c r="AJ302" s="98">
        <v>0</v>
      </c>
      <c r="AK302" s="98">
        <v>0</v>
      </c>
      <c r="AL302" s="380">
        <v>0</v>
      </c>
      <c r="AN302" s="214">
        <f t="shared" si="64"/>
        <v>588209</v>
      </c>
      <c r="AO302" s="214">
        <f t="shared" si="65"/>
        <v>0</v>
      </c>
      <c r="AP302" s="214">
        <f t="shared" si="66"/>
        <v>0</v>
      </c>
      <c r="AQ302" s="214">
        <f t="shared" si="67"/>
        <v>0</v>
      </c>
      <c r="AR302" s="214">
        <f t="shared" si="68"/>
        <v>0</v>
      </c>
      <c r="AS302" s="214">
        <f t="shared" si="69"/>
        <v>0</v>
      </c>
      <c r="AT302" s="214">
        <f t="shared" si="70"/>
        <v>40230</v>
      </c>
      <c r="AU302" s="214">
        <f t="shared" si="71"/>
        <v>374139</v>
      </c>
      <c r="AV302" s="214">
        <f t="shared" si="72"/>
        <v>173840</v>
      </c>
      <c r="AW302" s="215">
        <f t="shared" si="73"/>
        <v>588209</v>
      </c>
    </row>
    <row r="303" spans="1:49" ht="15" customHeight="1">
      <c r="A303" s="140" t="s">
        <v>354</v>
      </c>
      <c r="B303" s="211" t="s">
        <v>96</v>
      </c>
      <c r="C303" s="140" t="str">
        <f t="shared" si="61"/>
        <v>Saint Mary of the Assumption Catholic School-WPCP</v>
      </c>
      <c r="D303" s="140">
        <v>20</v>
      </c>
      <c r="E303" s="140">
        <v>0</v>
      </c>
      <c r="F303" s="140">
        <v>0</v>
      </c>
      <c r="G303" s="140">
        <v>0</v>
      </c>
      <c r="H303" s="140">
        <v>0</v>
      </c>
      <c r="I303" s="140">
        <v>17</v>
      </c>
      <c r="J303" s="140">
        <v>105</v>
      </c>
      <c r="K303" s="140">
        <v>0</v>
      </c>
      <c r="L303" s="140">
        <f t="shared" si="62"/>
        <v>142</v>
      </c>
      <c r="N303" s="140">
        <v>2</v>
      </c>
      <c r="O303" s="140">
        <v>0</v>
      </c>
      <c r="P303" s="140">
        <v>0</v>
      </c>
      <c r="Q303" s="140">
        <v>0</v>
      </c>
      <c r="R303" s="140">
        <v>0</v>
      </c>
      <c r="S303" s="140">
        <v>5</v>
      </c>
      <c r="T303" s="140">
        <v>12</v>
      </c>
      <c r="U303" s="140">
        <v>0</v>
      </c>
      <c r="V303" s="140">
        <f t="shared" si="63"/>
        <v>19</v>
      </c>
      <c r="X303" s="98">
        <v>0</v>
      </c>
      <c r="Y303" s="98">
        <v>0</v>
      </c>
      <c r="Z303" s="98">
        <v>0</v>
      </c>
      <c r="AA303" s="98">
        <v>0</v>
      </c>
      <c r="AB303" s="98">
        <v>0</v>
      </c>
      <c r="AC303" s="98">
        <v>0</v>
      </c>
      <c r="AD303" s="98">
        <v>0</v>
      </c>
      <c r="AE303" s="98">
        <v>0</v>
      </c>
      <c r="AF303" s="98">
        <f t="shared" si="74"/>
        <v>0</v>
      </c>
      <c r="AH303" s="98">
        <v>11</v>
      </c>
      <c r="AJ303" s="98">
        <v>0</v>
      </c>
      <c r="AK303" s="98">
        <v>0</v>
      </c>
      <c r="AL303" s="380">
        <v>0</v>
      </c>
      <c r="AN303" s="214">
        <f t="shared" si="64"/>
        <v>72414</v>
      </c>
      <c r="AO303" s="214">
        <f t="shared" si="65"/>
        <v>4023</v>
      </c>
      <c r="AP303" s="214">
        <f t="shared" si="66"/>
        <v>0</v>
      </c>
      <c r="AQ303" s="214">
        <f t="shared" si="67"/>
        <v>0</v>
      </c>
      <c r="AR303" s="214">
        <f t="shared" si="68"/>
        <v>0</v>
      </c>
      <c r="AS303" s="214">
        <f t="shared" si="69"/>
        <v>0</v>
      </c>
      <c r="AT303" s="214">
        <f t="shared" si="70"/>
        <v>20115</v>
      </c>
      <c r="AU303" s="214">
        <f t="shared" si="71"/>
        <v>48276</v>
      </c>
      <c r="AV303" s="214">
        <f t="shared" si="72"/>
        <v>0</v>
      </c>
      <c r="AW303" s="215">
        <f t="shared" si="73"/>
        <v>72414</v>
      </c>
    </row>
    <row r="304" spans="1:49" ht="15" customHeight="1">
      <c r="A304" s="140" t="s">
        <v>599</v>
      </c>
      <c r="B304" s="211" t="s">
        <v>96</v>
      </c>
      <c r="C304" s="140" t="str">
        <f t="shared" si="61"/>
        <v>Saint Mary of the Immaculate Conception-WPCP</v>
      </c>
      <c r="D304" s="140">
        <v>19</v>
      </c>
      <c r="E304" s="140">
        <v>0</v>
      </c>
      <c r="F304" s="140">
        <v>0</v>
      </c>
      <c r="G304" s="140">
        <v>0</v>
      </c>
      <c r="H304" s="140">
        <v>0</v>
      </c>
      <c r="I304" s="140">
        <v>13</v>
      </c>
      <c r="J304" s="140">
        <v>104</v>
      </c>
      <c r="K304" s="140">
        <v>0</v>
      </c>
      <c r="L304" s="140">
        <f t="shared" si="62"/>
        <v>136</v>
      </c>
      <c r="N304" s="140">
        <v>3</v>
      </c>
      <c r="O304" s="140">
        <v>0</v>
      </c>
      <c r="P304" s="140">
        <v>0</v>
      </c>
      <c r="Q304" s="140">
        <v>0</v>
      </c>
      <c r="R304" s="140">
        <v>0</v>
      </c>
      <c r="S304" s="140">
        <v>3</v>
      </c>
      <c r="T304" s="140">
        <v>25</v>
      </c>
      <c r="U304" s="140">
        <v>0</v>
      </c>
      <c r="V304" s="140">
        <f t="shared" si="63"/>
        <v>31</v>
      </c>
      <c r="X304" s="98">
        <v>0</v>
      </c>
      <c r="Y304" s="98">
        <v>0</v>
      </c>
      <c r="Z304" s="98">
        <v>0</v>
      </c>
      <c r="AA304" s="98">
        <v>0</v>
      </c>
      <c r="AB304" s="98">
        <v>0</v>
      </c>
      <c r="AC304" s="98">
        <v>0</v>
      </c>
      <c r="AD304" s="98">
        <v>0</v>
      </c>
      <c r="AE304" s="98">
        <v>0</v>
      </c>
      <c r="AF304" s="98">
        <f t="shared" si="74"/>
        <v>0</v>
      </c>
      <c r="AH304" s="98">
        <v>16</v>
      </c>
      <c r="AJ304" s="98">
        <v>0</v>
      </c>
      <c r="AK304" s="98">
        <v>0</v>
      </c>
      <c r="AL304" s="380">
        <v>0</v>
      </c>
      <c r="AN304" s="214">
        <f t="shared" si="64"/>
        <v>118678.5</v>
      </c>
      <c r="AO304" s="214">
        <f t="shared" si="65"/>
        <v>6034.5</v>
      </c>
      <c r="AP304" s="214">
        <f t="shared" si="66"/>
        <v>0</v>
      </c>
      <c r="AQ304" s="214">
        <f t="shared" si="67"/>
        <v>0</v>
      </c>
      <c r="AR304" s="214">
        <f t="shared" si="68"/>
        <v>0</v>
      </c>
      <c r="AS304" s="214">
        <f t="shared" si="69"/>
        <v>0</v>
      </c>
      <c r="AT304" s="214">
        <f t="shared" si="70"/>
        <v>12069</v>
      </c>
      <c r="AU304" s="214">
        <f t="shared" si="71"/>
        <v>100575</v>
      </c>
      <c r="AV304" s="214">
        <f t="shared" si="72"/>
        <v>0</v>
      </c>
      <c r="AW304" s="215">
        <f t="shared" si="73"/>
        <v>118678.5</v>
      </c>
    </row>
    <row r="305" spans="1:49" ht="15" customHeight="1">
      <c r="A305" s="140" t="s">
        <v>355</v>
      </c>
      <c r="B305" s="211" t="s">
        <v>96</v>
      </c>
      <c r="C305" s="140" t="str">
        <f t="shared" si="61"/>
        <v>Saint Mary Saint Michael School-WPCP</v>
      </c>
      <c r="D305" s="140">
        <v>3</v>
      </c>
      <c r="E305" s="140">
        <v>0</v>
      </c>
      <c r="F305" s="140">
        <v>0</v>
      </c>
      <c r="G305" s="140">
        <v>0</v>
      </c>
      <c r="H305" s="140">
        <v>0</v>
      </c>
      <c r="I305" s="140">
        <v>5</v>
      </c>
      <c r="J305" s="140">
        <v>34</v>
      </c>
      <c r="K305" s="140">
        <v>0</v>
      </c>
      <c r="L305" s="140">
        <f t="shared" si="62"/>
        <v>42</v>
      </c>
      <c r="N305" s="140">
        <v>2</v>
      </c>
      <c r="O305" s="140">
        <v>0</v>
      </c>
      <c r="P305" s="140">
        <v>0</v>
      </c>
      <c r="Q305" s="140">
        <v>0</v>
      </c>
      <c r="R305" s="140">
        <v>0</v>
      </c>
      <c r="S305" s="140">
        <v>2</v>
      </c>
      <c r="T305" s="140">
        <v>10</v>
      </c>
      <c r="U305" s="140">
        <v>0</v>
      </c>
      <c r="V305" s="140">
        <f t="shared" si="63"/>
        <v>14</v>
      </c>
      <c r="X305" s="98">
        <v>0</v>
      </c>
      <c r="Y305" s="98">
        <v>0</v>
      </c>
      <c r="Z305" s="98">
        <v>0</v>
      </c>
      <c r="AA305" s="98">
        <v>0</v>
      </c>
      <c r="AB305" s="98">
        <v>0</v>
      </c>
      <c r="AC305" s="98">
        <v>0</v>
      </c>
      <c r="AD305" s="98">
        <v>0</v>
      </c>
      <c r="AE305" s="98">
        <v>0</v>
      </c>
      <c r="AF305" s="98">
        <f t="shared" si="74"/>
        <v>0</v>
      </c>
      <c r="AH305" s="98">
        <v>8</v>
      </c>
      <c r="AJ305" s="98">
        <v>0</v>
      </c>
      <c r="AK305" s="98">
        <v>0</v>
      </c>
      <c r="AL305" s="380">
        <v>0</v>
      </c>
      <c r="AN305" s="214">
        <f t="shared" si="64"/>
        <v>52299</v>
      </c>
      <c r="AO305" s="214">
        <f t="shared" si="65"/>
        <v>4023</v>
      </c>
      <c r="AP305" s="214">
        <f t="shared" si="66"/>
        <v>0</v>
      </c>
      <c r="AQ305" s="214">
        <f t="shared" si="67"/>
        <v>0</v>
      </c>
      <c r="AR305" s="214">
        <f t="shared" si="68"/>
        <v>0</v>
      </c>
      <c r="AS305" s="214">
        <f t="shared" si="69"/>
        <v>0</v>
      </c>
      <c r="AT305" s="214">
        <f t="shared" si="70"/>
        <v>8046</v>
      </c>
      <c r="AU305" s="214">
        <f t="shared" si="71"/>
        <v>40230</v>
      </c>
      <c r="AV305" s="214">
        <f t="shared" si="72"/>
        <v>0</v>
      </c>
      <c r="AW305" s="215">
        <f t="shared" si="73"/>
        <v>52299</v>
      </c>
    </row>
    <row r="306" spans="1:49" ht="15" customHeight="1">
      <c r="A306" s="140" t="s">
        <v>470</v>
      </c>
      <c r="B306" s="211" t="s">
        <v>96</v>
      </c>
      <c r="C306" s="140" t="str">
        <f t="shared" si="61"/>
        <v>Saint Mary School - Algoma-WPCP</v>
      </c>
      <c r="D306" s="140">
        <v>3</v>
      </c>
      <c r="E306" s="140">
        <v>0</v>
      </c>
      <c r="F306" s="140">
        <v>0</v>
      </c>
      <c r="G306" s="140">
        <v>0</v>
      </c>
      <c r="H306" s="140">
        <v>0</v>
      </c>
      <c r="I306" s="140">
        <v>2</v>
      </c>
      <c r="J306" s="140">
        <v>11</v>
      </c>
      <c r="K306" s="140">
        <v>0</v>
      </c>
      <c r="L306" s="140">
        <f t="shared" si="62"/>
        <v>16</v>
      </c>
      <c r="N306" s="140">
        <v>1</v>
      </c>
      <c r="O306" s="140">
        <v>0</v>
      </c>
      <c r="P306" s="140">
        <v>0</v>
      </c>
      <c r="Q306" s="140">
        <v>0</v>
      </c>
      <c r="R306" s="140">
        <v>0</v>
      </c>
      <c r="S306" s="140">
        <v>0</v>
      </c>
      <c r="T306" s="140">
        <v>1</v>
      </c>
      <c r="U306" s="140">
        <v>0</v>
      </c>
      <c r="V306" s="140">
        <f t="shared" si="63"/>
        <v>2</v>
      </c>
      <c r="X306" s="98">
        <v>0</v>
      </c>
      <c r="Y306" s="98">
        <v>0</v>
      </c>
      <c r="Z306" s="98">
        <v>0</v>
      </c>
      <c r="AA306" s="98">
        <v>0</v>
      </c>
      <c r="AB306" s="98">
        <v>0</v>
      </c>
      <c r="AC306" s="98">
        <v>0</v>
      </c>
      <c r="AD306" s="98">
        <v>0</v>
      </c>
      <c r="AE306" s="98">
        <v>0</v>
      </c>
      <c r="AF306" s="98">
        <f t="shared" si="74"/>
        <v>0</v>
      </c>
      <c r="AH306" s="98">
        <v>2</v>
      </c>
      <c r="AJ306" s="98">
        <v>0</v>
      </c>
      <c r="AK306" s="98">
        <v>0</v>
      </c>
      <c r="AL306" s="380">
        <v>0</v>
      </c>
      <c r="AN306" s="214">
        <f t="shared" si="64"/>
        <v>6034.5</v>
      </c>
      <c r="AO306" s="214">
        <f t="shared" si="65"/>
        <v>2011.5</v>
      </c>
      <c r="AP306" s="214">
        <f t="shared" si="66"/>
        <v>0</v>
      </c>
      <c r="AQ306" s="214">
        <f t="shared" si="67"/>
        <v>0</v>
      </c>
      <c r="AR306" s="214">
        <f t="shared" si="68"/>
        <v>0</v>
      </c>
      <c r="AS306" s="214">
        <f t="shared" si="69"/>
        <v>0</v>
      </c>
      <c r="AT306" s="214">
        <f t="shared" si="70"/>
        <v>0</v>
      </c>
      <c r="AU306" s="214">
        <f t="shared" si="71"/>
        <v>4023</v>
      </c>
      <c r="AV306" s="214">
        <f t="shared" si="72"/>
        <v>0</v>
      </c>
      <c r="AW306" s="215">
        <f t="shared" si="73"/>
        <v>6034.5</v>
      </c>
    </row>
    <row r="307" spans="1:49" ht="15" customHeight="1">
      <c r="A307" s="140" t="s">
        <v>471</v>
      </c>
      <c r="B307" s="211" t="s">
        <v>96</v>
      </c>
      <c r="C307" s="140" t="str">
        <f t="shared" si="61"/>
        <v>Saint Mary School - Colby-WPCP</v>
      </c>
      <c r="D307" s="140">
        <v>7</v>
      </c>
      <c r="E307" s="140">
        <v>0</v>
      </c>
      <c r="F307" s="140">
        <v>0</v>
      </c>
      <c r="G307" s="140">
        <v>0</v>
      </c>
      <c r="H307" s="140">
        <v>0</v>
      </c>
      <c r="I307" s="140">
        <v>16</v>
      </c>
      <c r="J307" s="140">
        <v>68</v>
      </c>
      <c r="K307" s="140">
        <v>0</v>
      </c>
      <c r="L307" s="140">
        <f t="shared" si="62"/>
        <v>91</v>
      </c>
      <c r="N307" s="140">
        <v>2</v>
      </c>
      <c r="O307" s="140">
        <v>0</v>
      </c>
      <c r="P307" s="140">
        <v>0</v>
      </c>
      <c r="Q307" s="140">
        <v>0</v>
      </c>
      <c r="R307" s="140">
        <v>0</v>
      </c>
      <c r="S307" s="140">
        <v>7</v>
      </c>
      <c r="T307" s="140">
        <v>22</v>
      </c>
      <c r="U307" s="140">
        <v>0</v>
      </c>
      <c r="V307" s="140">
        <f t="shared" si="63"/>
        <v>31</v>
      </c>
      <c r="X307" s="98">
        <v>0</v>
      </c>
      <c r="Y307" s="98">
        <v>0</v>
      </c>
      <c r="Z307" s="98">
        <v>0</v>
      </c>
      <c r="AA307" s="98">
        <v>0</v>
      </c>
      <c r="AB307" s="98">
        <v>0</v>
      </c>
      <c r="AC307" s="98">
        <v>0</v>
      </c>
      <c r="AD307" s="98">
        <v>0</v>
      </c>
      <c r="AE307" s="98">
        <v>0</v>
      </c>
      <c r="AF307" s="98">
        <f t="shared" si="74"/>
        <v>0</v>
      </c>
      <c r="AH307" s="98">
        <v>14</v>
      </c>
      <c r="AJ307" s="98">
        <v>0</v>
      </c>
      <c r="AK307" s="98">
        <v>0</v>
      </c>
      <c r="AL307" s="380">
        <v>0</v>
      </c>
      <c r="AN307" s="214">
        <f t="shared" si="64"/>
        <v>120690</v>
      </c>
      <c r="AO307" s="214">
        <f t="shared" si="65"/>
        <v>4023</v>
      </c>
      <c r="AP307" s="214">
        <f t="shared" si="66"/>
        <v>0</v>
      </c>
      <c r="AQ307" s="214">
        <f t="shared" si="67"/>
        <v>0</v>
      </c>
      <c r="AR307" s="214">
        <f t="shared" si="68"/>
        <v>0</v>
      </c>
      <c r="AS307" s="214">
        <f t="shared" si="69"/>
        <v>0</v>
      </c>
      <c r="AT307" s="214">
        <f t="shared" si="70"/>
        <v>28161</v>
      </c>
      <c r="AU307" s="214">
        <f t="shared" si="71"/>
        <v>88506</v>
      </c>
      <c r="AV307" s="214">
        <f t="shared" si="72"/>
        <v>0</v>
      </c>
      <c r="AW307" s="215">
        <f t="shared" si="73"/>
        <v>120690</v>
      </c>
    </row>
    <row r="308" spans="1:49" ht="15" customHeight="1">
      <c r="A308" s="140" t="s">
        <v>356</v>
      </c>
      <c r="B308" s="211" t="s">
        <v>96</v>
      </c>
      <c r="C308" s="140" t="str">
        <f t="shared" si="61"/>
        <v>Saint Mary School - Luxemburg-WPCP</v>
      </c>
      <c r="D308" s="140">
        <v>17</v>
      </c>
      <c r="E308" s="140">
        <v>0</v>
      </c>
      <c r="F308" s="140">
        <v>0</v>
      </c>
      <c r="G308" s="140">
        <v>0</v>
      </c>
      <c r="H308" s="140">
        <v>0</v>
      </c>
      <c r="I308" s="140">
        <v>14</v>
      </c>
      <c r="J308" s="140">
        <v>47</v>
      </c>
      <c r="K308" s="140">
        <v>0</v>
      </c>
      <c r="L308" s="140">
        <f t="shared" si="62"/>
        <v>78</v>
      </c>
      <c r="N308" s="140">
        <v>3</v>
      </c>
      <c r="O308" s="140">
        <v>0</v>
      </c>
      <c r="P308" s="140">
        <v>0</v>
      </c>
      <c r="Q308" s="140">
        <v>0</v>
      </c>
      <c r="R308" s="140">
        <v>0</v>
      </c>
      <c r="S308" s="140">
        <v>3</v>
      </c>
      <c r="T308" s="140">
        <v>5</v>
      </c>
      <c r="U308" s="140">
        <v>0</v>
      </c>
      <c r="V308" s="140">
        <f t="shared" si="63"/>
        <v>11</v>
      </c>
      <c r="X308" s="98">
        <v>0</v>
      </c>
      <c r="Y308" s="98">
        <v>0</v>
      </c>
      <c r="Z308" s="98">
        <v>0</v>
      </c>
      <c r="AA308" s="98">
        <v>0</v>
      </c>
      <c r="AB308" s="98">
        <v>0</v>
      </c>
      <c r="AC308" s="98">
        <v>0</v>
      </c>
      <c r="AD308" s="98">
        <v>0</v>
      </c>
      <c r="AE308" s="98">
        <v>0</v>
      </c>
      <c r="AF308" s="98">
        <f t="shared" si="74"/>
        <v>0</v>
      </c>
      <c r="AH308" s="98">
        <v>8</v>
      </c>
      <c r="AJ308" s="98">
        <v>0</v>
      </c>
      <c r="AK308" s="98">
        <v>0</v>
      </c>
      <c r="AL308" s="380">
        <v>0</v>
      </c>
      <c r="AN308" s="214">
        <f t="shared" si="64"/>
        <v>38218.5</v>
      </c>
      <c r="AO308" s="214">
        <f t="shared" si="65"/>
        <v>6034.5</v>
      </c>
      <c r="AP308" s="214">
        <f t="shared" si="66"/>
        <v>0</v>
      </c>
      <c r="AQ308" s="214">
        <f t="shared" si="67"/>
        <v>0</v>
      </c>
      <c r="AR308" s="214">
        <f t="shared" si="68"/>
        <v>0</v>
      </c>
      <c r="AS308" s="214">
        <f t="shared" si="69"/>
        <v>0</v>
      </c>
      <c r="AT308" s="214">
        <f t="shared" si="70"/>
        <v>12069</v>
      </c>
      <c r="AU308" s="214">
        <f t="shared" si="71"/>
        <v>20115</v>
      </c>
      <c r="AV308" s="214">
        <f t="shared" si="72"/>
        <v>0</v>
      </c>
      <c r="AW308" s="215">
        <f t="shared" si="73"/>
        <v>38218.5</v>
      </c>
    </row>
    <row r="309" spans="1:49" ht="15" customHeight="1">
      <c r="A309" s="140" t="s">
        <v>149</v>
      </c>
      <c r="B309" s="211" t="s">
        <v>96</v>
      </c>
      <c r="C309" s="140" t="str">
        <f t="shared" si="61"/>
        <v>Saint Mary's Springs Academy-WPCP</v>
      </c>
      <c r="D309" s="140">
        <v>38</v>
      </c>
      <c r="E309" s="140">
        <v>0</v>
      </c>
      <c r="F309" s="140">
        <v>0</v>
      </c>
      <c r="G309" s="140">
        <v>0</v>
      </c>
      <c r="H309" s="140">
        <v>0</v>
      </c>
      <c r="I309" s="140">
        <v>65</v>
      </c>
      <c r="J309" s="140">
        <v>479</v>
      </c>
      <c r="K309" s="140">
        <v>293</v>
      </c>
      <c r="L309" s="140">
        <f t="shared" si="62"/>
        <v>875</v>
      </c>
      <c r="N309" s="140">
        <v>6</v>
      </c>
      <c r="O309" s="140">
        <v>0</v>
      </c>
      <c r="P309" s="140">
        <v>0</v>
      </c>
      <c r="Q309" s="140">
        <v>0</v>
      </c>
      <c r="R309" s="140">
        <v>0</v>
      </c>
      <c r="S309" s="140">
        <v>7</v>
      </c>
      <c r="T309" s="140">
        <v>61</v>
      </c>
      <c r="U309" s="140">
        <v>34</v>
      </c>
      <c r="V309" s="140">
        <f t="shared" si="63"/>
        <v>108</v>
      </c>
      <c r="X309" s="98">
        <v>0</v>
      </c>
      <c r="Y309" s="98">
        <v>0</v>
      </c>
      <c r="Z309" s="98">
        <v>0</v>
      </c>
      <c r="AA309" s="98">
        <v>0</v>
      </c>
      <c r="AB309" s="98">
        <v>0</v>
      </c>
      <c r="AC309" s="98">
        <v>0</v>
      </c>
      <c r="AD309" s="98">
        <v>0</v>
      </c>
      <c r="AE309" s="98">
        <v>0</v>
      </c>
      <c r="AF309" s="98">
        <f t="shared" si="74"/>
        <v>0</v>
      </c>
      <c r="AH309" s="98">
        <v>62</v>
      </c>
      <c r="AJ309" s="98">
        <v>0</v>
      </c>
      <c r="AK309" s="98">
        <v>0</v>
      </c>
      <c r="AL309" s="380">
        <v>0</v>
      </c>
      <c r="AN309" s="214">
        <f t="shared" si="64"/>
        <v>433397</v>
      </c>
      <c r="AO309" s="214">
        <f t="shared" si="65"/>
        <v>12069</v>
      </c>
      <c r="AP309" s="214">
        <f t="shared" si="66"/>
        <v>0</v>
      </c>
      <c r="AQ309" s="214">
        <f t="shared" si="67"/>
        <v>0</v>
      </c>
      <c r="AR309" s="214">
        <f t="shared" si="68"/>
        <v>0</v>
      </c>
      <c r="AS309" s="214">
        <f t="shared" si="69"/>
        <v>0</v>
      </c>
      <c r="AT309" s="214">
        <f t="shared" si="70"/>
        <v>28161</v>
      </c>
      <c r="AU309" s="214">
        <f t="shared" si="71"/>
        <v>245403</v>
      </c>
      <c r="AV309" s="214">
        <f t="shared" si="72"/>
        <v>147764</v>
      </c>
      <c r="AW309" s="215">
        <f t="shared" si="73"/>
        <v>433397</v>
      </c>
    </row>
    <row r="310" spans="1:49" ht="15" customHeight="1">
      <c r="A310" s="140" t="s">
        <v>543</v>
      </c>
      <c r="B310" s="211" t="s">
        <v>188</v>
      </c>
      <c r="C310" s="140" t="str">
        <f t="shared" si="61"/>
        <v>Saint Matthew School - Oak Creek-RPCP</v>
      </c>
      <c r="D310" s="140">
        <v>13</v>
      </c>
      <c r="E310" s="140">
        <v>0</v>
      </c>
      <c r="F310" s="140">
        <v>0</v>
      </c>
      <c r="G310" s="140">
        <v>0</v>
      </c>
      <c r="H310" s="140">
        <v>0</v>
      </c>
      <c r="I310" s="140">
        <v>15</v>
      </c>
      <c r="J310" s="140">
        <v>144</v>
      </c>
      <c r="K310" s="140">
        <v>0</v>
      </c>
      <c r="L310" s="140">
        <f t="shared" si="62"/>
        <v>172</v>
      </c>
      <c r="N310" s="140">
        <v>0</v>
      </c>
      <c r="O310" s="140">
        <v>0</v>
      </c>
      <c r="P310" s="140">
        <v>0</v>
      </c>
      <c r="Q310" s="140">
        <v>0</v>
      </c>
      <c r="R310" s="140">
        <v>0</v>
      </c>
      <c r="S310" s="140">
        <v>1</v>
      </c>
      <c r="T310" s="140">
        <v>24</v>
      </c>
      <c r="U310" s="140">
        <v>0</v>
      </c>
      <c r="V310" s="140">
        <f t="shared" si="63"/>
        <v>25</v>
      </c>
      <c r="X310" s="98">
        <v>0</v>
      </c>
      <c r="Y310" s="98">
        <v>0</v>
      </c>
      <c r="Z310" s="98">
        <v>0</v>
      </c>
      <c r="AA310" s="98">
        <v>0</v>
      </c>
      <c r="AB310" s="98">
        <v>0</v>
      </c>
      <c r="AC310" s="98">
        <v>0</v>
      </c>
      <c r="AD310" s="98">
        <v>0</v>
      </c>
      <c r="AE310" s="98">
        <v>0</v>
      </c>
      <c r="AF310" s="98">
        <f t="shared" si="74"/>
        <v>0</v>
      </c>
      <c r="AH310" s="98">
        <v>18</v>
      </c>
      <c r="AJ310" s="98">
        <v>0</v>
      </c>
      <c r="AK310" s="98">
        <v>0</v>
      </c>
      <c r="AL310" s="380">
        <v>0</v>
      </c>
      <c r="AN310" s="214">
        <f t="shared" si="64"/>
        <v>100575</v>
      </c>
      <c r="AO310" s="214">
        <f t="shared" si="65"/>
        <v>0</v>
      </c>
      <c r="AP310" s="214">
        <f t="shared" si="66"/>
        <v>0</v>
      </c>
      <c r="AQ310" s="214">
        <f t="shared" si="67"/>
        <v>0</v>
      </c>
      <c r="AR310" s="214">
        <f t="shared" si="68"/>
        <v>0</v>
      </c>
      <c r="AS310" s="214">
        <f t="shared" si="69"/>
        <v>0</v>
      </c>
      <c r="AT310" s="214">
        <f t="shared" si="70"/>
        <v>4023</v>
      </c>
      <c r="AU310" s="214">
        <f t="shared" si="71"/>
        <v>96552</v>
      </c>
      <c r="AV310" s="214">
        <f t="shared" si="72"/>
        <v>0</v>
      </c>
      <c r="AW310" s="215">
        <f t="shared" si="73"/>
        <v>100575</v>
      </c>
    </row>
    <row r="311" spans="1:49" ht="15" customHeight="1">
      <c r="A311" s="140" t="s">
        <v>544</v>
      </c>
      <c r="B311" s="211" t="s">
        <v>96</v>
      </c>
      <c r="C311" s="140" t="str">
        <f t="shared" si="61"/>
        <v>Saint Matthew's Lutheran School - Oconomowoc-WPCP</v>
      </c>
      <c r="D311" s="140">
        <v>17</v>
      </c>
      <c r="E311" s="140">
        <v>0</v>
      </c>
      <c r="F311" s="140">
        <v>0</v>
      </c>
      <c r="G311" s="140">
        <v>0</v>
      </c>
      <c r="H311" s="140">
        <v>0</v>
      </c>
      <c r="I311" s="140">
        <v>13</v>
      </c>
      <c r="J311" s="140">
        <v>139</v>
      </c>
      <c r="K311" s="140">
        <v>0</v>
      </c>
      <c r="L311" s="140">
        <f t="shared" si="62"/>
        <v>169</v>
      </c>
      <c r="N311" s="140">
        <v>3</v>
      </c>
      <c r="O311" s="140">
        <v>0</v>
      </c>
      <c r="P311" s="140">
        <v>0</v>
      </c>
      <c r="Q311" s="140">
        <v>0</v>
      </c>
      <c r="R311" s="140">
        <v>0</v>
      </c>
      <c r="S311" s="140">
        <v>4</v>
      </c>
      <c r="T311" s="140">
        <v>14</v>
      </c>
      <c r="U311" s="140">
        <v>0</v>
      </c>
      <c r="V311" s="140">
        <f t="shared" si="63"/>
        <v>21</v>
      </c>
      <c r="X311" s="98">
        <v>0</v>
      </c>
      <c r="Y311" s="98">
        <v>0</v>
      </c>
      <c r="Z311" s="98">
        <v>0</v>
      </c>
      <c r="AA311" s="98">
        <v>0</v>
      </c>
      <c r="AB311" s="98">
        <v>0</v>
      </c>
      <c r="AC311" s="98">
        <v>0</v>
      </c>
      <c r="AD311" s="98">
        <v>0</v>
      </c>
      <c r="AE311" s="98">
        <v>0</v>
      </c>
      <c r="AF311" s="98">
        <f t="shared" si="74"/>
        <v>0</v>
      </c>
      <c r="AH311" s="98">
        <v>14</v>
      </c>
      <c r="AJ311" s="98">
        <v>0</v>
      </c>
      <c r="AK311" s="98">
        <v>0</v>
      </c>
      <c r="AL311" s="380">
        <v>0</v>
      </c>
      <c r="AN311" s="214">
        <f t="shared" si="64"/>
        <v>78448.5</v>
      </c>
      <c r="AO311" s="214">
        <f t="shared" si="65"/>
        <v>6034.5</v>
      </c>
      <c r="AP311" s="214">
        <f t="shared" si="66"/>
        <v>0</v>
      </c>
      <c r="AQ311" s="214">
        <f t="shared" si="67"/>
        <v>0</v>
      </c>
      <c r="AR311" s="214">
        <f t="shared" si="68"/>
        <v>0</v>
      </c>
      <c r="AS311" s="214">
        <f t="shared" si="69"/>
        <v>0</v>
      </c>
      <c r="AT311" s="214">
        <f t="shared" si="70"/>
        <v>16092</v>
      </c>
      <c r="AU311" s="214">
        <f t="shared" si="71"/>
        <v>56322</v>
      </c>
      <c r="AV311" s="214">
        <f t="shared" si="72"/>
        <v>0</v>
      </c>
      <c r="AW311" s="215">
        <f t="shared" si="73"/>
        <v>78448.5</v>
      </c>
    </row>
    <row r="312" spans="1:49" ht="15" customHeight="1">
      <c r="A312" s="140" t="s">
        <v>248</v>
      </c>
      <c r="B312" s="211" t="s">
        <v>187</v>
      </c>
      <c r="C312" s="140" t="str">
        <f t="shared" si="61"/>
        <v>Saint Matthias Parish School-MPCP</v>
      </c>
      <c r="D312" s="140">
        <v>0</v>
      </c>
      <c r="E312" s="140">
        <v>15</v>
      </c>
      <c r="F312" s="140">
        <v>0</v>
      </c>
      <c r="G312" s="140">
        <v>0</v>
      </c>
      <c r="H312" s="140">
        <v>0</v>
      </c>
      <c r="I312" s="140">
        <v>24</v>
      </c>
      <c r="J312" s="140">
        <v>178</v>
      </c>
      <c r="K312" s="140">
        <v>0</v>
      </c>
      <c r="L312" s="140">
        <f t="shared" si="62"/>
        <v>217</v>
      </c>
      <c r="N312" s="140">
        <v>0</v>
      </c>
      <c r="O312" s="140">
        <v>10</v>
      </c>
      <c r="P312" s="140">
        <v>0</v>
      </c>
      <c r="Q312" s="140">
        <v>0</v>
      </c>
      <c r="R312" s="140">
        <v>0</v>
      </c>
      <c r="S312" s="140">
        <v>14</v>
      </c>
      <c r="T312" s="140">
        <v>91</v>
      </c>
      <c r="U312" s="140">
        <v>0</v>
      </c>
      <c r="V312" s="140">
        <f t="shared" si="63"/>
        <v>115</v>
      </c>
      <c r="X312" s="98">
        <v>0</v>
      </c>
      <c r="Y312" s="98">
        <v>0</v>
      </c>
      <c r="Z312" s="98">
        <v>0</v>
      </c>
      <c r="AA312" s="98">
        <v>0</v>
      </c>
      <c r="AB312" s="98">
        <v>0</v>
      </c>
      <c r="AC312" s="98">
        <v>0</v>
      </c>
      <c r="AD312" s="98">
        <v>0</v>
      </c>
      <c r="AE312" s="98">
        <v>0</v>
      </c>
      <c r="AF312" s="98">
        <f t="shared" si="74"/>
        <v>0</v>
      </c>
      <c r="AH312" s="98">
        <v>73</v>
      </c>
      <c r="AJ312" s="98">
        <v>0</v>
      </c>
      <c r="AK312" s="98">
        <v>0</v>
      </c>
      <c r="AL312" s="380">
        <v>0</v>
      </c>
      <c r="AN312" s="214">
        <f t="shared" si="64"/>
        <v>446553</v>
      </c>
      <c r="AO312" s="214">
        <f t="shared" si="65"/>
        <v>0</v>
      </c>
      <c r="AP312" s="214">
        <f t="shared" si="66"/>
        <v>24138</v>
      </c>
      <c r="AQ312" s="214">
        <f t="shared" si="67"/>
        <v>0</v>
      </c>
      <c r="AR312" s="214">
        <f t="shared" si="68"/>
        <v>0</v>
      </c>
      <c r="AS312" s="214">
        <f t="shared" si="69"/>
        <v>0</v>
      </c>
      <c r="AT312" s="214">
        <f t="shared" si="70"/>
        <v>56322</v>
      </c>
      <c r="AU312" s="214">
        <f t="shared" si="71"/>
        <v>366093</v>
      </c>
      <c r="AV312" s="214">
        <f t="shared" si="72"/>
        <v>0</v>
      </c>
      <c r="AW312" s="215">
        <f t="shared" si="73"/>
        <v>446553</v>
      </c>
    </row>
    <row r="313" spans="1:49" ht="15" customHeight="1">
      <c r="A313" s="140" t="s">
        <v>248</v>
      </c>
      <c r="B313" s="211" t="s">
        <v>96</v>
      </c>
      <c r="C313" s="140" t="str">
        <f t="shared" si="61"/>
        <v>Saint Matthias Parish School-WPCP</v>
      </c>
      <c r="D313" s="140">
        <v>0</v>
      </c>
      <c r="E313" s="140">
        <v>15</v>
      </c>
      <c r="F313" s="140">
        <v>0</v>
      </c>
      <c r="G313" s="140">
        <v>0</v>
      </c>
      <c r="H313" s="140">
        <v>0</v>
      </c>
      <c r="I313" s="140">
        <v>24</v>
      </c>
      <c r="J313" s="140">
        <v>178</v>
      </c>
      <c r="K313" s="140">
        <v>0</v>
      </c>
      <c r="L313" s="140">
        <f t="shared" si="62"/>
        <v>217</v>
      </c>
      <c r="N313" s="140">
        <v>0</v>
      </c>
      <c r="O313" s="140">
        <v>2</v>
      </c>
      <c r="P313" s="140">
        <v>0</v>
      </c>
      <c r="Q313" s="140">
        <v>0</v>
      </c>
      <c r="R313" s="140">
        <v>0</v>
      </c>
      <c r="S313" s="140">
        <v>1</v>
      </c>
      <c r="T313" s="140">
        <v>16</v>
      </c>
      <c r="U313" s="140">
        <v>0</v>
      </c>
      <c r="V313" s="140">
        <f t="shared" si="63"/>
        <v>19</v>
      </c>
      <c r="X313" s="98">
        <v>0</v>
      </c>
      <c r="Y313" s="98">
        <v>1</v>
      </c>
      <c r="Z313" s="98">
        <v>0</v>
      </c>
      <c r="AA313" s="98">
        <v>0</v>
      </c>
      <c r="AB313" s="98">
        <v>0</v>
      </c>
      <c r="AC313" s="98">
        <v>1</v>
      </c>
      <c r="AD313" s="98">
        <v>1</v>
      </c>
      <c r="AE313" s="98">
        <v>0</v>
      </c>
      <c r="AF313" s="98">
        <f t="shared" si="74"/>
        <v>3</v>
      </c>
      <c r="AH313" s="98">
        <v>11</v>
      </c>
      <c r="AJ313" s="98">
        <v>0</v>
      </c>
      <c r="AK313" s="98">
        <v>0</v>
      </c>
      <c r="AL313" s="380">
        <v>0</v>
      </c>
      <c r="AN313" s="214">
        <f t="shared" si="64"/>
        <v>73218.6</v>
      </c>
      <c r="AO313" s="214">
        <f t="shared" si="65"/>
        <v>0</v>
      </c>
      <c r="AP313" s="214">
        <f t="shared" si="66"/>
        <v>4827.6</v>
      </c>
      <c r="AQ313" s="214">
        <f t="shared" si="67"/>
        <v>0</v>
      </c>
      <c r="AR313" s="214">
        <f t="shared" si="68"/>
        <v>0</v>
      </c>
      <c r="AS313" s="214">
        <f t="shared" si="69"/>
        <v>0</v>
      </c>
      <c r="AT313" s="214">
        <f t="shared" si="70"/>
        <v>4023</v>
      </c>
      <c r="AU313" s="214">
        <f t="shared" si="71"/>
        <v>64368</v>
      </c>
      <c r="AV313" s="214">
        <f t="shared" si="72"/>
        <v>0</v>
      </c>
      <c r="AW313" s="215">
        <f t="shared" si="73"/>
        <v>73218.6</v>
      </c>
    </row>
    <row r="314" spans="1:49" ht="15" customHeight="1">
      <c r="A314" s="140" t="s">
        <v>472</v>
      </c>
      <c r="B314" s="211" t="s">
        <v>96</v>
      </c>
      <c r="C314" s="140" t="str">
        <f t="shared" si="61"/>
        <v>Saint Nicholas Catholic School-WPCP</v>
      </c>
      <c r="D314" s="140">
        <v>20</v>
      </c>
      <c r="E314" s="140">
        <v>0</v>
      </c>
      <c r="F314" s="140">
        <v>0</v>
      </c>
      <c r="G314" s="140">
        <v>0</v>
      </c>
      <c r="H314" s="140">
        <v>0</v>
      </c>
      <c r="I314" s="140">
        <v>9</v>
      </c>
      <c r="J314" s="140">
        <v>78</v>
      </c>
      <c r="K314" s="140">
        <v>0</v>
      </c>
      <c r="L314" s="140">
        <f t="shared" si="62"/>
        <v>107</v>
      </c>
      <c r="N314" s="140">
        <v>6</v>
      </c>
      <c r="O314" s="140">
        <v>0</v>
      </c>
      <c r="P314" s="140">
        <v>0</v>
      </c>
      <c r="Q314" s="140">
        <v>0</v>
      </c>
      <c r="R314" s="140">
        <v>0</v>
      </c>
      <c r="S314" s="140">
        <v>3</v>
      </c>
      <c r="T314" s="140">
        <v>17</v>
      </c>
      <c r="U314" s="140">
        <v>0</v>
      </c>
      <c r="V314" s="140">
        <f t="shared" si="63"/>
        <v>26</v>
      </c>
      <c r="X314" s="98">
        <v>0</v>
      </c>
      <c r="Y314" s="98">
        <v>0</v>
      </c>
      <c r="Z314" s="98">
        <v>0</v>
      </c>
      <c r="AA314" s="98">
        <v>0</v>
      </c>
      <c r="AB314" s="98">
        <v>0</v>
      </c>
      <c r="AC314" s="98">
        <v>0</v>
      </c>
      <c r="AD314" s="98">
        <v>0</v>
      </c>
      <c r="AE314" s="98">
        <v>0</v>
      </c>
      <c r="AF314" s="98">
        <f t="shared" si="74"/>
        <v>0</v>
      </c>
      <c r="AH314" s="98">
        <v>16</v>
      </c>
      <c r="AJ314" s="98">
        <v>0</v>
      </c>
      <c r="AK314" s="98">
        <v>0</v>
      </c>
      <c r="AL314" s="380">
        <v>0</v>
      </c>
      <c r="AN314" s="214">
        <f t="shared" si="64"/>
        <v>92529</v>
      </c>
      <c r="AO314" s="214">
        <f t="shared" si="65"/>
        <v>12069</v>
      </c>
      <c r="AP314" s="214">
        <f t="shared" si="66"/>
        <v>0</v>
      </c>
      <c r="AQ314" s="214">
        <f t="shared" si="67"/>
        <v>0</v>
      </c>
      <c r="AR314" s="214">
        <f t="shared" si="68"/>
        <v>0</v>
      </c>
      <c r="AS314" s="214">
        <f t="shared" si="69"/>
        <v>0</v>
      </c>
      <c r="AT314" s="214">
        <f t="shared" si="70"/>
        <v>12069</v>
      </c>
      <c r="AU314" s="214">
        <f t="shared" si="71"/>
        <v>68391</v>
      </c>
      <c r="AV314" s="214">
        <f t="shared" si="72"/>
        <v>0</v>
      </c>
      <c r="AW314" s="215">
        <f t="shared" si="73"/>
        <v>92529</v>
      </c>
    </row>
    <row r="315" spans="1:49" ht="15" customHeight="1">
      <c r="A315" s="140" t="s">
        <v>473</v>
      </c>
      <c r="B315" s="211" t="s">
        <v>96</v>
      </c>
      <c r="C315" s="140" t="str">
        <f t="shared" si="61"/>
        <v>Saint Patrick School-WPCP</v>
      </c>
      <c r="D315" s="140">
        <v>14</v>
      </c>
      <c r="E315" s="140">
        <v>0</v>
      </c>
      <c r="F315" s="140">
        <v>0</v>
      </c>
      <c r="G315" s="140">
        <v>0</v>
      </c>
      <c r="H315" s="140">
        <v>0</v>
      </c>
      <c r="I315" s="140">
        <v>9</v>
      </c>
      <c r="J315" s="140">
        <v>101</v>
      </c>
      <c r="K315" s="140">
        <v>0</v>
      </c>
      <c r="L315" s="140">
        <f t="shared" si="62"/>
        <v>124</v>
      </c>
      <c r="N315" s="140">
        <v>3</v>
      </c>
      <c r="O315" s="140">
        <v>0</v>
      </c>
      <c r="P315" s="140">
        <v>0</v>
      </c>
      <c r="Q315" s="140">
        <v>0</v>
      </c>
      <c r="R315" s="140">
        <v>0</v>
      </c>
      <c r="S315" s="140">
        <v>3</v>
      </c>
      <c r="T315" s="140">
        <v>28</v>
      </c>
      <c r="U315" s="140">
        <v>0</v>
      </c>
      <c r="V315" s="140">
        <f t="shared" si="63"/>
        <v>34</v>
      </c>
      <c r="X315" s="98">
        <v>0</v>
      </c>
      <c r="Y315" s="98">
        <v>0</v>
      </c>
      <c r="Z315" s="98">
        <v>0</v>
      </c>
      <c r="AA315" s="98">
        <v>0</v>
      </c>
      <c r="AB315" s="98">
        <v>0</v>
      </c>
      <c r="AC315" s="98">
        <v>0</v>
      </c>
      <c r="AD315" s="98">
        <v>0</v>
      </c>
      <c r="AE315" s="98">
        <v>0</v>
      </c>
      <c r="AF315" s="98">
        <f t="shared" si="74"/>
        <v>0</v>
      </c>
      <c r="AH315" s="98">
        <v>19</v>
      </c>
      <c r="AJ315" s="98">
        <v>0</v>
      </c>
      <c r="AK315" s="98">
        <v>0</v>
      </c>
      <c r="AL315" s="380">
        <v>0</v>
      </c>
      <c r="AN315" s="214">
        <f t="shared" si="64"/>
        <v>130747.5</v>
      </c>
      <c r="AO315" s="214">
        <f t="shared" si="65"/>
        <v>6034.5</v>
      </c>
      <c r="AP315" s="214">
        <f t="shared" si="66"/>
        <v>0</v>
      </c>
      <c r="AQ315" s="214">
        <f t="shared" si="67"/>
        <v>0</v>
      </c>
      <c r="AR315" s="214">
        <f t="shared" si="68"/>
        <v>0</v>
      </c>
      <c r="AS315" s="214">
        <f t="shared" si="69"/>
        <v>0</v>
      </c>
      <c r="AT315" s="214">
        <f t="shared" si="70"/>
        <v>12069</v>
      </c>
      <c r="AU315" s="214">
        <f t="shared" si="71"/>
        <v>112644</v>
      </c>
      <c r="AV315" s="214">
        <f t="shared" si="72"/>
        <v>0</v>
      </c>
      <c r="AW315" s="215">
        <f t="shared" si="73"/>
        <v>130747.5</v>
      </c>
    </row>
    <row r="316" spans="1:49" ht="15" customHeight="1">
      <c r="A316" s="140" t="s">
        <v>249</v>
      </c>
      <c r="B316" s="211" t="s">
        <v>96</v>
      </c>
      <c r="C316" s="140" t="str">
        <f t="shared" si="61"/>
        <v>Saint Paul Lutheran School - Appleton-WPCP</v>
      </c>
      <c r="D316" s="140">
        <v>0</v>
      </c>
      <c r="E316" s="140">
        <v>0</v>
      </c>
      <c r="F316" s="140">
        <v>0</v>
      </c>
      <c r="G316" s="140">
        <v>0</v>
      </c>
      <c r="H316" s="140">
        <v>0</v>
      </c>
      <c r="I316" s="140">
        <v>21</v>
      </c>
      <c r="J316" s="140">
        <v>112</v>
      </c>
      <c r="K316" s="140">
        <v>0</v>
      </c>
      <c r="L316" s="140">
        <f t="shared" si="62"/>
        <v>133</v>
      </c>
      <c r="N316" s="140">
        <v>0</v>
      </c>
      <c r="O316" s="140">
        <v>0</v>
      </c>
      <c r="P316" s="140">
        <v>0</v>
      </c>
      <c r="Q316" s="140">
        <v>0</v>
      </c>
      <c r="R316" s="140">
        <v>0</v>
      </c>
      <c r="S316" s="140">
        <v>13</v>
      </c>
      <c r="T316" s="140">
        <v>34</v>
      </c>
      <c r="U316" s="140">
        <v>0</v>
      </c>
      <c r="V316" s="140">
        <f t="shared" si="63"/>
        <v>47</v>
      </c>
      <c r="X316" s="98">
        <v>0</v>
      </c>
      <c r="Y316" s="98">
        <v>0</v>
      </c>
      <c r="Z316" s="98">
        <v>0</v>
      </c>
      <c r="AA316" s="98">
        <v>0</v>
      </c>
      <c r="AB316" s="98">
        <v>0</v>
      </c>
      <c r="AC316" s="98">
        <v>0</v>
      </c>
      <c r="AD316" s="98">
        <v>0</v>
      </c>
      <c r="AE316" s="98">
        <v>0</v>
      </c>
      <c r="AF316" s="98">
        <f t="shared" si="74"/>
        <v>0</v>
      </c>
      <c r="AH316" s="98">
        <v>28</v>
      </c>
      <c r="AJ316" s="98">
        <v>0</v>
      </c>
      <c r="AK316" s="98">
        <v>0</v>
      </c>
      <c r="AL316" s="380">
        <v>0</v>
      </c>
      <c r="AN316" s="214">
        <f t="shared" si="64"/>
        <v>189081</v>
      </c>
      <c r="AO316" s="214">
        <f t="shared" si="65"/>
        <v>0</v>
      </c>
      <c r="AP316" s="214">
        <f t="shared" si="66"/>
        <v>0</v>
      </c>
      <c r="AQ316" s="214">
        <f t="shared" si="67"/>
        <v>0</v>
      </c>
      <c r="AR316" s="214">
        <f t="shared" si="68"/>
        <v>0</v>
      </c>
      <c r="AS316" s="214">
        <f t="shared" si="69"/>
        <v>0</v>
      </c>
      <c r="AT316" s="214">
        <f t="shared" si="70"/>
        <v>52299</v>
      </c>
      <c r="AU316" s="214">
        <f t="shared" si="71"/>
        <v>136782</v>
      </c>
      <c r="AV316" s="214">
        <f t="shared" si="72"/>
        <v>0</v>
      </c>
      <c r="AW316" s="215">
        <f t="shared" si="73"/>
        <v>189081</v>
      </c>
    </row>
    <row r="317" spans="1:49" ht="15" customHeight="1">
      <c r="A317" s="140" t="s">
        <v>150</v>
      </c>
      <c r="B317" s="211" t="s">
        <v>96</v>
      </c>
      <c r="C317" s="140" t="str">
        <f t="shared" si="61"/>
        <v>Saint Paul Lutheran School - Bonduel-WPCP</v>
      </c>
      <c r="D317" s="140">
        <v>17</v>
      </c>
      <c r="E317" s="140">
        <v>0</v>
      </c>
      <c r="F317" s="140">
        <v>0</v>
      </c>
      <c r="G317" s="140">
        <v>0</v>
      </c>
      <c r="H317" s="140">
        <v>0</v>
      </c>
      <c r="I317" s="140">
        <v>23</v>
      </c>
      <c r="J317" s="140">
        <v>155</v>
      </c>
      <c r="K317" s="140">
        <v>0</v>
      </c>
      <c r="L317" s="140">
        <f t="shared" si="62"/>
        <v>195</v>
      </c>
      <c r="N317" s="140">
        <v>4</v>
      </c>
      <c r="O317" s="140">
        <v>0</v>
      </c>
      <c r="P317" s="140">
        <v>0</v>
      </c>
      <c r="Q317" s="140">
        <v>0</v>
      </c>
      <c r="R317" s="140">
        <v>0</v>
      </c>
      <c r="S317" s="140">
        <v>11</v>
      </c>
      <c r="T317" s="140">
        <v>29</v>
      </c>
      <c r="U317" s="140">
        <v>0</v>
      </c>
      <c r="V317" s="140">
        <f t="shared" si="63"/>
        <v>44</v>
      </c>
      <c r="X317" s="98">
        <v>0</v>
      </c>
      <c r="Y317" s="98">
        <v>0</v>
      </c>
      <c r="Z317" s="98">
        <v>0</v>
      </c>
      <c r="AA317" s="98">
        <v>0</v>
      </c>
      <c r="AB317" s="98">
        <v>0</v>
      </c>
      <c r="AC317" s="98">
        <v>0</v>
      </c>
      <c r="AD317" s="98">
        <v>0</v>
      </c>
      <c r="AE317" s="98">
        <v>0</v>
      </c>
      <c r="AF317" s="98">
        <f t="shared" si="74"/>
        <v>0</v>
      </c>
      <c r="AH317" s="98">
        <v>27</v>
      </c>
      <c r="AJ317" s="98">
        <v>0</v>
      </c>
      <c r="AK317" s="98">
        <v>0</v>
      </c>
      <c r="AL317" s="380">
        <v>0</v>
      </c>
      <c r="AN317" s="214">
        <f t="shared" si="64"/>
        <v>168966</v>
      </c>
      <c r="AO317" s="214">
        <f t="shared" si="65"/>
        <v>8046</v>
      </c>
      <c r="AP317" s="214">
        <f t="shared" si="66"/>
        <v>0</v>
      </c>
      <c r="AQ317" s="214">
        <f t="shared" si="67"/>
        <v>0</v>
      </c>
      <c r="AR317" s="214">
        <f t="shared" si="68"/>
        <v>0</v>
      </c>
      <c r="AS317" s="214">
        <f t="shared" si="69"/>
        <v>0</v>
      </c>
      <c r="AT317" s="214">
        <f t="shared" si="70"/>
        <v>44253</v>
      </c>
      <c r="AU317" s="214">
        <f t="shared" si="71"/>
        <v>116667</v>
      </c>
      <c r="AV317" s="214">
        <f t="shared" si="72"/>
        <v>0</v>
      </c>
      <c r="AW317" s="215">
        <f t="shared" si="73"/>
        <v>168966</v>
      </c>
    </row>
    <row r="318" spans="1:49" ht="15" customHeight="1">
      <c r="A318" s="140" t="s">
        <v>324</v>
      </c>
      <c r="B318" s="211" t="s">
        <v>96</v>
      </c>
      <c r="C318" s="140" t="str">
        <f t="shared" si="61"/>
        <v>Saint Paul Lutheran School - Grafton-WPCP</v>
      </c>
      <c r="D318" s="140">
        <v>31</v>
      </c>
      <c r="E318" s="140">
        <v>0</v>
      </c>
      <c r="F318" s="140">
        <v>6</v>
      </c>
      <c r="G318" s="140">
        <v>0</v>
      </c>
      <c r="H318" s="140">
        <v>0</v>
      </c>
      <c r="I318" s="140">
        <v>26</v>
      </c>
      <c r="J318" s="140">
        <v>218</v>
      </c>
      <c r="K318" s="140">
        <v>0</v>
      </c>
      <c r="L318" s="140">
        <f t="shared" si="62"/>
        <v>281</v>
      </c>
      <c r="N318" s="140">
        <v>7</v>
      </c>
      <c r="O318" s="140">
        <v>0</v>
      </c>
      <c r="P318" s="140">
        <v>0</v>
      </c>
      <c r="Q318" s="140">
        <v>0</v>
      </c>
      <c r="R318" s="140">
        <v>0</v>
      </c>
      <c r="S318" s="140">
        <v>8</v>
      </c>
      <c r="T318" s="140">
        <v>25</v>
      </c>
      <c r="U318" s="140">
        <v>0</v>
      </c>
      <c r="V318" s="140">
        <f t="shared" si="63"/>
        <v>40</v>
      </c>
      <c r="X318" s="98">
        <v>0</v>
      </c>
      <c r="Y318" s="98">
        <v>0</v>
      </c>
      <c r="Z318" s="98">
        <v>0</v>
      </c>
      <c r="AA318" s="98">
        <v>0</v>
      </c>
      <c r="AB318" s="98">
        <v>0</v>
      </c>
      <c r="AC318" s="98">
        <v>0</v>
      </c>
      <c r="AD318" s="98">
        <v>0</v>
      </c>
      <c r="AE318" s="98">
        <v>0</v>
      </c>
      <c r="AF318" s="98">
        <f t="shared" si="74"/>
        <v>0</v>
      </c>
      <c r="AH318" s="98">
        <v>23</v>
      </c>
      <c r="AJ318" s="98">
        <v>0</v>
      </c>
      <c r="AK318" s="98">
        <v>0</v>
      </c>
      <c r="AL318" s="380">
        <v>0</v>
      </c>
      <c r="AN318" s="214">
        <f t="shared" si="64"/>
        <v>146839.5</v>
      </c>
      <c r="AO318" s="214">
        <f t="shared" si="65"/>
        <v>14080.5</v>
      </c>
      <c r="AP318" s="214">
        <f t="shared" si="66"/>
        <v>0</v>
      </c>
      <c r="AQ318" s="214">
        <f t="shared" si="67"/>
        <v>0</v>
      </c>
      <c r="AR318" s="214">
        <f t="shared" si="68"/>
        <v>0</v>
      </c>
      <c r="AS318" s="214">
        <f t="shared" si="69"/>
        <v>0</v>
      </c>
      <c r="AT318" s="214">
        <f t="shared" si="70"/>
        <v>32184</v>
      </c>
      <c r="AU318" s="214">
        <f t="shared" si="71"/>
        <v>100575</v>
      </c>
      <c r="AV318" s="214">
        <f t="shared" si="72"/>
        <v>0</v>
      </c>
      <c r="AW318" s="215">
        <f t="shared" si="73"/>
        <v>146839.5</v>
      </c>
    </row>
    <row r="319" spans="1:49" ht="15" customHeight="1">
      <c r="A319" s="140" t="s">
        <v>357</v>
      </c>
      <c r="B319" s="211" t="s">
        <v>96</v>
      </c>
      <c r="C319" s="140" t="str">
        <f t="shared" si="61"/>
        <v>Saint Paul Lutheran School - Green Bay-WPCP</v>
      </c>
      <c r="D319" s="140">
        <v>15</v>
      </c>
      <c r="E319" s="140">
        <v>0</v>
      </c>
      <c r="F319" s="140">
        <v>0</v>
      </c>
      <c r="G319" s="140">
        <v>0</v>
      </c>
      <c r="H319" s="140">
        <v>0</v>
      </c>
      <c r="I319" s="140">
        <v>12</v>
      </c>
      <c r="J319" s="140">
        <v>86</v>
      </c>
      <c r="K319" s="140">
        <v>0</v>
      </c>
      <c r="L319" s="140">
        <f t="shared" si="62"/>
        <v>113</v>
      </c>
      <c r="N319" s="140">
        <v>6</v>
      </c>
      <c r="O319" s="140">
        <v>0</v>
      </c>
      <c r="P319" s="140">
        <v>0</v>
      </c>
      <c r="Q319" s="140">
        <v>0</v>
      </c>
      <c r="R319" s="140">
        <v>0</v>
      </c>
      <c r="S319" s="140">
        <v>6</v>
      </c>
      <c r="T319" s="140">
        <v>14</v>
      </c>
      <c r="U319" s="140">
        <v>0</v>
      </c>
      <c r="V319" s="140">
        <f t="shared" si="63"/>
        <v>26</v>
      </c>
      <c r="X319" s="98">
        <v>0</v>
      </c>
      <c r="Y319" s="98">
        <v>0</v>
      </c>
      <c r="Z319" s="98">
        <v>0</v>
      </c>
      <c r="AA319" s="98">
        <v>0</v>
      </c>
      <c r="AB319" s="98">
        <v>0</v>
      </c>
      <c r="AC319" s="98">
        <v>0</v>
      </c>
      <c r="AD319" s="98">
        <v>0</v>
      </c>
      <c r="AE319" s="98">
        <v>0</v>
      </c>
      <c r="AF319" s="98">
        <f t="shared" si="74"/>
        <v>0</v>
      </c>
      <c r="AH319" s="98">
        <v>18</v>
      </c>
      <c r="AJ319" s="98">
        <v>0</v>
      </c>
      <c r="AK319" s="98">
        <v>0</v>
      </c>
      <c r="AL319" s="380">
        <v>0</v>
      </c>
      <c r="AN319" s="214">
        <f t="shared" si="64"/>
        <v>92529</v>
      </c>
      <c r="AO319" s="214">
        <f t="shared" si="65"/>
        <v>12069</v>
      </c>
      <c r="AP319" s="214">
        <f t="shared" si="66"/>
        <v>0</v>
      </c>
      <c r="AQ319" s="214">
        <f t="shared" si="67"/>
        <v>0</v>
      </c>
      <c r="AR319" s="214">
        <f t="shared" si="68"/>
        <v>0</v>
      </c>
      <c r="AS319" s="214">
        <f t="shared" si="69"/>
        <v>0</v>
      </c>
      <c r="AT319" s="214">
        <f t="shared" si="70"/>
        <v>24138</v>
      </c>
      <c r="AU319" s="214">
        <f t="shared" si="71"/>
        <v>56322</v>
      </c>
      <c r="AV319" s="214">
        <f t="shared" si="72"/>
        <v>0</v>
      </c>
      <c r="AW319" s="215">
        <f t="shared" si="73"/>
        <v>92529</v>
      </c>
    </row>
    <row r="320" spans="1:49" ht="15" customHeight="1">
      <c r="A320" s="140" t="s">
        <v>250</v>
      </c>
      <c r="B320" s="211" t="s">
        <v>96</v>
      </c>
      <c r="C320" s="140" t="str">
        <f t="shared" si="61"/>
        <v>Saint Paul Lutheran School - Luxemburg-WPCP</v>
      </c>
      <c r="D320" s="140">
        <v>6</v>
      </c>
      <c r="E320" s="140">
        <v>0</v>
      </c>
      <c r="F320" s="140">
        <v>0</v>
      </c>
      <c r="G320" s="140">
        <v>0</v>
      </c>
      <c r="H320" s="140">
        <v>0</v>
      </c>
      <c r="I320" s="140">
        <v>12</v>
      </c>
      <c r="J320" s="140">
        <v>49</v>
      </c>
      <c r="K320" s="140">
        <v>0</v>
      </c>
      <c r="L320" s="140">
        <f t="shared" si="62"/>
        <v>67</v>
      </c>
      <c r="N320" s="140">
        <v>0</v>
      </c>
      <c r="O320" s="140">
        <v>0</v>
      </c>
      <c r="P320" s="140">
        <v>0</v>
      </c>
      <c r="Q320" s="140">
        <v>0</v>
      </c>
      <c r="R320" s="140">
        <v>0</v>
      </c>
      <c r="S320" s="140">
        <v>2</v>
      </c>
      <c r="T320" s="140">
        <v>6</v>
      </c>
      <c r="U320" s="140">
        <v>0</v>
      </c>
      <c r="V320" s="140">
        <f t="shared" si="63"/>
        <v>8</v>
      </c>
      <c r="X320" s="98">
        <v>0</v>
      </c>
      <c r="Y320" s="98">
        <v>0</v>
      </c>
      <c r="Z320" s="98">
        <v>0</v>
      </c>
      <c r="AA320" s="98">
        <v>0</v>
      </c>
      <c r="AB320" s="98">
        <v>0</v>
      </c>
      <c r="AC320" s="98">
        <v>0</v>
      </c>
      <c r="AD320" s="98">
        <v>0</v>
      </c>
      <c r="AE320" s="98">
        <v>0</v>
      </c>
      <c r="AF320" s="98">
        <f t="shared" si="74"/>
        <v>0</v>
      </c>
      <c r="AH320" s="98">
        <v>6</v>
      </c>
      <c r="AJ320" s="98">
        <v>0</v>
      </c>
      <c r="AK320" s="98">
        <v>0</v>
      </c>
      <c r="AL320" s="380">
        <v>0</v>
      </c>
      <c r="AN320" s="214">
        <f t="shared" si="64"/>
        <v>32184</v>
      </c>
      <c r="AO320" s="214">
        <f t="shared" si="65"/>
        <v>0</v>
      </c>
      <c r="AP320" s="214">
        <f t="shared" si="66"/>
        <v>0</v>
      </c>
      <c r="AQ320" s="214">
        <f t="shared" si="67"/>
        <v>0</v>
      </c>
      <c r="AR320" s="214">
        <f t="shared" si="68"/>
        <v>0</v>
      </c>
      <c r="AS320" s="214">
        <f t="shared" si="69"/>
        <v>0</v>
      </c>
      <c r="AT320" s="214">
        <f t="shared" si="70"/>
        <v>8046</v>
      </c>
      <c r="AU320" s="214">
        <f t="shared" si="71"/>
        <v>24138</v>
      </c>
      <c r="AV320" s="214">
        <f t="shared" si="72"/>
        <v>0</v>
      </c>
      <c r="AW320" s="215">
        <f t="shared" si="73"/>
        <v>32184</v>
      </c>
    </row>
    <row r="321" spans="1:49" ht="15" customHeight="1">
      <c r="A321" s="140" t="s">
        <v>151</v>
      </c>
      <c r="B321" s="211" t="s">
        <v>96</v>
      </c>
      <c r="C321" s="140" t="str">
        <f aca="true" t="shared" si="75" ref="C321:C382">A321&amp;"-"&amp;B321</f>
        <v>Saint Paul Lutheran School - Sheboygan-WPCP</v>
      </c>
      <c r="D321" s="140">
        <v>7</v>
      </c>
      <c r="E321" s="140">
        <v>0</v>
      </c>
      <c r="F321" s="140">
        <v>0</v>
      </c>
      <c r="G321" s="140">
        <v>0</v>
      </c>
      <c r="H321" s="140">
        <v>0</v>
      </c>
      <c r="I321" s="140">
        <v>6</v>
      </c>
      <c r="J321" s="140">
        <v>49</v>
      </c>
      <c r="K321" s="140">
        <v>0</v>
      </c>
      <c r="L321" s="140">
        <f aca="true" t="shared" si="76" ref="L321:L382">SUM(D321:K321)</f>
        <v>62</v>
      </c>
      <c r="N321" s="140">
        <v>3</v>
      </c>
      <c r="O321" s="140">
        <v>0</v>
      </c>
      <c r="P321" s="140">
        <v>0</v>
      </c>
      <c r="Q321" s="140">
        <v>0</v>
      </c>
      <c r="R321" s="140">
        <v>0</v>
      </c>
      <c r="S321" s="140">
        <v>3</v>
      </c>
      <c r="T321" s="140">
        <v>33</v>
      </c>
      <c r="U321" s="140">
        <v>0</v>
      </c>
      <c r="V321" s="140">
        <f aca="true" t="shared" si="77" ref="V321:V382">SUM(N321:U321)</f>
        <v>39</v>
      </c>
      <c r="X321" s="98">
        <v>0</v>
      </c>
      <c r="Y321" s="98">
        <v>0</v>
      </c>
      <c r="Z321" s="98">
        <v>0</v>
      </c>
      <c r="AA321" s="98">
        <v>0</v>
      </c>
      <c r="AB321" s="98">
        <v>0</v>
      </c>
      <c r="AC321" s="98">
        <v>0</v>
      </c>
      <c r="AD321" s="98">
        <v>0</v>
      </c>
      <c r="AE321" s="98">
        <v>0</v>
      </c>
      <c r="AF321" s="98">
        <f t="shared" si="74"/>
        <v>0</v>
      </c>
      <c r="AH321" s="98">
        <v>25</v>
      </c>
      <c r="AJ321" s="98">
        <v>0</v>
      </c>
      <c r="AK321" s="98">
        <v>0</v>
      </c>
      <c r="AL321" s="380">
        <v>0</v>
      </c>
      <c r="AN321" s="214">
        <f aca="true" t="shared" si="78" ref="AN321:AN382">SUM(AO321:AV321)</f>
        <v>150862.5</v>
      </c>
      <c r="AO321" s="214">
        <f aca="true" t="shared" si="79" ref="AO321:AO382">ROUND(AO$1*AO$2*N321,2)</f>
        <v>6034.5</v>
      </c>
      <c r="AP321" s="214">
        <f aca="true" t="shared" si="80" ref="AP321:AP382">ROUND(AP$1*AP$2*O321,2)</f>
        <v>0</v>
      </c>
      <c r="AQ321" s="214">
        <f aca="true" t="shared" si="81" ref="AQ321:AQ382">ROUND(AQ$1*AQ$2*P321,2)</f>
        <v>0</v>
      </c>
      <c r="AR321" s="214">
        <f aca="true" t="shared" si="82" ref="AR321:AR382">ROUND(AR$1*AR$2*Q321,2)</f>
        <v>0</v>
      </c>
      <c r="AS321" s="214">
        <f aca="true" t="shared" si="83" ref="AS321:AS382">ROUND(AS$1*AS$2*R321,2)</f>
        <v>0</v>
      </c>
      <c r="AT321" s="214">
        <f aca="true" t="shared" si="84" ref="AT321:AT382">ROUND(AT$1*AT$2*S321,2)</f>
        <v>12069</v>
      </c>
      <c r="AU321" s="214">
        <f aca="true" t="shared" si="85" ref="AU321:AU382">ROUND(AU$1*AU$2*T321,2)</f>
        <v>132759</v>
      </c>
      <c r="AV321" s="214">
        <f aca="true" t="shared" si="86" ref="AV321:AV382">ROUND(AV$1*AV$2*U321,2)</f>
        <v>0</v>
      </c>
      <c r="AW321" s="215">
        <f aca="true" t="shared" si="87" ref="AW321:AW382">SUM(AO321:AV321)</f>
        <v>150862.5</v>
      </c>
    </row>
    <row r="322" spans="1:49" ht="15" customHeight="1">
      <c r="A322" s="140" t="s">
        <v>325</v>
      </c>
      <c r="B322" s="211" t="s">
        <v>96</v>
      </c>
      <c r="C322" s="140" t="str">
        <f t="shared" si="75"/>
        <v>Saint Paul's Evangelical Lutheran School - Oconomowoc-WPCP</v>
      </c>
      <c r="D322" s="140">
        <v>10</v>
      </c>
      <c r="E322" s="140">
        <v>0</v>
      </c>
      <c r="F322" s="140">
        <v>0</v>
      </c>
      <c r="G322" s="140">
        <v>0</v>
      </c>
      <c r="H322" s="140">
        <v>0</v>
      </c>
      <c r="I322" s="140">
        <v>12</v>
      </c>
      <c r="J322" s="140">
        <v>116</v>
      </c>
      <c r="K322" s="140">
        <v>0</v>
      </c>
      <c r="L322" s="140">
        <f t="shared" si="76"/>
        <v>138</v>
      </c>
      <c r="N322" s="140">
        <v>2</v>
      </c>
      <c r="O322" s="140">
        <v>0</v>
      </c>
      <c r="P322" s="140">
        <v>0</v>
      </c>
      <c r="Q322" s="140">
        <v>0</v>
      </c>
      <c r="R322" s="140">
        <v>0</v>
      </c>
      <c r="S322" s="140">
        <v>3</v>
      </c>
      <c r="T322" s="140">
        <v>17</v>
      </c>
      <c r="U322" s="140">
        <v>0</v>
      </c>
      <c r="V322" s="140">
        <f t="shared" si="77"/>
        <v>22</v>
      </c>
      <c r="X322" s="98">
        <v>0</v>
      </c>
      <c r="Y322" s="98">
        <v>0</v>
      </c>
      <c r="Z322" s="98">
        <v>0</v>
      </c>
      <c r="AA322" s="98">
        <v>0</v>
      </c>
      <c r="AB322" s="98">
        <v>0</v>
      </c>
      <c r="AC322" s="98">
        <v>0</v>
      </c>
      <c r="AD322" s="98">
        <v>0</v>
      </c>
      <c r="AE322" s="98">
        <v>0</v>
      </c>
      <c r="AF322" s="98">
        <f t="shared" si="74"/>
        <v>0</v>
      </c>
      <c r="AH322" s="98">
        <v>15</v>
      </c>
      <c r="AJ322" s="98">
        <v>0</v>
      </c>
      <c r="AK322" s="98">
        <v>0</v>
      </c>
      <c r="AL322" s="380">
        <v>0</v>
      </c>
      <c r="AN322" s="214">
        <f t="shared" si="78"/>
        <v>84483</v>
      </c>
      <c r="AO322" s="214">
        <f t="shared" si="79"/>
        <v>4023</v>
      </c>
      <c r="AP322" s="214">
        <f t="shared" si="80"/>
        <v>0</v>
      </c>
      <c r="AQ322" s="214">
        <f t="shared" si="81"/>
        <v>0</v>
      </c>
      <c r="AR322" s="214">
        <f t="shared" si="82"/>
        <v>0</v>
      </c>
      <c r="AS322" s="214">
        <f t="shared" si="83"/>
        <v>0</v>
      </c>
      <c r="AT322" s="214">
        <f t="shared" si="84"/>
        <v>12069</v>
      </c>
      <c r="AU322" s="214">
        <f t="shared" si="85"/>
        <v>68391</v>
      </c>
      <c r="AV322" s="214">
        <f t="shared" si="86"/>
        <v>0</v>
      </c>
      <c r="AW322" s="215">
        <f t="shared" si="87"/>
        <v>84483</v>
      </c>
    </row>
    <row r="323" spans="1:49" ht="15" customHeight="1">
      <c r="A323" s="140" t="s">
        <v>600</v>
      </c>
      <c r="B323" s="211" t="s">
        <v>96</v>
      </c>
      <c r="C323" s="140" t="str">
        <f t="shared" si="75"/>
        <v>Saint Paul's Evangelical Lutheran School - Onalaska-WPCP</v>
      </c>
      <c r="D323" s="140">
        <v>23</v>
      </c>
      <c r="E323" s="140">
        <v>0</v>
      </c>
      <c r="F323" s="140">
        <v>0</v>
      </c>
      <c r="G323" s="140">
        <v>0</v>
      </c>
      <c r="H323" s="140">
        <v>0</v>
      </c>
      <c r="I323" s="140">
        <v>24</v>
      </c>
      <c r="J323" s="140">
        <v>148</v>
      </c>
      <c r="K323" s="140">
        <v>0</v>
      </c>
      <c r="L323" s="140">
        <f t="shared" si="76"/>
        <v>195</v>
      </c>
      <c r="N323" s="140">
        <v>7</v>
      </c>
      <c r="O323" s="140">
        <v>0</v>
      </c>
      <c r="P323" s="140">
        <v>0</v>
      </c>
      <c r="Q323" s="140">
        <v>0</v>
      </c>
      <c r="R323" s="140">
        <v>0</v>
      </c>
      <c r="S323" s="140">
        <v>10</v>
      </c>
      <c r="T323" s="140">
        <v>37</v>
      </c>
      <c r="U323" s="140">
        <v>0</v>
      </c>
      <c r="V323" s="140">
        <f t="shared" si="77"/>
        <v>54</v>
      </c>
      <c r="X323" s="98">
        <v>0</v>
      </c>
      <c r="Y323" s="98">
        <v>0</v>
      </c>
      <c r="Z323" s="98">
        <v>0</v>
      </c>
      <c r="AA323" s="98">
        <v>0</v>
      </c>
      <c r="AB323" s="98">
        <v>0</v>
      </c>
      <c r="AC323" s="98">
        <v>0</v>
      </c>
      <c r="AD323" s="98">
        <v>0</v>
      </c>
      <c r="AE323" s="98">
        <v>0</v>
      </c>
      <c r="AF323" s="98">
        <f t="shared" si="74"/>
        <v>0</v>
      </c>
      <c r="AH323" s="98">
        <v>31</v>
      </c>
      <c r="AJ323" s="98">
        <v>0</v>
      </c>
      <c r="AK323" s="98">
        <v>0</v>
      </c>
      <c r="AL323" s="380">
        <v>0</v>
      </c>
      <c r="AN323" s="214">
        <f t="shared" si="78"/>
        <v>203161.5</v>
      </c>
      <c r="AO323" s="214">
        <f t="shared" si="79"/>
        <v>14080.5</v>
      </c>
      <c r="AP323" s="214">
        <f t="shared" si="80"/>
        <v>0</v>
      </c>
      <c r="AQ323" s="214">
        <f t="shared" si="81"/>
        <v>0</v>
      </c>
      <c r="AR323" s="214">
        <f t="shared" si="82"/>
        <v>0</v>
      </c>
      <c r="AS323" s="214">
        <f t="shared" si="83"/>
        <v>0</v>
      </c>
      <c r="AT323" s="214">
        <f t="shared" si="84"/>
        <v>40230</v>
      </c>
      <c r="AU323" s="214">
        <f t="shared" si="85"/>
        <v>148851</v>
      </c>
      <c r="AV323" s="214">
        <f t="shared" si="86"/>
        <v>0</v>
      </c>
      <c r="AW323" s="215">
        <f t="shared" si="87"/>
        <v>203161.5</v>
      </c>
    </row>
    <row r="324" spans="1:49" ht="15" customHeight="1">
      <c r="A324" s="140" t="s">
        <v>474</v>
      </c>
      <c r="B324" s="211" t="s">
        <v>187</v>
      </c>
      <c r="C324" s="140" t="str">
        <f t="shared" si="75"/>
        <v>Saint Paul's Lutheran School - Cudahy-MPCP</v>
      </c>
      <c r="D324" s="140">
        <v>7</v>
      </c>
      <c r="E324" s="140">
        <v>0</v>
      </c>
      <c r="F324" s="140">
        <v>0</v>
      </c>
      <c r="G324" s="140">
        <v>0</v>
      </c>
      <c r="H324" s="140">
        <v>0</v>
      </c>
      <c r="I324" s="140">
        <v>4</v>
      </c>
      <c r="J324" s="140">
        <v>49</v>
      </c>
      <c r="K324" s="140">
        <v>0</v>
      </c>
      <c r="L324" s="140">
        <f t="shared" si="76"/>
        <v>60</v>
      </c>
      <c r="N324" s="140">
        <v>0</v>
      </c>
      <c r="O324" s="140">
        <v>0</v>
      </c>
      <c r="P324" s="140">
        <v>0</v>
      </c>
      <c r="Q324" s="140">
        <v>0</v>
      </c>
      <c r="R324" s="140">
        <v>0</v>
      </c>
      <c r="S324" s="140">
        <v>1</v>
      </c>
      <c r="T324" s="140">
        <v>8</v>
      </c>
      <c r="U324" s="140">
        <v>0</v>
      </c>
      <c r="V324" s="140">
        <f t="shared" si="77"/>
        <v>9</v>
      </c>
      <c r="X324" s="98">
        <v>0</v>
      </c>
      <c r="Y324" s="98">
        <v>0</v>
      </c>
      <c r="Z324" s="98">
        <v>0</v>
      </c>
      <c r="AA324" s="98">
        <v>0</v>
      </c>
      <c r="AB324" s="98">
        <v>0</v>
      </c>
      <c r="AC324" s="98">
        <v>0</v>
      </c>
      <c r="AD324" s="98">
        <v>0</v>
      </c>
      <c r="AE324" s="98">
        <v>0</v>
      </c>
      <c r="AF324" s="98">
        <f t="shared" si="74"/>
        <v>0</v>
      </c>
      <c r="AH324" s="98">
        <v>5</v>
      </c>
      <c r="AJ324" s="98">
        <v>0</v>
      </c>
      <c r="AK324" s="98">
        <v>0</v>
      </c>
      <c r="AL324" s="380">
        <v>0</v>
      </c>
      <c r="AN324" s="214">
        <f t="shared" si="78"/>
        <v>36207</v>
      </c>
      <c r="AO324" s="214">
        <f t="shared" si="79"/>
        <v>0</v>
      </c>
      <c r="AP324" s="214">
        <f t="shared" si="80"/>
        <v>0</v>
      </c>
      <c r="AQ324" s="214">
        <f t="shared" si="81"/>
        <v>0</v>
      </c>
      <c r="AR324" s="214">
        <f t="shared" si="82"/>
        <v>0</v>
      </c>
      <c r="AS324" s="214">
        <f t="shared" si="83"/>
        <v>0</v>
      </c>
      <c r="AT324" s="214">
        <f t="shared" si="84"/>
        <v>4023</v>
      </c>
      <c r="AU324" s="214">
        <f t="shared" si="85"/>
        <v>32184</v>
      </c>
      <c r="AV324" s="214">
        <f t="shared" si="86"/>
        <v>0</v>
      </c>
      <c r="AW324" s="215">
        <f t="shared" si="87"/>
        <v>36207</v>
      </c>
    </row>
    <row r="325" spans="1:49" ht="15" customHeight="1">
      <c r="A325" s="140" t="s">
        <v>474</v>
      </c>
      <c r="B325" s="211" t="s">
        <v>96</v>
      </c>
      <c r="C325" s="140" t="str">
        <f t="shared" si="75"/>
        <v>Saint Paul's Lutheran School - Cudahy-WPCP</v>
      </c>
      <c r="D325" s="140">
        <v>7</v>
      </c>
      <c r="E325" s="140">
        <v>0</v>
      </c>
      <c r="F325" s="140">
        <v>0</v>
      </c>
      <c r="G325" s="140">
        <v>0</v>
      </c>
      <c r="H325" s="140">
        <v>0</v>
      </c>
      <c r="I325" s="140">
        <v>4</v>
      </c>
      <c r="J325" s="140">
        <v>49</v>
      </c>
      <c r="K325" s="140">
        <v>0</v>
      </c>
      <c r="L325" s="140">
        <f t="shared" si="76"/>
        <v>60</v>
      </c>
      <c r="N325" s="140">
        <v>4</v>
      </c>
      <c r="O325" s="140">
        <v>0</v>
      </c>
      <c r="P325" s="140">
        <v>0</v>
      </c>
      <c r="Q325" s="140">
        <v>0</v>
      </c>
      <c r="R325" s="140">
        <v>0</v>
      </c>
      <c r="S325" s="140">
        <v>1</v>
      </c>
      <c r="T325" s="140">
        <v>6</v>
      </c>
      <c r="U325" s="140">
        <v>0</v>
      </c>
      <c r="V325" s="140">
        <f t="shared" si="77"/>
        <v>11</v>
      </c>
      <c r="X325" s="98">
        <v>0</v>
      </c>
      <c r="Y325" s="98">
        <v>0</v>
      </c>
      <c r="Z325" s="98">
        <v>0</v>
      </c>
      <c r="AA325" s="98">
        <v>0</v>
      </c>
      <c r="AB325" s="98">
        <v>0</v>
      </c>
      <c r="AC325" s="98">
        <v>0</v>
      </c>
      <c r="AD325" s="98">
        <v>0</v>
      </c>
      <c r="AE325" s="98">
        <v>0</v>
      </c>
      <c r="AF325" s="98">
        <f t="shared" si="74"/>
        <v>0</v>
      </c>
      <c r="AH325" s="98">
        <v>8</v>
      </c>
      <c r="AJ325" s="98">
        <v>0</v>
      </c>
      <c r="AK325" s="98">
        <v>0</v>
      </c>
      <c r="AL325" s="380">
        <v>0</v>
      </c>
      <c r="AN325" s="214">
        <f t="shared" si="78"/>
        <v>36207</v>
      </c>
      <c r="AO325" s="214">
        <f t="shared" si="79"/>
        <v>8046</v>
      </c>
      <c r="AP325" s="214">
        <f t="shared" si="80"/>
        <v>0</v>
      </c>
      <c r="AQ325" s="214">
        <f t="shared" si="81"/>
        <v>0</v>
      </c>
      <c r="AR325" s="214">
        <f t="shared" si="82"/>
        <v>0</v>
      </c>
      <c r="AS325" s="214">
        <f t="shared" si="83"/>
        <v>0</v>
      </c>
      <c r="AT325" s="214">
        <f t="shared" si="84"/>
        <v>4023</v>
      </c>
      <c r="AU325" s="214">
        <f t="shared" si="85"/>
        <v>24138</v>
      </c>
      <c r="AV325" s="214">
        <f t="shared" si="86"/>
        <v>0</v>
      </c>
      <c r="AW325" s="215">
        <f t="shared" si="87"/>
        <v>36207</v>
      </c>
    </row>
    <row r="326" spans="1:49" ht="15" customHeight="1">
      <c r="A326" s="140" t="s">
        <v>601</v>
      </c>
      <c r="B326" s="211" t="s">
        <v>96</v>
      </c>
      <c r="C326" s="140" t="str">
        <f t="shared" si="75"/>
        <v>Saint Paul's Lutheran School - East Troy-WPCP</v>
      </c>
      <c r="D326" s="140">
        <v>8</v>
      </c>
      <c r="E326" s="140">
        <v>0</v>
      </c>
      <c r="F326" s="140">
        <v>0</v>
      </c>
      <c r="G326" s="140">
        <v>1</v>
      </c>
      <c r="H326" s="140">
        <v>0</v>
      </c>
      <c r="I326" s="140">
        <v>6</v>
      </c>
      <c r="J326" s="140">
        <v>44</v>
      </c>
      <c r="K326" s="140">
        <v>0</v>
      </c>
      <c r="L326" s="140">
        <f t="shared" si="76"/>
        <v>59</v>
      </c>
      <c r="N326" s="140">
        <v>1</v>
      </c>
      <c r="O326" s="140">
        <v>0</v>
      </c>
      <c r="P326" s="140">
        <v>0</v>
      </c>
      <c r="Q326" s="140">
        <v>1</v>
      </c>
      <c r="R326" s="140">
        <v>0</v>
      </c>
      <c r="S326" s="140">
        <v>3</v>
      </c>
      <c r="T326" s="140">
        <v>6</v>
      </c>
      <c r="U326" s="140">
        <v>0</v>
      </c>
      <c r="V326" s="140">
        <f t="shared" si="77"/>
        <v>11</v>
      </c>
      <c r="X326" s="98">
        <v>0</v>
      </c>
      <c r="Y326" s="98">
        <v>0</v>
      </c>
      <c r="Z326" s="98">
        <v>0</v>
      </c>
      <c r="AA326" s="98">
        <v>0</v>
      </c>
      <c r="AB326" s="98">
        <v>0</v>
      </c>
      <c r="AC326" s="98">
        <v>0</v>
      </c>
      <c r="AD326" s="98">
        <v>0</v>
      </c>
      <c r="AE326" s="98">
        <v>0</v>
      </c>
      <c r="AF326" s="98">
        <f t="shared" si="74"/>
        <v>0</v>
      </c>
      <c r="AH326" s="98">
        <v>8</v>
      </c>
      <c r="AJ326" s="98">
        <v>0</v>
      </c>
      <c r="AK326" s="98">
        <v>0</v>
      </c>
      <c r="AL326" s="380">
        <v>0</v>
      </c>
      <c r="AN326" s="214">
        <f t="shared" si="78"/>
        <v>40632.3</v>
      </c>
      <c r="AO326" s="214">
        <f t="shared" si="79"/>
        <v>2011.5</v>
      </c>
      <c r="AP326" s="214">
        <f t="shared" si="80"/>
        <v>0</v>
      </c>
      <c r="AQ326" s="214">
        <f t="shared" si="81"/>
        <v>0</v>
      </c>
      <c r="AR326" s="214">
        <f t="shared" si="82"/>
        <v>2413.8</v>
      </c>
      <c r="AS326" s="214">
        <f t="shared" si="83"/>
        <v>0</v>
      </c>
      <c r="AT326" s="214">
        <f t="shared" si="84"/>
        <v>12069</v>
      </c>
      <c r="AU326" s="214">
        <f t="shared" si="85"/>
        <v>24138</v>
      </c>
      <c r="AV326" s="214">
        <f t="shared" si="86"/>
        <v>0</v>
      </c>
      <c r="AW326" s="215">
        <f t="shared" si="87"/>
        <v>40632.3</v>
      </c>
    </row>
    <row r="327" spans="1:49" ht="15" customHeight="1">
      <c r="A327" s="140" t="s">
        <v>475</v>
      </c>
      <c r="B327" s="211" t="s">
        <v>96</v>
      </c>
      <c r="C327" s="140" t="str">
        <f t="shared" si="75"/>
        <v>Saint Paul's Lutheran School - Howards Grove-WPCP</v>
      </c>
      <c r="D327" s="140">
        <v>12</v>
      </c>
      <c r="E327" s="140">
        <v>0</v>
      </c>
      <c r="F327" s="140">
        <v>0</v>
      </c>
      <c r="G327" s="140">
        <v>0</v>
      </c>
      <c r="H327" s="140">
        <v>0</v>
      </c>
      <c r="I327" s="140">
        <v>5</v>
      </c>
      <c r="J327" s="140">
        <v>52</v>
      </c>
      <c r="K327" s="140">
        <v>0</v>
      </c>
      <c r="L327" s="140">
        <f t="shared" si="76"/>
        <v>69</v>
      </c>
      <c r="N327" s="140">
        <v>3</v>
      </c>
      <c r="O327" s="140">
        <v>0</v>
      </c>
      <c r="P327" s="140">
        <v>0</v>
      </c>
      <c r="Q327" s="140">
        <v>0</v>
      </c>
      <c r="R327" s="140">
        <v>0</v>
      </c>
      <c r="S327" s="140">
        <v>2</v>
      </c>
      <c r="T327" s="140">
        <v>7</v>
      </c>
      <c r="U327" s="140">
        <v>0</v>
      </c>
      <c r="V327" s="140">
        <f t="shared" si="77"/>
        <v>12</v>
      </c>
      <c r="X327" s="98">
        <v>0</v>
      </c>
      <c r="Y327" s="98">
        <v>0</v>
      </c>
      <c r="Z327" s="98">
        <v>0</v>
      </c>
      <c r="AA327" s="98">
        <v>0</v>
      </c>
      <c r="AB327" s="98">
        <v>0</v>
      </c>
      <c r="AC327" s="98">
        <v>0</v>
      </c>
      <c r="AD327" s="98">
        <v>0</v>
      </c>
      <c r="AE327" s="98">
        <v>0</v>
      </c>
      <c r="AF327" s="98">
        <f t="shared" si="74"/>
        <v>0</v>
      </c>
      <c r="AH327" s="98">
        <v>8</v>
      </c>
      <c r="AJ327" s="98">
        <v>0</v>
      </c>
      <c r="AK327" s="98">
        <v>0</v>
      </c>
      <c r="AL327" s="380">
        <v>0</v>
      </c>
      <c r="AN327" s="214">
        <f t="shared" si="78"/>
        <v>42241.5</v>
      </c>
      <c r="AO327" s="214">
        <f t="shared" si="79"/>
        <v>6034.5</v>
      </c>
      <c r="AP327" s="214">
        <f t="shared" si="80"/>
        <v>0</v>
      </c>
      <c r="AQ327" s="214">
        <f t="shared" si="81"/>
        <v>0</v>
      </c>
      <c r="AR327" s="214">
        <f t="shared" si="82"/>
        <v>0</v>
      </c>
      <c r="AS327" s="214">
        <f t="shared" si="83"/>
        <v>0</v>
      </c>
      <c r="AT327" s="214">
        <f t="shared" si="84"/>
        <v>8046</v>
      </c>
      <c r="AU327" s="214">
        <f t="shared" si="85"/>
        <v>28161</v>
      </c>
      <c r="AV327" s="214">
        <f t="shared" si="86"/>
        <v>0</v>
      </c>
      <c r="AW327" s="215">
        <f t="shared" si="87"/>
        <v>42241.5</v>
      </c>
    </row>
    <row r="328" spans="1:49" ht="15" customHeight="1">
      <c r="A328" s="140" t="s">
        <v>476</v>
      </c>
      <c r="B328" s="211" t="s">
        <v>96</v>
      </c>
      <c r="C328" s="140" t="str">
        <f t="shared" si="75"/>
        <v>Saint Paul's Lutheran School - Janesville-WPCP</v>
      </c>
      <c r="D328" s="140">
        <v>0</v>
      </c>
      <c r="E328" s="140">
        <v>48</v>
      </c>
      <c r="F328" s="140">
        <v>1</v>
      </c>
      <c r="G328" s="140">
        <v>0</v>
      </c>
      <c r="H328" s="140">
        <v>0</v>
      </c>
      <c r="I328" s="140">
        <v>28</v>
      </c>
      <c r="J328" s="140">
        <v>171</v>
      </c>
      <c r="K328" s="140">
        <v>0</v>
      </c>
      <c r="L328" s="140">
        <f t="shared" si="76"/>
        <v>248</v>
      </c>
      <c r="N328" s="140">
        <v>0</v>
      </c>
      <c r="O328" s="140">
        <v>0</v>
      </c>
      <c r="P328" s="140">
        <v>0</v>
      </c>
      <c r="Q328" s="140">
        <v>0</v>
      </c>
      <c r="R328" s="140">
        <v>0</v>
      </c>
      <c r="S328" s="140">
        <v>7</v>
      </c>
      <c r="T328" s="140">
        <v>13</v>
      </c>
      <c r="U328" s="140">
        <v>0</v>
      </c>
      <c r="V328" s="140">
        <f t="shared" si="77"/>
        <v>20</v>
      </c>
      <c r="X328" s="98">
        <v>0</v>
      </c>
      <c r="Y328" s="98">
        <v>0</v>
      </c>
      <c r="Z328" s="98">
        <v>0</v>
      </c>
      <c r="AA328" s="98">
        <v>0</v>
      </c>
      <c r="AB328" s="98">
        <v>0</v>
      </c>
      <c r="AC328" s="98">
        <v>0</v>
      </c>
      <c r="AD328" s="98">
        <v>0</v>
      </c>
      <c r="AE328" s="98">
        <v>0</v>
      </c>
      <c r="AF328" s="98">
        <f t="shared" si="74"/>
        <v>0</v>
      </c>
      <c r="AH328" s="98">
        <v>18</v>
      </c>
      <c r="AJ328" s="98">
        <v>0</v>
      </c>
      <c r="AK328" s="98">
        <v>0</v>
      </c>
      <c r="AL328" s="380">
        <v>0</v>
      </c>
      <c r="AN328" s="214">
        <f t="shared" si="78"/>
        <v>80460</v>
      </c>
      <c r="AO328" s="214">
        <f t="shared" si="79"/>
        <v>0</v>
      </c>
      <c r="AP328" s="214">
        <f t="shared" si="80"/>
        <v>0</v>
      </c>
      <c r="AQ328" s="214">
        <f t="shared" si="81"/>
        <v>0</v>
      </c>
      <c r="AR328" s="214">
        <f t="shared" si="82"/>
        <v>0</v>
      </c>
      <c r="AS328" s="214">
        <f t="shared" si="83"/>
        <v>0</v>
      </c>
      <c r="AT328" s="214">
        <f t="shared" si="84"/>
        <v>28161</v>
      </c>
      <c r="AU328" s="214">
        <f t="shared" si="85"/>
        <v>52299</v>
      </c>
      <c r="AV328" s="214">
        <f t="shared" si="86"/>
        <v>0</v>
      </c>
      <c r="AW328" s="215">
        <f t="shared" si="87"/>
        <v>80460</v>
      </c>
    </row>
    <row r="329" spans="1:49" ht="15" customHeight="1">
      <c r="A329" s="140" t="s">
        <v>602</v>
      </c>
      <c r="B329" s="211" t="s">
        <v>96</v>
      </c>
      <c r="C329" s="140" t="str">
        <f t="shared" si="75"/>
        <v>Saint Paul's Lutheran School - Menomonie-WPCP</v>
      </c>
      <c r="D329" s="140">
        <v>0</v>
      </c>
      <c r="E329" s="140">
        <v>0</v>
      </c>
      <c r="F329" s="140">
        <v>0</v>
      </c>
      <c r="G329" s="140">
        <v>0</v>
      </c>
      <c r="H329" s="140">
        <v>0</v>
      </c>
      <c r="I329" s="140">
        <v>9</v>
      </c>
      <c r="J329" s="140">
        <v>28</v>
      </c>
      <c r="K329" s="140">
        <v>0</v>
      </c>
      <c r="L329" s="140">
        <f t="shared" si="76"/>
        <v>37</v>
      </c>
      <c r="N329" s="140">
        <v>0</v>
      </c>
      <c r="O329" s="140">
        <v>0</v>
      </c>
      <c r="P329" s="140">
        <v>0</v>
      </c>
      <c r="Q329" s="140">
        <v>0</v>
      </c>
      <c r="R329" s="140">
        <v>0</v>
      </c>
      <c r="S329" s="140">
        <v>5</v>
      </c>
      <c r="T329" s="140">
        <v>4</v>
      </c>
      <c r="U329" s="140">
        <v>0</v>
      </c>
      <c r="V329" s="140">
        <f t="shared" si="77"/>
        <v>9</v>
      </c>
      <c r="X329" s="98">
        <v>0</v>
      </c>
      <c r="Y329" s="98">
        <v>0</v>
      </c>
      <c r="Z329" s="98">
        <v>0</v>
      </c>
      <c r="AA329" s="98">
        <v>0</v>
      </c>
      <c r="AB329" s="98">
        <v>0</v>
      </c>
      <c r="AC329" s="98">
        <v>0</v>
      </c>
      <c r="AD329" s="98">
        <v>0</v>
      </c>
      <c r="AE329" s="98">
        <v>0</v>
      </c>
      <c r="AF329" s="98">
        <f t="shared" si="74"/>
        <v>0</v>
      </c>
      <c r="AH329" s="98">
        <v>8</v>
      </c>
      <c r="AJ329" s="98">
        <v>0</v>
      </c>
      <c r="AK329" s="98">
        <v>0</v>
      </c>
      <c r="AL329" s="380">
        <v>0</v>
      </c>
      <c r="AN329" s="214">
        <f t="shared" si="78"/>
        <v>36207</v>
      </c>
      <c r="AO329" s="214">
        <f t="shared" si="79"/>
        <v>0</v>
      </c>
      <c r="AP329" s="214">
        <f t="shared" si="80"/>
        <v>0</v>
      </c>
      <c r="AQ329" s="214">
        <f t="shared" si="81"/>
        <v>0</v>
      </c>
      <c r="AR329" s="214">
        <f t="shared" si="82"/>
        <v>0</v>
      </c>
      <c r="AS329" s="214">
        <f t="shared" si="83"/>
        <v>0</v>
      </c>
      <c r="AT329" s="214">
        <f t="shared" si="84"/>
        <v>20115</v>
      </c>
      <c r="AU329" s="214">
        <f t="shared" si="85"/>
        <v>16092</v>
      </c>
      <c r="AV329" s="214">
        <f t="shared" si="86"/>
        <v>0</v>
      </c>
      <c r="AW329" s="215">
        <f t="shared" si="87"/>
        <v>36207</v>
      </c>
    </row>
    <row r="330" spans="1:49" ht="15" customHeight="1">
      <c r="A330" s="140" t="s">
        <v>358</v>
      </c>
      <c r="B330" s="211" t="s">
        <v>187</v>
      </c>
      <c r="C330" s="140" t="str">
        <f t="shared" si="75"/>
        <v>Saint Paul's Lutheran School - Muskego-MPCP</v>
      </c>
      <c r="D330" s="140">
        <v>35</v>
      </c>
      <c r="E330" s="140">
        <v>0</v>
      </c>
      <c r="F330" s="140">
        <v>0</v>
      </c>
      <c r="G330" s="140">
        <v>0</v>
      </c>
      <c r="H330" s="140">
        <v>0</v>
      </c>
      <c r="I330" s="140">
        <v>32</v>
      </c>
      <c r="J330" s="140">
        <v>196</v>
      </c>
      <c r="K330" s="140">
        <v>0</v>
      </c>
      <c r="L330" s="140">
        <f t="shared" si="76"/>
        <v>263</v>
      </c>
      <c r="N330" s="140">
        <v>2</v>
      </c>
      <c r="O330" s="140">
        <v>0</v>
      </c>
      <c r="P330" s="140">
        <v>0</v>
      </c>
      <c r="Q330" s="140">
        <v>0</v>
      </c>
      <c r="R330" s="140">
        <v>0</v>
      </c>
      <c r="S330" s="140">
        <v>1</v>
      </c>
      <c r="T330" s="140">
        <v>9</v>
      </c>
      <c r="U330" s="140">
        <v>0</v>
      </c>
      <c r="V330" s="140">
        <f t="shared" si="77"/>
        <v>12</v>
      </c>
      <c r="X330" s="98">
        <v>0</v>
      </c>
      <c r="Y330" s="98">
        <v>0</v>
      </c>
      <c r="Z330" s="98">
        <v>0</v>
      </c>
      <c r="AA330" s="98">
        <v>0</v>
      </c>
      <c r="AB330" s="98">
        <v>0</v>
      </c>
      <c r="AC330" s="98">
        <v>0</v>
      </c>
      <c r="AD330" s="98">
        <v>0</v>
      </c>
      <c r="AE330" s="98">
        <v>0</v>
      </c>
      <c r="AF330" s="98">
        <f t="shared" si="74"/>
        <v>0</v>
      </c>
      <c r="AH330" s="98">
        <v>7</v>
      </c>
      <c r="AJ330" s="98">
        <v>0</v>
      </c>
      <c r="AK330" s="98">
        <v>0</v>
      </c>
      <c r="AL330" s="380">
        <v>0</v>
      </c>
      <c r="AN330" s="214">
        <f t="shared" si="78"/>
        <v>44253</v>
      </c>
      <c r="AO330" s="214">
        <f t="shared" si="79"/>
        <v>4023</v>
      </c>
      <c r="AP330" s="214">
        <f t="shared" si="80"/>
        <v>0</v>
      </c>
      <c r="AQ330" s="214">
        <f t="shared" si="81"/>
        <v>0</v>
      </c>
      <c r="AR330" s="214">
        <f t="shared" si="82"/>
        <v>0</v>
      </c>
      <c r="AS330" s="214">
        <f t="shared" si="83"/>
        <v>0</v>
      </c>
      <c r="AT330" s="214">
        <f t="shared" si="84"/>
        <v>4023</v>
      </c>
      <c r="AU330" s="214">
        <f t="shared" si="85"/>
        <v>36207</v>
      </c>
      <c r="AV330" s="214">
        <f t="shared" si="86"/>
        <v>0</v>
      </c>
      <c r="AW330" s="215">
        <f t="shared" si="87"/>
        <v>44253</v>
      </c>
    </row>
    <row r="331" spans="1:49" ht="15" customHeight="1">
      <c r="A331" s="140" t="s">
        <v>358</v>
      </c>
      <c r="B331" s="211" t="s">
        <v>96</v>
      </c>
      <c r="C331" s="140" t="str">
        <f t="shared" si="75"/>
        <v>Saint Paul's Lutheran School - Muskego-WPCP</v>
      </c>
      <c r="D331" s="140">
        <v>35</v>
      </c>
      <c r="E331" s="140">
        <v>0</v>
      </c>
      <c r="F331" s="140">
        <v>0</v>
      </c>
      <c r="G331" s="140">
        <v>0</v>
      </c>
      <c r="H331" s="140">
        <v>0</v>
      </c>
      <c r="I331" s="140">
        <v>32</v>
      </c>
      <c r="J331" s="140">
        <v>196</v>
      </c>
      <c r="K331" s="140">
        <v>0</v>
      </c>
      <c r="L331" s="140">
        <f t="shared" si="76"/>
        <v>263</v>
      </c>
      <c r="N331" s="140">
        <v>5</v>
      </c>
      <c r="O331" s="140">
        <v>0</v>
      </c>
      <c r="P331" s="140">
        <v>0</v>
      </c>
      <c r="Q331" s="140">
        <v>0</v>
      </c>
      <c r="R331" s="140">
        <v>0</v>
      </c>
      <c r="S331" s="140">
        <v>10</v>
      </c>
      <c r="T331" s="140">
        <v>13</v>
      </c>
      <c r="U331" s="140">
        <v>0</v>
      </c>
      <c r="V331" s="140">
        <f t="shared" si="77"/>
        <v>28</v>
      </c>
      <c r="X331" s="98">
        <v>0</v>
      </c>
      <c r="Y331" s="98">
        <v>0</v>
      </c>
      <c r="Z331" s="98">
        <v>0</v>
      </c>
      <c r="AA331" s="98">
        <v>0</v>
      </c>
      <c r="AB331" s="98">
        <v>0</v>
      </c>
      <c r="AC331" s="98">
        <v>0</v>
      </c>
      <c r="AD331" s="98">
        <v>0</v>
      </c>
      <c r="AE331" s="98">
        <v>0</v>
      </c>
      <c r="AF331" s="98">
        <f t="shared" si="74"/>
        <v>0</v>
      </c>
      <c r="AH331" s="98">
        <v>20</v>
      </c>
      <c r="AJ331" s="98">
        <v>0</v>
      </c>
      <c r="AK331" s="98">
        <v>0</v>
      </c>
      <c r="AL331" s="380">
        <v>0</v>
      </c>
      <c r="AN331" s="214">
        <f t="shared" si="78"/>
        <v>102586.5</v>
      </c>
      <c r="AO331" s="214">
        <f t="shared" si="79"/>
        <v>10057.5</v>
      </c>
      <c r="AP331" s="214">
        <f t="shared" si="80"/>
        <v>0</v>
      </c>
      <c r="AQ331" s="214">
        <f t="shared" si="81"/>
        <v>0</v>
      </c>
      <c r="AR331" s="214">
        <f t="shared" si="82"/>
        <v>0</v>
      </c>
      <c r="AS331" s="214">
        <f t="shared" si="83"/>
        <v>0</v>
      </c>
      <c r="AT331" s="214">
        <f t="shared" si="84"/>
        <v>40230</v>
      </c>
      <c r="AU331" s="214">
        <f t="shared" si="85"/>
        <v>52299</v>
      </c>
      <c r="AV331" s="214">
        <f t="shared" si="86"/>
        <v>0</v>
      </c>
      <c r="AW331" s="215">
        <f t="shared" si="87"/>
        <v>102586.5</v>
      </c>
    </row>
    <row r="332" spans="1:49" ht="15" customHeight="1">
      <c r="A332" s="140" t="s">
        <v>251</v>
      </c>
      <c r="B332" s="211" t="s">
        <v>187</v>
      </c>
      <c r="C332" s="140" t="str">
        <f t="shared" si="75"/>
        <v>Saint Paul's Lutheran School - West Allis-MPCP</v>
      </c>
      <c r="D332" s="140">
        <v>20</v>
      </c>
      <c r="E332" s="140">
        <v>0</v>
      </c>
      <c r="F332" s="140">
        <v>0</v>
      </c>
      <c r="G332" s="140">
        <v>0</v>
      </c>
      <c r="H332" s="140">
        <v>0</v>
      </c>
      <c r="I332" s="140">
        <v>12</v>
      </c>
      <c r="J332" s="140">
        <v>100</v>
      </c>
      <c r="K332" s="140">
        <v>0</v>
      </c>
      <c r="L332" s="140">
        <f t="shared" si="76"/>
        <v>132</v>
      </c>
      <c r="N332" s="140">
        <v>7</v>
      </c>
      <c r="O332" s="140">
        <v>0</v>
      </c>
      <c r="P332" s="140">
        <v>0</v>
      </c>
      <c r="Q332" s="140">
        <v>0</v>
      </c>
      <c r="R332" s="140">
        <v>0</v>
      </c>
      <c r="S332" s="140">
        <v>7</v>
      </c>
      <c r="T332" s="140">
        <v>38</v>
      </c>
      <c r="U332" s="140">
        <v>0</v>
      </c>
      <c r="V332" s="140">
        <f t="shared" si="77"/>
        <v>52</v>
      </c>
      <c r="X332" s="98">
        <v>0</v>
      </c>
      <c r="Y332" s="98">
        <v>0</v>
      </c>
      <c r="Z332" s="98">
        <v>0</v>
      </c>
      <c r="AA332" s="98">
        <v>0</v>
      </c>
      <c r="AB332" s="98">
        <v>0</v>
      </c>
      <c r="AC332" s="98">
        <v>0</v>
      </c>
      <c r="AD332" s="98">
        <v>0</v>
      </c>
      <c r="AE332" s="98">
        <v>0</v>
      </c>
      <c r="AF332" s="98">
        <f t="shared" si="74"/>
        <v>0</v>
      </c>
      <c r="AH332" s="98">
        <v>37</v>
      </c>
      <c r="AJ332" s="98">
        <v>0</v>
      </c>
      <c r="AK332" s="98">
        <v>0</v>
      </c>
      <c r="AL332" s="380">
        <v>0</v>
      </c>
      <c r="AN332" s="214">
        <f t="shared" si="78"/>
        <v>195115.5</v>
      </c>
      <c r="AO332" s="214">
        <f t="shared" si="79"/>
        <v>14080.5</v>
      </c>
      <c r="AP332" s="214">
        <f t="shared" si="80"/>
        <v>0</v>
      </c>
      <c r="AQ332" s="214">
        <f t="shared" si="81"/>
        <v>0</v>
      </c>
      <c r="AR332" s="214">
        <f t="shared" si="82"/>
        <v>0</v>
      </c>
      <c r="AS332" s="214">
        <f t="shared" si="83"/>
        <v>0</v>
      </c>
      <c r="AT332" s="214">
        <f t="shared" si="84"/>
        <v>28161</v>
      </c>
      <c r="AU332" s="214">
        <f t="shared" si="85"/>
        <v>152874</v>
      </c>
      <c r="AV332" s="214">
        <f t="shared" si="86"/>
        <v>0</v>
      </c>
      <c r="AW332" s="215">
        <f t="shared" si="87"/>
        <v>195115.5</v>
      </c>
    </row>
    <row r="333" spans="1:49" ht="15" customHeight="1">
      <c r="A333" s="140" t="s">
        <v>251</v>
      </c>
      <c r="B333" s="211" t="s">
        <v>96</v>
      </c>
      <c r="C333" s="140" t="str">
        <f t="shared" si="75"/>
        <v>Saint Paul's Lutheran School - West Allis-WPCP</v>
      </c>
      <c r="D333" s="140">
        <v>20</v>
      </c>
      <c r="E333" s="140">
        <v>0</v>
      </c>
      <c r="F333" s="140">
        <v>0</v>
      </c>
      <c r="G333" s="140">
        <v>0</v>
      </c>
      <c r="H333" s="140">
        <v>0</v>
      </c>
      <c r="I333" s="140">
        <v>12</v>
      </c>
      <c r="J333" s="140">
        <v>100</v>
      </c>
      <c r="K333" s="140">
        <v>0</v>
      </c>
      <c r="L333" s="140">
        <f t="shared" si="76"/>
        <v>132</v>
      </c>
      <c r="N333" s="140">
        <v>1</v>
      </c>
      <c r="O333" s="140">
        <v>0</v>
      </c>
      <c r="P333" s="140">
        <v>0</v>
      </c>
      <c r="Q333" s="140">
        <v>0</v>
      </c>
      <c r="R333" s="140">
        <v>0</v>
      </c>
      <c r="S333" s="140">
        <v>2</v>
      </c>
      <c r="T333" s="140">
        <v>10</v>
      </c>
      <c r="U333" s="140">
        <v>0</v>
      </c>
      <c r="V333" s="140">
        <f t="shared" si="77"/>
        <v>13</v>
      </c>
      <c r="X333" s="98">
        <v>1</v>
      </c>
      <c r="Y333" s="98">
        <v>0</v>
      </c>
      <c r="Z333" s="98">
        <v>0</v>
      </c>
      <c r="AA333" s="98">
        <v>0</v>
      </c>
      <c r="AB333" s="98">
        <v>0</v>
      </c>
      <c r="AC333" s="98">
        <v>2</v>
      </c>
      <c r="AD333" s="98">
        <v>1</v>
      </c>
      <c r="AE333" s="98">
        <v>0</v>
      </c>
      <c r="AF333" s="98">
        <f t="shared" si="74"/>
        <v>4</v>
      </c>
      <c r="AH333" s="98">
        <v>9</v>
      </c>
      <c r="AJ333" s="98">
        <v>0</v>
      </c>
      <c r="AK333" s="98">
        <v>0</v>
      </c>
      <c r="AL333" s="380">
        <v>0</v>
      </c>
      <c r="AN333" s="214">
        <f t="shared" si="78"/>
        <v>50287.5</v>
      </c>
      <c r="AO333" s="214">
        <f t="shared" si="79"/>
        <v>2011.5</v>
      </c>
      <c r="AP333" s="214">
        <f t="shared" si="80"/>
        <v>0</v>
      </c>
      <c r="AQ333" s="214">
        <f t="shared" si="81"/>
        <v>0</v>
      </c>
      <c r="AR333" s="214">
        <f t="shared" si="82"/>
        <v>0</v>
      </c>
      <c r="AS333" s="214">
        <f t="shared" si="83"/>
        <v>0</v>
      </c>
      <c r="AT333" s="214">
        <f t="shared" si="84"/>
        <v>8046</v>
      </c>
      <c r="AU333" s="214">
        <f t="shared" si="85"/>
        <v>40230</v>
      </c>
      <c r="AV333" s="214">
        <f t="shared" si="86"/>
        <v>0</v>
      </c>
      <c r="AW333" s="215">
        <f t="shared" si="87"/>
        <v>50287.5</v>
      </c>
    </row>
    <row r="334" spans="1:49" ht="15" customHeight="1">
      <c r="A334" s="140" t="s">
        <v>477</v>
      </c>
      <c r="B334" s="211" t="s">
        <v>187</v>
      </c>
      <c r="C334" s="140" t="str">
        <f t="shared" si="75"/>
        <v>Saint Peter Immanuel Lutheran School - Milwaukee-MPCP</v>
      </c>
      <c r="D334" s="140">
        <v>14</v>
      </c>
      <c r="E334" s="140">
        <v>0</v>
      </c>
      <c r="F334" s="140">
        <v>0</v>
      </c>
      <c r="G334" s="140">
        <v>0</v>
      </c>
      <c r="H334" s="140">
        <v>0</v>
      </c>
      <c r="I334" s="140">
        <v>9</v>
      </c>
      <c r="J334" s="140">
        <v>82</v>
      </c>
      <c r="K334" s="140">
        <v>0</v>
      </c>
      <c r="L334" s="140">
        <f t="shared" si="76"/>
        <v>105</v>
      </c>
      <c r="N334" s="140">
        <v>14</v>
      </c>
      <c r="O334" s="140">
        <v>0</v>
      </c>
      <c r="P334" s="140">
        <v>0</v>
      </c>
      <c r="Q334" s="140">
        <v>0</v>
      </c>
      <c r="R334" s="140">
        <v>0</v>
      </c>
      <c r="S334" s="140">
        <v>9</v>
      </c>
      <c r="T334" s="140">
        <v>82</v>
      </c>
      <c r="U334" s="140">
        <v>0</v>
      </c>
      <c r="V334" s="140">
        <f t="shared" si="77"/>
        <v>105</v>
      </c>
      <c r="X334" s="98">
        <v>0</v>
      </c>
      <c r="Y334" s="98">
        <v>0</v>
      </c>
      <c r="Z334" s="98">
        <v>0</v>
      </c>
      <c r="AA334" s="98">
        <v>0</v>
      </c>
      <c r="AB334" s="98">
        <v>0</v>
      </c>
      <c r="AC334" s="98">
        <v>0</v>
      </c>
      <c r="AD334" s="98">
        <v>0</v>
      </c>
      <c r="AE334" s="98">
        <v>0</v>
      </c>
      <c r="AF334" s="98">
        <f t="shared" si="74"/>
        <v>0</v>
      </c>
      <c r="AH334" s="98">
        <v>67</v>
      </c>
      <c r="AJ334" s="98">
        <v>0</v>
      </c>
      <c r="AK334" s="98">
        <v>0</v>
      </c>
      <c r="AL334" s="380">
        <v>0</v>
      </c>
      <c r="AN334" s="214">
        <f t="shared" si="78"/>
        <v>394254</v>
      </c>
      <c r="AO334" s="214">
        <f t="shared" si="79"/>
        <v>28161</v>
      </c>
      <c r="AP334" s="214">
        <f t="shared" si="80"/>
        <v>0</v>
      </c>
      <c r="AQ334" s="214">
        <f t="shared" si="81"/>
        <v>0</v>
      </c>
      <c r="AR334" s="214">
        <f t="shared" si="82"/>
        <v>0</v>
      </c>
      <c r="AS334" s="214">
        <f t="shared" si="83"/>
        <v>0</v>
      </c>
      <c r="AT334" s="214">
        <f t="shared" si="84"/>
        <v>36207</v>
      </c>
      <c r="AU334" s="214">
        <f t="shared" si="85"/>
        <v>329886</v>
      </c>
      <c r="AV334" s="214">
        <f t="shared" si="86"/>
        <v>0</v>
      </c>
      <c r="AW334" s="215">
        <f t="shared" si="87"/>
        <v>394254</v>
      </c>
    </row>
    <row r="335" spans="1:49" ht="15" customHeight="1">
      <c r="A335" s="140" t="s">
        <v>202</v>
      </c>
      <c r="B335" s="211" t="s">
        <v>96</v>
      </c>
      <c r="C335" s="140" t="str">
        <f t="shared" si="75"/>
        <v>Saint Peter Lutheran School - Freedom-WPCP</v>
      </c>
      <c r="D335" s="140">
        <v>0</v>
      </c>
      <c r="E335" s="140">
        <v>0</v>
      </c>
      <c r="F335" s="140">
        <v>0</v>
      </c>
      <c r="G335" s="140">
        <v>0</v>
      </c>
      <c r="H335" s="140">
        <v>0</v>
      </c>
      <c r="I335" s="140">
        <v>22</v>
      </c>
      <c r="J335" s="140">
        <v>200</v>
      </c>
      <c r="K335" s="140">
        <v>0</v>
      </c>
      <c r="L335" s="140">
        <f t="shared" si="76"/>
        <v>222</v>
      </c>
      <c r="N335" s="140">
        <v>0</v>
      </c>
      <c r="O335" s="140">
        <v>0</v>
      </c>
      <c r="P335" s="140">
        <v>0</v>
      </c>
      <c r="Q335" s="140">
        <v>0</v>
      </c>
      <c r="R335" s="140">
        <v>0</v>
      </c>
      <c r="S335" s="140">
        <v>4</v>
      </c>
      <c r="T335" s="140">
        <v>33</v>
      </c>
      <c r="U335" s="140">
        <v>0</v>
      </c>
      <c r="V335" s="140">
        <f t="shared" si="77"/>
        <v>37</v>
      </c>
      <c r="X335" s="98">
        <v>0</v>
      </c>
      <c r="Y335" s="98">
        <v>0</v>
      </c>
      <c r="Z335" s="98">
        <v>0</v>
      </c>
      <c r="AA335" s="98">
        <v>0</v>
      </c>
      <c r="AB335" s="98">
        <v>0</v>
      </c>
      <c r="AC335" s="98">
        <v>0</v>
      </c>
      <c r="AD335" s="98">
        <v>0</v>
      </c>
      <c r="AE335" s="98">
        <v>0</v>
      </c>
      <c r="AF335" s="98">
        <f t="shared" si="74"/>
        <v>0</v>
      </c>
      <c r="AH335" s="98">
        <v>29</v>
      </c>
      <c r="AJ335" s="98">
        <v>0</v>
      </c>
      <c r="AK335" s="98">
        <v>0</v>
      </c>
      <c r="AL335" s="380">
        <v>0</v>
      </c>
      <c r="AN335" s="214">
        <f t="shared" si="78"/>
        <v>148851</v>
      </c>
      <c r="AO335" s="214">
        <f t="shared" si="79"/>
        <v>0</v>
      </c>
      <c r="AP335" s="214">
        <f t="shared" si="80"/>
        <v>0</v>
      </c>
      <c r="AQ335" s="214">
        <f t="shared" si="81"/>
        <v>0</v>
      </c>
      <c r="AR335" s="214">
        <f t="shared" si="82"/>
        <v>0</v>
      </c>
      <c r="AS335" s="214">
        <f t="shared" si="83"/>
        <v>0</v>
      </c>
      <c r="AT335" s="214">
        <f t="shared" si="84"/>
        <v>16092</v>
      </c>
      <c r="AU335" s="214">
        <f t="shared" si="85"/>
        <v>132759</v>
      </c>
      <c r="AV335" s="214">
        <f t="shared" si="86"/>
        <v>0</v>
      </c>
      <c r="AW335" s="215">
        <f t="shared" si="87"/>
        <v>148851</v>
      </c>
    </row>
    <row r="336" spans="1:49" ht="15" customHeight="1">
      <c r="A336" s="140" t="s">
        <v>603</v>
      </c>
      <c r="B336" s="211" t="s">
        <v>96</v>
      </c>
      <c r="C336" s="140" t="str">
        <f t="shared" si="75"/>
        <v>Saint Peter's Lutheran School - Helenville-WPCP</v>
      </c>
      <c r="D336" s="140">
        <v>6</v>
      </c>
      <c r="E336" s="140">
        <v>0</v>
      </c>
      <c r="F336" s="140">
        <v>0</v>
      </c>
      <c r="G336" s="140">
        <v>0</v>
      </c>
      <c r="H336" s="140">
        <v>0</v>
      </c>
      <c r="I336" s="140">
        <v>5</v>
      </c>
      <c r="J336" s="140">
        <v>29</v>
      </c>
      <c r="K336" s="140">
        <v>0</v>
      </c>
      <c r="L336" s="140">
        <f t="shared" si="76"/>
        <v>40</v>
      </c>
      <c r="N336" s="140">
        <v>1</v>
      </c>
      <c r="O336" s="140">
        <v>0</v>
      </c>
      <c r="P336" s="140">
        <v>0</v>
      </c>
      <c r="Q336" s="140">
        <v>0</v>
      </c>
      <c r="R336" s="140">
        <v>0</v>
      </c>
      <c r="S336" s="140">
        <v>2</v>
      </c>
      <c r="T336" s="140">
        <v>11</v>
      </c>
      <c r="U336" s="140">
        <v>0</v>
      </c>
      <c r="V336" s="140">
        <f t="shared" si="77"/>
        <v>14</v>
      </c>
      <c r="X336" s="98">
        <v>0</v>
      </c>
      <c r="Y336" s="98">
        <v>0</v>
      </c>
      <c r="Z336" s="98">
        <v>0</v>
      </c>
      <c r="AA336" s="98">
        <v>0</v>
      </c>
      <c r="AB336" s="98">
        <v>0</v>
      </c>
      <c r="AC336" s="98">
        <v>0</v>
      </c>
      <c r="AD336" s="98">
        <v>0</v>
      </c>
      <c r="AE336" s="98">
        <v>0</v>
      </c>
      <c r="AF336" s="98">
        <f t="shared" si="74"/>
        <v>0</v>
      </c>
      <c r="AH336" s="98">
        <v>9</v>
      </c>
      <c r="AJ336" s="98">
        <v>0</v>
      </c>
      <c r="AK336" s="98">
        <v>0</v>
      </c>
      <c r="AL336" s="380">
        <v>0</v>
      </c>
      <c r="AN336" s="214">
        <f t="shared" si="78"/>
        <v>54310.5</v>
      </c>
      <c r="AO336" s="214">
        <f t="shared" si="79"/>
        <v>2011.5</v>
      </c>
      <c r="AP336" s="214">
        <f t="shared" si="80"/>
        <v>0</v>
      </c>
      <c r="AQ336" s="214">
        <f t="shared" si="81"/>
        <v>0</v>
      </c>
      <c r="AR336" s="214">
        <f t="shared" si="82"/>
        <v>0</v>
      </c>
      <c r="AS336" s="214">
        <f t="shared" si="83"/>
        <v>0</v>
      </c>
      <c r="AT336" s="214">
        <f t="shared" si="84"/>
        <v>8046</v>
      </c>
      <c r="AU336" s="214">
        <f t="shared" si="85"/>
        <v>44253</v>
      </c>
      <c r="AV336" s="214">
        <f t="shared" si="86"/>
        <v>0</v>
      </c>
      <c r="AW336" s="215">
        <f t="shared" si="87"/>
        <v>54310.5</v>
      </c>
    </row>
    <row r="337" spans="1:49" ht="15" customHeight="1">
      <c r="A337" s="140" t="s">
        <v>326</v>
      </c>
      <c r="B337" s="211" t="s">
        <v>96</v>
      </c>
      <c r="C337" s="140" t="str">
        <f t="shared" si="75"/>
        <v>Saint Peters Lutheran School - Reedsburg-WPCP</v>
      </c>
      <c r="D337" s="140">
        <v>15</v>
      </c>
      <c r="E337" s="140">
        <v>0</v>
      </c>
      <c r="F337" s="140">
        <v>0</v>
      </c>
      <c r="G337" s="140">
        <v>0</v>
      </c>
      <c r="H337" s="140">
        <v>0</v>
      </c>
      <c r="I337" s="140">
        <v>14</v>
      </c>
      <c r="J337" s="140">
        <v>118</v>
      </c>
      <c r="K337" s="140">
        <v>0</v>
      </c>
      <c r="L337" s="140">
        <f t="shared" si="76"/>
        <v>147</v>
      </c>
      <c r="N337" s="140">
        <v>3</v>
      </c>
      <c r="O337" s="140">
        <v>0</v>
      </c>
      <c r="P337" s="140">
        <v>0</v>
      </c>
      <c r="Q337" s="140">
        <v>0</v>
      </c>
      <c r="R337" s="140">
        <v>0</v>
      </c>
      <c r="S337" s="140">
        <v>4</v>
      </c>
      <c r="T337" s="140">
        <v>27</v>
      </c>
      <c r="U337" s="140">
        <v>0</v>
      </c>
      <c r="V337" s="140">
        <f t="shared" si="77"/>
        <v>34</v>
      </c>
      <c r="X337" s="98">
        <v>0</v>
      </c>
      <c r="Y337" s="98">
        <v>0</v>
      </c>
      <c r="Z337" s="98">
        <v>0</v>
      </c>
      <c r="AA337" s="98">
        <v>0</v>
      </c>
      <c r="AB337" s="98">
        <v>0</v>
      </c>
      <c r="AC337" s="98">
        <v>0</v>
      </c>
      <c r="AD337" s="98">
        <v>0</v>
      </c>
      <c r="AE337" s="98">
        <v>0</v>
      </c>
      <c r="AF337" s="98">
        <f t="shared" si="74"/>
        <v>0</v>
      </c>
      <c r="AH337" s="98">
        <v>24</v>
      </c>
      <c r="AJ337" s="98">
        <v>0</v>
      </c>
      <c r="AK337" s="98">
        <v>0</v>
      </c>
      <c r="AL337" s="380">
        <v>0</v>
      </c>
      <c r="AN337" s="214">
        <f t="shared" si="78"/>
        <v>130747.5</v>
      </c>
      <c r="AO337" s="214">
        <f t="shared" si="79"/>
        <v>6034.5</v>
      </c>
      <c r="AP337" s="214">
        <f t="shared" si="80"/>
        <v>0</v>
      </c>
      <c r="AQ337" s="214">
        <f t="shared" si="81"/>
        <v>0</v>
      </c>
      <c r="AR337" s="214">
        <f t="shared" si="82"/>
        <v>0</v>
      </c>
      <c r="AS337" s="214">
        <f t="shared" si="83"/>
        <v>0</v>
      </c>
      <c r="AT337" s="214">
        <f t="shared" si="84"/>
        <v>16092</v>
      </c>
      <c r="AU337" s="214">
        <f t="shared" si="85"/>
        <v>108621</v>
      </c>
      <c r="AV337" s="214">
        <f t="shared" si="86"/>
        <v>0</v>
      </c>
      <c r="AW337" s="215">
        <f t="shared" si="87"/>
        <v>130747.5</v>
      </c>
    </row>
    <row r="338" spans="1:49" ht="15" customHeight="1">
      <c r="A338" s="140" t="s">
        <v>604</v>
      </c>
      <c r="B338" s="211" t="s">
        <v>96</v>
      </c>
      <c r="C338" s="140" t="str">
        <f t="shared" si="75"/>
        <v>Saint Peter's School - East Troy-WPCP</v>
      </c>
      <c r="D338" s="140">
        <v>0</v>
      </c>
      <c r="E338" s="140">
        <v>0</v>
      </c>
      <c r="F338" s="140">
        <v>0</v>
      </c>
      <c r="G338" s="140">
        <v>0</v>
      </c>
      <c r="H338" s="140">
        <v>0</v>
      </c>
      <c r="I338" s="140">
        <v>0</v>
      </c>
      <c r="J338" s="140">
        <v>14</v>
      </c>
      <c r="K338" s="140">
        <v>0</v>
      </c>
      <c r="L338" s="140">
        <f t="shared" si="76"/>
        <v>14</v>
      </c>
      <c r="N338" s="140">
        <v>0</v>
      </c>
      <c r="O338" s="140">
        <v>0</v>
      </c>
      <c r="P338" s="140">
        <v>0</v>
      </c>
      <c r="Q338" s="140">
        <v>0</v>
      </c>
      <c r="R338" s="140">
        <v>0</v>
      </c>
      <c r="S338" s="140">
        <v>0</v>
      </c>
      <c r="T338" s="140">
        <v>14</v>
      </c>
      <c r="U338" s="140">
        <v>0</v>
      </c>
      <c r="V338" s="140">
        <f t="shared" si="77"/>
        <v>14</v>
      </c>
      <c r="X338" s="98">
        <v>0</v>
      </c>
      <c r="Y338" s="98">
        <v>0</v>
      </c>
      <c r="Z338" s="98">
        <v>0</v>
      </c>
      <c r="AA338" s="98">
        <v>0</v>
      </c>
      <c r="AB338" s="98">
        <v>0</v>
      </c>
      <c r="AC338" s="98">
        <v>0</v>
      </c>
      <c r="AD338" s="98">
        <v>0</v>
      </c>
      <c r="AE338" s="98">
        <v>0</v>
      </c>
      <c r="AF338" s="98">
        <f t="shared" si="74"/>
        <v>0</v>
      </c>
      <c r="AH338" s="98">
        <v>10</v>
      </c>
      <c r="AJ338" s="98">
        <v>0</v>
      </c>
      <c r="AK338" s="98">
        <v>0</v>
      </c>
      <c r="AL338" s="380">
        <v>0</v>
      </c>
      <c r="AN338" s="214">
        <f t="shared" si="78"/>
        <v>56322</v>
      </c>
      <c r="AO338" s="214">
        <f t="shared" si="79"/>
        <v>0</v>
      </c>
      <c r="AP338" s="214">
        <f t="shared" si="80"/>
        <v>0</v>
      </c>
      <c r="AQ338" s="214">
        <f t="shared" si="81"/>
        <v>0</v>
      </c>
      <c r="AR338" s="214">
        <f t="shared" si="82"/>
        <v>0</v>
      </c>
      <c r="AS338" s="214">
        <f t="shared" si="83"/>
        <v>0</v>
      </c>
      <c r="AT338" s="214">
        <f t="shared" si="84"/>
        <v>0</v>
      </c>
      <c r="AU338" s="214">
        <f t="shared" si="85"/>
        <v>56322</v>
      </c>
      <c r="AV338" s="214">
        <f t="shared" si="86"/>
        <v>0</v>
      </c>
      <c r="AW338" s="215">
        <f t="shared" si="87"/>
        <v>56322</v>
      </c>
    </row>
    <row r="339" spans="1:49" ht="15" customHeight="1">
      <c r="A339" s="140" t="s">
        <v>252</v>
      </c>
      <c r="B339" s="211" t="s">
        <v>187</v>
      </c>
      <c r="C339" s="140" t="str">
        <f t="shared" si="75"/>
        <v>Saint Philip's Lutheran School-MPCP</v>
      </c>
      <c r="D339" s="140">
        <v>9</v>
      </c>
      <c r="E339" s="140">
        <v>0</v>
      </c>
      <c r="F339" s="140">
        <v>0</v>
      </c>
      <c r="G339" s="140">
        <v>0</v>
      </c>
      <c r="H339" s="140">
        <v>0</v>
      </c>
      <c r="I339" s="140">
        <v>13</v>
      </c>
      <c r="J339" s="140">
        <v>127</v>
      </c>
      <c r="K339" s="140">
        <v>0</v>
      </c>
      <c r="L339" s="140">
        <f t="shared" si="76"/>
        <v>149</v>
      </c>
      <c r="N339" s="140">
        <v>9</v>
      </c>
      <c r="O339" s="140">
        <v>0</v>
      </c>
      <c r="P339" s="140">
        <v>0</v>
      </c>
      <c r="Q339" s="140">
        <v>0</v>
      </c>
      <c r="R339" s="140">
        <v>0</v>
      </c>
      <c r="S339" s="140">
        <v>12</v>
      </c>
      <c r="T339" s="140">
        <v>124</v>
      </c>
      <c r="U339" s="140">
        <v>0</v>
      </c>
      <c r="V339" s="140">
        <f t="shared" si="77"/>
        <v>145</v>
      </c>
      <c r="X339" s="98">
        <v>0</v>
      </c>
      <c r="Y339" s="98">
        <v>0</v>
      </c>
      <c r="Z339" s="98">
        <v>0</v>
      </c>
      <c r="AA339" s="98">
        <v>0</v>
      </c>
      <c r="AB339" s="98">
        <v>0</v>
      </c>
      <c r="AC339" s="98">
        <v>0</v>
      </c>
      <c r="AD339" s="98">
        <v>0</v>
      </c>
      <c r="AE339" s="98">
        <v>0</v>
      </c>
      <c r="AF339" s="98">
        <f t="shared" si="74"/>
        <v>0</v>
      </c>
      <c r="AH339" s="98">
        <v>88</v>
      </c>
      <c r="AJ339" s="98">
        <v>43</v>
      </c>
      <c r="AK339" s="98">
        <v>0</v>
      </c>
      <c r="AL339" s="380">
        <v>15301.23000000001</v>
      </c>
      <c r="AN339" s="214">
        <f t="shared" si="78"/>
        <v>565231.5</v>
      </c>
      <c r="AO339" s="214">
        <f t="shared" si="79"/>
        <v>18103.5</v>
      </c>
      <c r="AP339" s="214">
        <f t="shared" si="80"/>
        <v>0</v>
      </c>
      <c r="AQ339" s="214">
        <f t="shared" si="81"/>
        <v>0</v>
      </c>
      <c r="AR339" s="214">
        <f t="shared" si="82"/>
        <v>0</v>
      </c>
      <c r="AS339" s="214">
        <f t="shared" si="83"/>
        <v>0</v>
      </c>
      <c r="AT339" s="214">
        <f t="shared" si="84"/>
        <v>48276</v>
      </c>
      <c r="AU339" s="214">
        <f t="shared" si="85"/>
        <v>498852</v>
      </c>
      <c r="AV339" s="214">
        <f t="shared" si="86"/>
        <v>0</v>
      </c>
      <c r="AW339" s="215">
        <f t="shared" si="87"/>
        <v>565231.5</v>
      </c>
    </row>
    <row r="340" spans="1:49" ht="15" customHeight="1">
      <c r="A340" s="140" t="s">
        <v>252</v>
      </c>
      <c r="B340" s="211" t="s">
        <v>96</v>
      </c>
      <c r="C340" s="140" t="str">
        <f t="shared" si="75"/>
        <v>Saint Philip's Lutheran School-WPCP</v>
      </c>
      <c r="D340" s="140">
        <v>9</v>
      </c>
      <c r="E340" s="140">
        <v>0</v>
      </c>
      <c r="F340" s="140">
        <v>0</v>
      </c>
      <c r="G340" s="140">
        <v>0</v>
      </c>
      <c r="H340" s="140">
        <v>0</v>
      </c>
      <c r="I340" s="140">
        <v>13</v>
      </c>
      <c r="J340" s="140">
        <v>127</v>
      </c>
      <c r="K340" s="140">
        <v>0</v>
      </c>
      <c r="L340" s="140">
        <f t="shared" si="76"/>
        <v>149</v>
      </c>
      <c r="N340" s="140">
        <v>0</v>
      </c>
      <c r="O340" s="140">
        <v>0</v>
      </c>
      <c r="P340" s="140">
        <v>0</v>
      </c>
      <c r="Q340" s="140">
        <v>0</v>
      </c>
      <c r="R340" s="140">
        <v>0</v>
      </c>
      <c r="S340" s="140">
        <v>1</v>
      </c>
      <c r="T340" s="140">
        <v>3</v>
      </c>
      <c r="U340" s="140">
        <v>0</v>
      </c>
      <c r="V340" s="140">
        <f t="shared" si="77"/>
        <v>4</v>
      </c>
      <c r="X340" s="98">
        <v>0</v>
      </c>
      <c r="Y340" s="98">
        <v>0</v>
      </c>
      <c r="Z340" s="98">
        <v>0</v>
      </c>
      <c r="AA340" s="98">
        <v>0</v>
      </c>
      <c r="AB340" s="98">
        <v>0</v>
      </c>
      <c r="AC340" s="98">
        <v>0</v>
      </c>
      <c r="AD340" s="98">
        <v>0</v>
      </c>
      <c r="AE340" s="98">
        <v>0</v>
      </c>
      <c r="AF340" s="98">
        <f t="shared" si="74"/>
        <v>0</v>
      </c>
      <c r="AH340" s="98">
        <v>2</v>
      </c>
      <c r="AJ340" s="98">
        <v>0</v>
      </c>
      <c r="AK340" s="98">
        <v>0</v>
      </c>
      <c r="AL340" s="380">
        <v>0</v>
      </c>
      <c r="AN340" s="214">
        <f t="shared" si="78"/>
        <v>16092</v>
      </c>
      <c r="AO340" s="214">
        <f t="shared" si="79"/>
        <v>0</v>
      </c>
      <c r="AP340" s="214">
        <f t="shared" si="80"/>
        <v>0</v>
      </c>
      <c r="AQ340" s="214">
        <f t="shared" si="81"/>
        <v>0</v>
      </c>
      <c r="AR340" s="214">
        <f t="shared" si="82"/>
        <v>0</v>
      </c>
      <c r="AS340" s="214">
        <f t="shared" si="83"/>
        <v>0</v>
      </c>
      <c r="AT340" s="214">
        <f t="shared" si="84"/>
        <v>4023</v>
      </c>
      <c r="AU340" s="214">
        <f t="shared" si="85"/>
        <v>12069</v>
      </c>
      <c r="AV340" s="214">
        <f t="shared" si="86"/>
        <v>0</v>
      </c>
      <c r="AW340" s="215">
        <f t="shared" si="87"/>
        <v>16092</v>
      </c>
    </row>
    <row r="341" spans="1:49" ht="15" customHeight="1">
      <c r="A341" s="140" t="s">
        <v>253</v>
      </c>
      <c r="B341" s="211" t="s">
        <v>187</v>
      </c>
      <c r="C341" s="140" t="str">
        <f t="shared" si="75"/>
        <v>Saint Rafael the Archangel School-MPCP</v>
      </c>
      <c r="D341" s="140">
        <v>0</v>
      </c>
      <c r="E341" s="140">
        <v>35</v>
      </c>
      <c r="F341" s="140">
        <v>0</v>
      </c>
      <c r="G341" s="140">
        <v>0</v>
      </c>
      <c r="H341" s="140">
        <v>0</v>
      </c>
      <c r="I341" s="140">
        <v>25</v>
      </c>
      <c r="J341" s="140">
        <v>288</v>
      </c>
      <c r="K341" s="140">
        <v>0</v>
      </c>
      <c r="L341" s="140">
        <f t="shared" si="76"/>
        <v>348</v>
      </c>
      <c r="N341" s="140">
        <v>0</v>
      </c>
      <c r="O341" s="140">
        <v>34</v>
      </c>
      <c r="P341" s="140">
        <v>0</v>
      </c>
      <c r="Q341" s="140">
        <v>0</v>
      </c>
      <c r="R341" s="140">
        <v>0</v>
      </c>
      <c r="S341" s="140">
        <v>23</v>
      </c>
      <c r="T341" s="140">
        <v>272</v>
      </c>
      <c r="U341" s="140">
        <v>0</v>
      </c>
      <c r="V341" s="140">
        <f t="shared" si="77"/>
        <v>329</v>
      </c>
      <c r="X341" s="98">
        <v>0</v>
      </c>
      <c r="Y341" s="98">
        <v>0</v>
      </c>
      <c r="Z341" s="98">
        <v>0</v>
      </c>
      <c r="AA341" s="98">
        <v>0</v>
      </c>
      <c r="AB341" s="98">
        <v>0</v>
      </c>
      <c r="AC341" s="98">
        <v>0</v>
      </c>
      <c r="AD341" s="98">
        <v>0</v>
      </c>
      <c r="AE341" s="98">
        <v>0</v>
      </c>
      <c r="AF341" s="98">
        <f t="shared" si="74"/>
        <v>0</v>
      </c>
      <c r="AH341" s="98">
        <v>210</v>
      </c>
      <c r="AJ341" s="98">
        <v>102</v>
      </c>
      <c r="AK341" s="98">
        <v>0</v>
      </c>
      <c r="AL341" s="380">
        <v>33936.640000000036</v>
      </c>
      <c r="AN341" s="214">
        <f t="shared" si="78"/>
        <v>1268854.2</v>
      </c>
      <c r="AO341" s="214">
        <f t="shared" si="79"/>
        <v>0</v>
      </c>
      <c r="AP341" s="214">
        <f t="shared" si="80"/>
        <v>82069.2</v>
      </c>
      <c r="AQ341" s="214">
        <f t="shared" si="81"/>
        <v>0</v>
      </c>
      <c r="AR341" s="214">
        <f t="shared" si="82"/>
        <v>0</v>
      </c>
      <c r="AS341" s="214">
        <f t="shared" si="83"/>
        <v>0</v>
      </c>
      <c r="AT341" s="214">
        <f t="shared" si="84"/>
        <v>92529</v>
      </c>
      <c r="AU341" s="214">
        <f t="shared" si="85"/>
        <v>1094256</v>
      </c>
      <c r="AV341" s="214">
        <f t="shared" si="86"/>
        <v>0</v>
      </c>
      <c r="AW341" s="215">
        <f t="shared" si="87"/>
        <v>1268854.2</v>
      </c>
    </row>
    <row r="342" spans="1:49" ht="15" customHeight="1">
      <c r="A342" s="140" t="s">
        <v>253</v>
      </c>
      <c r="B342" s="211" t="s">
        <v>96</v>
      </c>
      <c r="C342" s="140" t="str">
        <f t="shared" si="75"/>
        <v>Saint Rafael the Archangel School-WPCP</v>
      </c>
      <c r="D342" s="140">
        <v>0</v>
      </c>
      <c r="E342" s="140">
        <v>35</v>
      </c>
      <c r="F342" s="140">
        <v>0</v>
      </c>
      <c r="G342" s="140">
        <v>0</v>
      </c>
      <c r="H342" s="140">
        <v>0</v>
      </c>
      <c r="I342" s="140">
        <v>25</v>
      </c>
      <c r="J342" s="140">
        <v>288</v>
      </c>
      <c r="K342" s="140">
        <v>0</v>
      </c>
      <c r="L342" s="140">
        <f t="shared" si="76"/>
        <v>348</v>
      </c>
      <c r="N342" s="140">
        <v>0</v>
      </c>
      <c r="O342" s="140">
        <v>0</v>
      </c>
      <c r="P342" s="140">
        <v>0</v>
      </c>
      <c r="Q342" s="140">
        <v>0</v>
      </c>
      <c r="R342" s="140">
        <v>0</v>
      </c>
      <c r="S342" s="140">
        <v>1</v>
      </c>
      <c r="T342" s="140">
        <v>10</v>
      </c>
      <c r="U342" s="140">
        <v>0</v>
      </c>
      <c r="V342" s="140">
        <f t="shared" si="77"/>
        <v>11</v>
      </c>
      <c r="X342" s="98">
        <v>0</v>
      </c>
      <c r="Y342" s="98">
        <v>1</v>
      </c>
      <c r="Z342" s="98">
        <v>0</v>
      </c>
      <c r="AA342" s="98">
        <v>0</v>
      </c>
      <c r="AB342" s="98">
        <v>0</v>
      </c>
      <c r="AC342" s="98">
        <v>0</v>
      </c>
      <c r="AD342" s="98">
        <v>1</v>
      </c>
      <c r="AE342" s="98">
        <v>0</v>
      </c>
      <c r="AF342" s="98">
        <f t="shared" si="74"/>
        <v>2</v>
      </c>
      <c r="AH342" s="98">
        <v>7</v>
      </c>
      <c r="AJ342" s="98">
        <v>4</v>
      </c>
      <c r="AK342" s="98">
        <v>0</v>
      </c>
      <c r="AL342" s="380">
        <v>258.48</v>
      </c>
      <c r="AN342" s="214">
        <f t="shared" si="78"/>
        <v>44253</v>
      </c>
      <c r="AO342" s="214">
        <f t="shared" si="79"/>
        <v>0</v>
      </c>
      <c r="AP342" s="214">
        <f t="shared" si="80"/>
        <v>0</v>
      </c>
      <c r="AQ342" s="214">
        <f t="shared" si="81"/>
        <v>0</v>
      </c>
      <c r="AR342" s="214">
        <f t="shared" si="82"/>
        <v>0</v>
      </c>
      <c r="AS342" s="214">
        <f t="shared" si="83"/>
        <v>0</v>
      </c>
      <c r="AT342" s="214">
        <f t="shared" si="84"/>
        <v>4023</v>
      </c>
      <c r="AU342" s="214">
        <f t="shared" si="85"/>
        <v>40230</v>
      </c>
      <c r="AV342" s="214">
        <f t="shared" si="86"/>
        <v>0</v>
      </c>
      <c r="AW342" s="215">
        <f t="shared" si="87"/>
        <v>44253</v>
      </c>
    </row>
    <row r="343" spans="1:49" ht="15" customHeight="1">
      <c r="A343" s="140" t="s">
        <v>254</v>
      </c>
      <c r="B343" s="211" t="s">
        <v>187</v>
      </c>
      <c r="C343" s="140" t="str">
        <f t="shared" si="75"/>
        <v>Saint Roman Parish School-MPCP</v>
      </c>
      <c r="D343" s="140">
        <v>0</v>
      </c>
      <c r="E343" s="140">
        <v>32</v>
      </c>
      <c r="F343" s="140">
        <v>0</v>
      </c>
      <c r="G343" s="140">
        <v>0</v>
      </c>
      <c r="H343" s="140">
        <v>0</v>
      </c>
      <c r="I343" s="140">
        <v>29</v>
      </c>
      <c r="J343" s="140">
        <v>258</v>
      </c>
      <c r="K343" s="140">
        <v>0</v>
      </c>
      <c r="L343" s="140">
        <f t="shared" si="76"/>
        <v>319</v>
      </c>
      <c r="N343" s="140">
        <v>0</v>
      </c>
      <c r="O343" s="140">
        <v>26</v>
      </c>
      <c r="P343" s="140">
        <v>0</v>
      </c>
      <c r="Q343" s="140">
        <v>0</v>
      </c>
      <c r="R343" s="140">
        <v>0</v>
      </c>
      <c r="S343" s="140">
        <v>28</v>
      </c>
      <c r="T343" s="140">
        <v>230</v>
      </c>
      <c r="U343" s="140">
        <v>0</v>
      </c>
      <c r="V343" s="140">
        <f t="shared" si="77"/>
        <v>284</v>
      </c>
      <c r="X343" s="98">
        <v>0</v>
      </c>
      <c r="Y343" s="98">
        <v>1</v>
      </c>
      <c r="Z343" s="98">
        <v>0</v>
      </c>
      <c r="AA343" s="98">
        <v>0</v>
      </c>
      <c r="AB343" s="98">
        <v>0</v>
      </c>
      <c r="AC343" s="98">
        <v>0</v>
      </c>
      <c r="AD343" s="98">
        <v>0</v>
      </c>
      <c r="AE343" s="98">
        <v>0</v>
      </c>
      <c r="AF343" s="98">
        <f t="shared" si="74"/>
        <v>1</v>
      </c>
      <c r="AH343" s="98">
        <v>186</v>
      </c>
      <c r="AJ343" s="98">
        <v>0</v>
      </c>
      <c r="AK343" s="98">
        <v>0</v>
      </c>
      <c r="AL343" s="380">
        <v>0</v>
      </c>
      <c r="AN343" s="214">
        <f t="shared" si="78"/>
        <v>1100692.8</v>
      </c>
      <c r="AO343" s="214">
        <f t="shared" si="79"/>
        <v>0</v>
      </c>
      <c r="AP343" s="214">
        <f t="shared" si="80"/>
        <v>62758.8</v>
      </c>
      <c r="AQ343" s="214">
        <f t="shared" si="81"/>
        <v>0</v>
      </c>
      <c r="AR343" s="214">
        <f t="shared" si="82"/>
        <v>0</v>
      </c>
      <c r="AS343" s="214">
        <f t="shared" si="83"/>
        <v>0</v>
      </c>
      <c r="AT343" s="214">
        <f t="shared" si="84"/>
        <v>112644</v>
      </c>
      <c r="AU343" s="214">
        <f t="shared" si="85"/>
        <v>925290</v>
      </c>
      <c r="AV343" s="214">
        <f t="shared" si="86"/>
        <v>0</v>
      </c>
      <c r="AW343" s="215">
        <f t="shared" si="87"/>
        <v>1100692.8</v>
      </c>
    </row>
    <row r="344" spans="1:49" ht="15" customHeight="1">
      <c r="A344" s="140" t="s">
        <v>254</v>
      </c>
      <c r="B344" s="211" t="s">
        <v>96</v>
      </c>
      <c r="C344" s="140" t="str">
        <f t="shared" si="75"/>
        <v>Saint Roman Parish School-WPCP</v>
      </c>
      <c r="D344" s="140">
        <v>0</v>
      </c>
      <c r="E344" s="140">
        <v>32</v>
      </c>
      <c r="F344" s="140">
        <v>0</v>
      </c>
      <c r="G344" s="140">
        <v>0</v>
      </c>
      <c r="H344" s="140">
        <v>0</v>
      </c>
      <c r="I344" s="140">
        <v>29</v>
      </c>
      <c r="J344" s="140">
        <v>258</v>
      </c>
      <c r="K344" s="140">
        <v>0</v>
      </c>
      <c r="L344" s="140">
        <f t="shared" si="76"/>
        <v>319</v>
      </c>
      <c r="N344" s="140">
        <v>0</v>
      </c>
      <c r="O344" s="140">
        <v>0</v>
      </c>
      <c r="P344" s="140">
        <v>0</v>
      </c>
      <c r="Q344" s="140">
        <v>0</v>
      </c>
      <c r="R344" s="140">
        <v>0</v>
      </c>
      <c r="S344" s="140">
        <v>1</v>
      </c>
      <c r="T344" s="140">
        <v>13</v>
      </c>
      <c r="U344" s="140">
        <v>0</v>
      </c>
      <c r="V344" s="140">
        <f t="shared" si="77"/>
        <v>14</v>
      </c>
      <c r="X344" s="98">
        <v>0</v>
      </c>
      <c r="Y344" s="98">
        <v>0</v>
      </c>
      <c r="Z344" s="98">
        <v>0</v>
      </c>
      <c r="AA344" s="98">
        <v>0</v>
      </c>
      <c r="AB344" s="98">
        <v>0</v>
      </c>
      <c r="AC344" s="98">
        <v>0</v>
      </c>
      <c r="AD344" s="98">
        <v>0</v>
      </c>
      <c r="AE344" s="98">
        <v>0</v>
      </c>
      <c r="AF344" s="98">
        <f t="shared" si="74"/>
        <v>0</v>
      </c>
      <c r="AH344" s="98">
        <v>9</v>
      </c>
      <c r="AJ344" s="98">
        <v>0</v>
      </c>
      <c r="AK344" s="98">
        <v>0</v>
      </c>
      <c r="AL344" s="380">
        <v>0</v>
      </c>
      <c r="AN344" s="214">
        <f t="shared" si="78"/>
        <v>56322</v>
      </c>
      <c r="AO344" s="214">
        <f t="shared" si="79"/>
        <v>0</v>
      </c>
      <c r="AP344" s="214">
        <f t="shared" si="80"/>
        <v>0</v>
      </c>
      <c r="AQ344" s="214">
        <f t="shared" si="81"/>
        <v>0</v>
      </c>
      <c r="AR344" s="214">
        <f t="shared" si="82"/>
        <v>0</v>
      </c>
      <c r="AS344" s="214">
        <f t="shared" si="83"/>
        <v>0</v>
      </c>
      <c r="AT344" s="214">
        <f t="shared" si="84"/>
        <v>4023</v>
      </c>
      <c r="AU344" s="214">
        <f t="shared" si="85"/>
        <v>52299</v>
      </c>
      <c r="AV344" s="214">
        <f t="shared" si="86"/>
        <v>0</v>
      </c>
      <c r="AW344" s="215">
        <f t="shared" si="87"/>
        <v>56322</v>
      </c>
    </row>
    <row r="345" spans="1:49" ht="15" customHeight="1">
      <c r="A345" s="140" t="s">
        <v>478</v>
      </c>
      <c r="B345" s="211" t="s">
        <v>96</v>
      </c>
      <c r="C345" s="140" t="str">
        <f t="shared" si="75"/>
        <v>Saint Rose Saint Mary's School-WPCP</v>
      </c>
      <c r="D345" s="140">
        <v>1</v>
      </c>
      <c r="E345" s="140">
        <v>0</v>
      </c>
      <c r="F345" s="140">
        <v>0</v>
      </c>
      <c r="G345" s="140">
        <v>0</v>
      </c>
      <c r="H345" s="140">
        <v>0</v>
      </c>
      <c r="I345" s="140">
        <v>2</v>
      </c>
      <c r="J345" s="140">
        <v>38</v>
      </c>
      <c r="K345" s="140">
        <v>0</v>
      </c>
      <c r="L345" s="140">
        <f t="shared" si="76"/>
        <v>41</v>
      </c>
      <c r="N345" s="140">
        <v>1</v>
      </c>
      <c r="O345" s="140">
        <v>0</v>
      </c>
      <c r="P345" s="140">
        <v>0</v>
      </c>
      <c r="Q345" s="140">
        <v>0</v>
      </c>
      <c r="R345" s="140">
        <v>0</v>
      </c>
      <c r="S345" s="140">
        <v>1</v>
      </c>
      <c r="T345" s="140">
        <v>9</v>
      </c>
      <c r="U345" s="140">
        <v>0</v>
      </c>
      <c r="V345" s="140">
        <f t="shared" si="77"/>
        <v>11</v>
      </c>
      <c r="X345" s="98">
        <v>0</v>
      </c>
      <c r="Y345" s="98">
        <v>0</v>
      </c>
      <c r="Z345" s="98">
        <v>0</v>
      </c>
      <c r="AA345" s="98">
        <v>0</v>
      </c>
      <c r="AB345" s="98">
        <v>0</v>
      </c>
      <c r="AC345" s="98">
        <v>0</v>
      </c>
      <c r="AD345" s="98">
        <v>0</v>
      </c>
      <c r="AE345" s="98">
        <v>0</v>
      </c>
      <c r="AF345" s="98">
        <f t="shared" si="74"/>
        <v>0</v>
      </c>
      <c r="AH345" s="98">
        <v>7</v>
      </c>
      <c r="AJ345" s="98">
        <v>0</v>
      </c>
      <c r="AK345" s="98">
        <v>0</v>
      </c>
      <c r="AL345" s="380">
        <v>0</v>
      </c>
      <c r="AN345" s="214">
        <f t="shared" si="78"/>
        <v>42241.5</v>
      </c>
      <c r="AO345" s="214">
        <f t="shared" si="79"/>
        <v>2011.5</v>
      </c>
      <c r="AP345" s="214">
        <f t="shared" si="80"/>
        <v>0</v>
      </c>
      <c r="AQ345" s="214">
        <f t="shared" si="81"/>
        <v>0</v>
      </c>
      <c r="AR345" s="214">
        <f t="shared" si="82"/>
        <v>0</v>
      </c>
      <c r="AS345" s="214">
        <f t="shared" si="83"/>
        <v>0</v>
      </c>
      <c r="AT345" s="214">
        <f t="shared" si="84"/>
        <v>4023</v>
      </c>
      <c r="AU345" s="214">
        <f t="shared" si="85"/>
        <v>36207</v>
      </c>
      <c r="AV345" s="214">
        <f t="shared" si="86"/>
        <v>0</v>
      </c>
      <c r="AW345" s="215">
        <f t="shared" si="87"/>
        <v>42241.5</v>
      </c>
    </row>
    <row r="346" spans="1:49" ht="15" customHeight="1">
      <c r="A346" s="140" t="s">
        <v>255</v>
      </c>
      <c r="B346" s="211" t="s">
        <v>187</v>
      </c>
      <c r="C346" s="140" t="str">
        <f t="shared" si="75"/>
        <v>Saint Sebastian School-MPCP</v>
      </c>
      <c r="D346" s="140">
        <v>31</v>
      </c>
      <c r="E346" s="140">
        <v>0</v>
      </c>
      <c r="F346" s="140">
        <v>0</v>
      </c>
      <c r="G346" s="140">
        <v>0</v>
      </c>
      <c r="H346" s="140">
        <v>0</v>
      </c>
      <c r="I346" s="140">
        <v>36</v>
      </c>
      <c r="J346" s="140">
        <v>271</v>
      </c>
      <c r="K346" s="140">
        <v>0</v>
      </c>
      <c r="L346" s="140">
        <f t="shared" si="76"/>
        <v>338</v>
      </c>
      <c r="N346" s="140">
        <v>23</v>
      </c>
      <c r="O346" s="140">
        <v>0</v>
      </c>
      <c r="P346" s="140">
        <v>0</v>
      </c>
      <c r="Q346" s="140">
        <v>0</v>
      </c>
      <c r="R346" s="140">
        <v>0</v>
      </c>
      <c r="S346" s="140">
        <v>25</v>
      </c>
      <c r="T346" s="140">
        <v>174</v>
      </c>
      <c r="U346" s="140">
        <v>0</v>
      </c>
      <c r="V346" s="140">
        <f t="shared" si="77"/>
        <v>222</v>
      </c>
      <c r="X346" s="98">
        <v>0</v>
      </c>
      <c r="Y346" s="98">
        <v>0</v>
      </c>
      <c r="Z346" s="98">
        <v>0</v>
      </c>
      <c r="AA346" s="98">
        <v>0</v>
      </c>
      <c r="AB346" s="98">
        <v>0</v>
      </c>
      <c r="AC346" s="98">
        <v>0</v>
      </c>
      <c r="AD346" s="98">
        <v>16</v>
      </c>
      <c r="AE346" s="98">
        <v>0</v>
      </c>
      <c r="AF346" s="98">
        <f t="shared" si="74"/>
        <v>16</v>
      </c>
      <c r="AH346" s="98">
        <v>150</v>
      </c>
      <c r="AJ346" s="98">
        <v>19</v>
      </c>
      <c r="AK346" s="98">
        <v>0</v>
      </c>
      <c r="AL346" s="380">
        <v>7237.069999999998</v>
      </c>
      <c r="AN346" s="214">
        <f t="shared" si="78"/>
        <v>846841.5</v>
      </c>
      <c r="AO346" s="214">
        <f t="shared" si="79"/>
        <v>46264.5</v>
      </c>
      <c r="AP346" s="214">
        <f t="shared" si="80"/>
        <v>0</v>
      </c>
      <c r="AQ346" s="214">
        <f t="shared" si="81"/>
        <v>0</v>
      </c>
      <c r="AR346" s="214">
        <f t="shared" si="82"/>
        <v>0</v>
      </c>
      <c r="AS346" s="214">
        <f t="shared" si="83"/>
        <v>0</v>
      </c>
      <c r="AT346" s="214">
        <f t="shared" si="84"/>
        <v>100575</v>
      </c>
      <c r="AU346" s="214">
        <f t="shared" si="85"/>
        <v>700002</v>
      </c>
      <c r="AV346" s="214">
        <f t="shared" si="86"/>
        <v>0</v>
      </c>
      <c r="AW346" s="215">
        <f t="shared" si="87"/>
        <v>846841.5</v>
      </c>
    </row>
    <row r="347" spans="1:49" ht="15" customHeight="1">
      <c r="A347" s="140" t="s">
        <v>255</v>
      </c>
      <c r="B347" s="211" t="s">
        <v>96</v>
      </c>
      <c r="C347" s="140" t="str">
        <f t="shared" si="75"/>
        <v>Saint Sebastian School-WPCP</v>
      </c>
      <c r="D347" s="140">
        <v>31</v>
      </c>
      <c r="E347" s="140">
        <v>0</v>
      </c>
      <c r="F347" s="140">
        <v>0</v>
      </c>
      <c r="G347" s="140">
        <v>0</v>
      </c>
      <c r="H347" s="140">
        <v>0</v>
      </c>
      <c r="I347" s="140">
        <v>36</v>
      </c>
      <c r="J347" s="140">
        <v>271</v>
      </c>
      <c r="K347" s="140">
        <v>0</v>
      </c>
      <c r="L347" s="140">
        <f t="shared" si="76"/>
        <v>338</v>
      </c>
      <c r="N347" s="140">
        <v>0</v>
      </c>
      <c r="O347" s="140">
        <v>0</v>
      </c>
      <c r="P347" s="140">
        <v>0</v>
      </c>
      <c r="Q347" s="140">
        <v>0</v>
      </c>
      <c r="R347" s="140">
        <v>0</v>
      </c>
      <c r="S347" s="140">
        <v>2</v>
      </c>
      <c r="T347" s="140">
        <v>4</v>
      </c>
      <c r="U347" s="140">
        <v>0</v>
      </c>
      <c r="V347" s="140">
        <f t="shared" si="77"/>
        <v>6</v>
      </c>
      <c r="X347" s="98">
        <v>0</v>
      </c>
      <c r="Y347" s="98">
        <v>0</v>
      </c>
      <c r="Z347" s="98">
        <v>0</v>
      </c>
      <c r="AA347" s="98">
        <v>0</v>
      </c>
      <c r="AB347" s="98">
        <v>0</v>
      </c>
      <c r="AC347" s="98">
        <v>0</v>
      </c>
      <c r="AD347" s="98">
        <v>0</v>
      </c>
      <c r="AE347" s="98">
        <v>0</v>
      </c>
      <c r="AF347" s="98">
        <f t="shared" si="74"/>
        <v>0</v>
      </c>
      <c r="AH347" s="98">
        <v>5</v>
      </c>
      <c r="AJ347" s="98">
        <v>2</v>
      </c>
      <c r="AK347" s="98">
        <v>0</v>
      </c>
      <c r="AL347" s="380">
        <v>775.4</v>
      </c>
      <c r="AN347" s="214">
        <f t="shared" si="78"/>
        <v>24138</v>
      </c>
      <c r="AO347" s="214">
        <f t="shared" si="79"/>
        <v>0</v>
      </c>
      <c r="AP347" s="214">
        <f t="shared" si="80"/>
        <v>0</v>
      </c>
      <c r="AQ347" s="214">
        <f t="shared" si="81"/>
        <v>0</v>
      </c>
      <c r="AR347" s="214">
        <f t="shared" si="82"/>
        <v>0</v>
      </c>
      <c r="AS347" s="214">
        <f t="shared" si="83"/>
        <v>0</v>
      </c>
      <c r="AT347" s="214">
        <f t="shared" si="84"/>
        <v>8046</v>
      </c>
      <c r="AU347" s="214">
        <f t="shared" si="85"/>
        <v>16092</v>
      </c>
      <c r="AV347" s="214">
        <f t="shared" si="86"/>
        <v>0</v>
      </c>
      <c r="AW347" s="215">
        <f t="shared" si="87"/>
        <v>24138</v>
      </c>
    </row>
    <row r="348" spans="1:49" ht="15" customHeight="1">
      <c r="A348" s="140" t="s">
        <v>479</v>
      </c>
      <c r="B348" s="211" t="s">
        <v>96</v>
      </c>
      <c r="C348" s="140" t="str">
        <f t="shared" si="75"/>
        <v>Saint Stephen Lutheran School-WPCP</v>
      </c>
      <c r="D348" s="140">
        <v>14</v>
      </c>
      <c r="E348" s="140">
        <v>0</v>
      </c>
      <c r="F348" s="140">
        <v>0</v>
      </c>
      <c r="G348" s="140">
        <v>0</v>
      </c>
      <c r="H348" s="140">
        <v>0</v>
      </c>
      <c r="I348" s="140">
        <v>9</v>
      </c>
      <c r="J348" s="140">
        <v>67</v>
      </c>
      <c r="K348" s="140">
        <v>0</v>
      </c>
      <c r="L348" s="140">
        <f t="shared" si="76"/>
        <v>90</v>
      </c>
      <c r="N348" s="140">
        <v>0</v>
      </c>
      <c r="O348" s="140">
        <v>0</v>
      </c>
      <c r="P348" s="140">
        <v>0</v>
      </c>
      <c r="Q348" s="140">
        <v>0</v>
      </c>
      <c r="R348" s="140">
        <v>0</v>
      </c>
      <c r="S348" s="140">
        <v>2</v>
      </c>
      <c r="T348" s="140">
        <v>4</v>
      </c>
      <c r="U348" s="140">
        <v>0</v>
      </c>
      <c r="V348" s="140">
        <f t="shared" si="77"/>
        <v>6</v>
      </c>
      <c r="X348" s="98">
        <v>0</v>
      </c>
      <c r="Y348" s="98">
        <v>0</v>
      </c>
      <c r="Z348" s="98">
        <v>0</v>
      </c>
      <c r="AA348" s="98">
        <v>0</v>
      </c>
      <c r="AB348" s="98">
        <v>0</v>
      </c>
      <c r="AC348" s="98">
        <v>0</v>
      </c>
      <c r="AD348" s="98">
        <v>0</v>
      </c>
      <c r="AE348" s="98">
        <v>0</v>
      </c>
      <c r="AF348" s="98">
        <f t="shared" si="74"/>
        <v>0</v>
      </c>
      <c r="AH348" s="98">
        <v>6</v>
      </c>
      <c r="AJ348" s="98">
        <v>0</v>
      </c>
      <c r="AK348" s="98">
        <v>0</v>
      </c>
      <c r="AL348" s="380">
        <v>0</v>
      </c>
      <c r="AN348" s="214">
        <f t="shared" si="78"/>
        <v>24138</v>
      </c>
      <c r="AO348" s="214">
        <f t="shared" si="79"/>
        <v>0</v>
      </c>
      <c r="AP348" s="214">
        <f t="shared" si="80"/>
        <v>0</v>
      </c>
      <c r="AQ348" s="214">
        <f t="shared" si="81"/>
        <v>0</v>
      </c>
      <c r="AR348" s="214">
        <f t="shared" si="82"/>
        <v>0</v>
      </c>
      <c r="AS348" s="214">
        <f t="shared" si="83"/>
        <v>0</v>
      </c>
      <c r="AT348" s="214">
        <f t="shared" si="84"/>
        <v>8046</v>
      </c>
      <c r="AU348" s="214">
        <f t="shared" si="85"/>
        <v>16092</v>
      </c>
      <c r="AV348" s="214">
        <f t="shared" si="86"/>
        <v>0</v>
      </c>
      <c r="AW348" s="215">
        <f t="shared" si="87"/>
        <v>24138</v>
      </c>
    </row>
    <row r="349" spans="1:49" ht="15" customHeight="1">
      <c r="A349" s="140" t="s">
        <v>327</v>
      </c>
      <c r="B349" s="211" t="s">
        <v>96</v>
      </c>
      <c r="C349" s="140" t="str">
        <f t="shared" si="75"/>
        <v>Saint Thomas Aquinas Academy - Marinette-WPCP</v>
      </c>
      <c r="D349" s="140">
        <v>8</v>
      </c>
      <c r="E349" s="140">
        <v>0</v>
      </c>
      <c r="F349" s="140">
        <v>0</v>
      </c>
      <c r="G349" s="140">
        <v>0</v>
      </c>
      <c r="H349" s="140">
        <v>0</v>
      </c>
      <c r="I349" s="140">
        <v>13</v>
      </c>
      <c r="J349" s="140">
        <v>69</v>
      </c>
      <c r="K349" s="140">
        <v>37</v>
      </c>
      <c r="L349" s="140">
        <f t="shared" si="76"/>
        <v>127</v>
      </c>
      <c r="N349" s="140">
        <v>3</v>
      </c>
      <c r="O349" s="140">
        <v>0</v>
      </c>
      <c r="P349" s="140">
        <v>0</v>
      </c>
      <c r="Q349" s="140">
        <v>0</v>
      </c>
      <c r="R349" s="140">
        <v>0</v>
      </c>
      <c r="S349" s="140">
        <v>3</v>
      </c>
      <c r="T349" s="140">
        <v>33</v>
      </c>
      <c r="U349" s="140">
        <v>14</v>
      </c>
      <c r="V349" s="140">
        <f t="shared" si="77"/>
        <v>53</v>
      </c>
      <c r="X349" s="98">
        <v>0</v>
      </c>
      <c r="Y349" s="98">
        <v>0</v>
      </c>
      <c r="Z349" s="98">
        <v>0</v>
      </c>
      <c r="AA349" s="98">
        <v>0</v>
      </c>
      <c r="AB349" s="98">
        <v>0</v>
      </c>
      <c r="AC349" s="98">
        <v>0</v>
      </c>
      <c r="AD349" s="98">
        <v>0</v>
      </c>
      <c r="AE349" s="98">
        <v>0</v>
      </c>
      <c r="AF349" s="98">
        <f t="shared" si="74"/>
        <v>0</v>
      </c>
      <c r="AH349" s="98">
        <v>35</v>
      </c>
      <c r="AJ349" s="98">
        <v>0</v>
      </c>
      <c r="AK349" s="98">
        <v>0</v>
      </c>
      <c r="AL349" s="380">
        <v>0</v>
      </c>
      <c r="AN349" s="214">
        <f t="shared" si="78"/>
        <v>211706.5</v>
      </c>
      <c r="AO349" s="214">
        <f t="shared" si="79"/>
        <v>6034.5</v>
      </c>
      <c r="AP349" s="214">
        <f t="shared" si="80"/>
        <v>0</v>
      </c>
      <c r="AQ349" s="214">
        <f t="shared" si="81"/>
        <v>0</v>
      </c>
      <c r="AR349" s="214">
        <f t="shared" si="82"/>
        <v>0</v>
      </c>
      <c r="AS349" s="214">
        <f t="shared" si="83"/>
        <v>0</v>
      </c>
      <c r="AT349" s="214">
        <f t="shared" si="84"/>
        <v>12069</v>
      </c>
      <c r="AU349" s="214">
        <f t="shared" si="85"/>
        <v>132759</v>
      </c>
      <c r="AV349" s="214">
        <f t="shared" si="86"/>
        <v>60844</v>
      </c>
      <c r="AW349" s="215">
        <f t="shared" si="87"/>
        <v>211706.5</v>
      </c>
    </row>
    <row r="350" spans="1:49" ht="15" customHeight="1">
      <c r="A350" s="140" t="s">
        <v>256</v>
      </c>
      <c r="B350" s="211" t="s">
        <v>187</v>
      </c>
      <c r="C350" s="140" t="str">
        <f t="shared" si="75"/>
        <v>Saint Thomas Aquinas Academy - Milwaukee-MPCP</v>
      </c>
      <c r="D350" s="140">
        <v>0</v>
      </c>
      <c r="E350" s="140">
        <v>21</v>
      </c>
      <c r="F350" s="140">
        <v>0</v>
      </c>
      <c r="G350" s="140">
        <v>0</v>
      </c>
      <c r="H350" s="140">
        <v>0</v>
      </c>
      <c r="I350" s="140">
        <v>24</v>
      </c>
      <c r="J350" s="140">
        <v>171</v>
      </c>
      <c r="K350" s="140">
        <v>0</v>
      </c>
      <c r="L350" s="140">
        <f t="shared" si="76"/>
        <v>216</v>
      </c>
      <c r="N350" s="140">
        <v>0</v>
      </c>
      <c r="O350" s="140">
        <v>11</v>
      </c>
      <c r="P350" s="140">
        <v>0</v>
      </c>
      <c r="Q350" s="140">
        <v>0</v>
      </c>
      <c r="R350" s="140">
        <v>0</v>
      </c>
      <c r="S350" s="140">
        <v>17</v>
      </c>
      <c r="T350" s="140">
        <v>114</v>
      </c>
      <c r="U350" s="140">
        <v>0</v>
      </c>
      <c r="V350" s="140">
        <f t="shared" si="77"/>
        <v>142</v>
      </c>
      <c r="X350" s="98">
        <v>0</v>
      </c>
      <c r="Y350" s="98">
        <v>0</v>
      </c>
      <c r="Z350" s="98">
        <v>0</v>
      </c>
      <c r="AA350" s="98">
        <v>0</v>
      </c>
      <c r="AB350" s="98">
        <v>0</v>
      </c>
      <c r="AC350" s="98">
        <v>0</v>
      </c>
      <c r="AD350" s="98">
        <v>0</v>
      </c>
      <c r="AE350" s="98">
        <v>0</v>
      </c>
      <c r="AF350" s="98">
        <f t="shared" si="74"/>
        <v>0</v>
      </c>
      <c r="AH350" s="98">
        <v>96</v>
      </c>
      <c r="AJ350" s="98">
        <v>0</v>
      </c>
      <c r="AK350" s="98">
        <v>0</v>
      </c>
      <c r="AL350" s="380">
        <v>0</v>
      </c>
      <c r="AN350" s="214">
        <f t="shared" si="78"/>
        <v>553564.8</v>
      </c>
      <c r="AO350" s="214">
        <f t="shared" si="79"/>
        <v>0</v>
      </c>
      <c r="AP350" s="214">
        <f t="shared" si="80"/>
        <v>26551.8</v>
      </c>
      <c r="AQ350" s="214">
        <f t="shared" si="81"/>
        <v>0</v>
      </c>
      <c r="AR350" s="214">
        <f t="shared" si="82"/>
        <v>0</v>
      </c>
      <c r="AS350" s="214">
        <f t="shared" si="83"/>
        <v>0</v>
      </c>
      <c r="AT350" s="214">
        <f t="shared" si="84"/>
        <v>68391</v>
      </c>
      <c r="AU350" s="214">
        <f t="shared" si="85"/>
        <v>458622</v>
      </c>
      <c r="AV350" s="214">
        <f t="shared" si="86"/>
        <v>0</v>
      </c>
      <c r="AW350" s="215">
        <f t="shared" si="87"/>
        <v>553564.8</v>
      </c>
    </row>
    <row r="351" spans="1:49" ht="15" customHeight="1">
      <c r="A351" s="140" t="s">
        <v>256</v>
      </c>
      <c r="B351" s="211" t="s">
        <v>96</v>
      </c>
      <c r="C351" s="140" t="str">
        <f t="shared" si="75"/>
        <v>Saint Thomas Aquinas Academy - Milwaukee-WPCP</v>
      </c>
      <c r="D351" s="140">
        <v>0</v>
      </c>
      <c r="E351" s="140">
        <v>21</v>
      </c>
      <c r="F351" s="140">
        <v>0</v>
      </c>
      <c r="G351" s="140">
        <v>0</v>
      </c>
      <c r="H351" s="140">
        <v>0</v>
      </c>
      <c r="I351" s="140">
        <v>24</v>
      </c>
      <c r="J351" s="140">
        <v>171</v>
      </c>
      <c r="K351" s="140">
        <v>0</v>
      </c>
      <c r="L351" s="140">
        <f t="shared" si="76"/>
        <v>216</v>
      </c>
      <c r="N351" s="140">
        <v>0</v>
      </c>
      <c r="O351" s="140">
        <v>1</v>
      </c>
      <c r="P351" s="140">
        <v>0</v>
      </c>
      <c r="Q351" s="140">
        <v>0</v>
      </c>
      <c r="R351" s="140">
        <v>0</v>
      </c>
      <c r="S351" s="140">
        <v>1</v>
      </c>
      <c r="T351" s="140">
        <v>5</v>
      </c>
      <c r="U351" s="140">
        <v>0</v>
      </c>
      <c r="V351" s="140">
        <f t="shared" si="77"/>
        <v>7</v>
      </c>
      <c r="X351" s="98">
        <v>0</v>
      </c>
      <c r="Y351" s="98">
        <v>0</v>
      </c>
      <c r="Z351" s="98">
        <v>0</v>
      </c>
      <c r="AA351" s="98">
        <v>0</v>
      </c>
      <c r="AB351" s="98">
        <v>0</v>
      </c>
      <c r="AC351" s="98">
        <v>0</v>
      </c>
      <c r="AD351" s="98">
        <v>0</v>
      </c>
      <c r="AE351" s="98">
        <v>0</v>
      </c>
      <c r="AF351" s="98">
        <f t="shared" si="74"/>
        <v>0</v>
      </c>
      <c r="AH351" s="98">
        <v>7</v>
      </c>
      <c r="AJ351" s="98">
        <v>0</v>
      </c>
      <c r="AK351" s="98">
        <v>0</v>
      </c>
      <c r="AL351" s="380">
        <v>0</v>
      </c>
      <c r="AN351" s="214">
        <f t="shared" si="78"/>
        <v>26551.8</v>
      </c>
      <c r="AO351" s="214">
        <f t="shared" si="79"/>
        <v>0</v>
      </c>
      <c r="AP351" s="214">
        <f t="shared" si="80"/>
        <v>2413.8</v>
      </c>
      <c r="AQ351" s="214">
        <f t="shared" si="81"/>
        <v>0</v>
      </c>
      <c r="AR351" s="214">
        <f t="shared" si="82"/>
        <v>0</v>
      </c>
      <c r="AS351" s="214">
        <f t="shared" si="83"/>
        <v>0</v>
      </c>
      <c r="AT351" s="214">
        <f t="shared" si="84"/>
        <v>4023</v>
      </c>
      <c r="AU351" s="214">
        <f t="shared" si="85"/>
        <v>20115</v>
      </c>
      <c r="AV351" s="214">
        <f t="shared" si="86"/>
        <v>0</v>
      </c>
      <c r="AW351" s="215">
        <f t="shared" si="87"/>
        <v>26551.8</v>
      </c>
    </row>
    <row r="352" spans="1:49" ht="15" customHeight="1">
      <c r="A352" s="140" t="s">
        <v>257</v>
      </c>
      <c r="B352" s="211" t="s">
        <v>187</v>
      </c>
      <c r="C352" s="140" t="str">
        <f t="shared" si="75"/>
        <v>Saint Thomas More High School-MPCP</v>
      </c>
      <c r="D352" s="140">
        <v>0</v>
      </c>
      <c r="E352" s="140">
        <v>0</v>
      </c>
      <c r="F352" s="140">
        <v>0</v>
      </c>
      <c r="G352" s="140">
        <v>0</v>
      </c>
      <c r="H352" s="140">
        <v>0</v>
      </c>
      <c r="I352" s="140">
        <v>0</v>
      </c>
      <c r="J352" s="140">
        <v>0</v>
      </c>
      <c r="K352" s="140">
        <v>510</v>
      </c>
      <c r="L352" s="140">
        <f t="shared" si="76"/>
        <v>510</v>
      </c>
      <c r="N352" s="140">
        <v>0</v>
      </c>
      <c r="O352" s="140">
        <v>0</v>
      </c>
      <c r="P352" s="140">
        <v>0</v>
      </c>
      <c r="Q352" s="140">
        <v>0</v>
      </c>
      <c r="R352" s="140">
        <v>0</v>
      </c>
      <c r="S352" s="140">
        <v>0</v>
      </c>
      <c r="T352" s="140">
        <v>0</v>
      </c>
      <c r="U352" s="140">
        <v>244</v>
      </c>
      <c r="V352" s="140">
        <f t="shared" si="77"/>
        <v>244</v>
      </c>
      <c r="X352" s="98">
        <v>0</v>
      </c>
      <c r="Y352" s="98">
        <v>0</v>
      </c>
      <c r="Z352" s="98">
        <v>0</v>
      </c>
      <c r="AA352" s="98">
        <v>0</v>
      </c>
      <c r="AB352" s="98">
        <v>0</v>
      </c>
      <c r="AC352" s="98">
        <v>0</v>
      </c>
      <c r="AD352" s="98">
        <v>0</v>
      </c>
      <c r="AE352" s="98">
        <v>121</v>
      </c>
      <c r="AF352" s="98">
        <f t="shared" si="74"/>
        <v>121</v>
      </c>
      <c r="AH352" s="98">
        <v>217</v>
      </c>
      <c r="AJ352" s="98">
        <v>0</v>
      </c>
      <c r="AK352" s="98">
        <v>0</v>
      </c>
      <c r="AL352" s="380">
        <v>0</v>
      </c>
      <c r="AN352" s="214">
        <f t="shared" si="78"/>
        <v>1060424</v>
      </c>
      <c r="AO352" s="214">
        <f t="shared" si="79"/>
        <v>0</v>
      </c>
      <c r="AP352" s="214">
        <f t="shared" si="80"/>
        <v>0</v>
      </c>
      <c r="AQ352" s="214">
        <f t="shared" si="81"/>
        <v>0</v>
      </c>
      <c r="AR352" s="214">
        <f t="shared" si="82"/>
        <v>0</v>
      </c>
      <c r="AS352" s="214">
        <f t="shared" si="83"/>
        <v>0</v>
      </c>
      <c r="AT352" s="214">
        <f t="shared" si="84"/>
        <v>0</v>
      </c>
      <c r="AU352" s="214">
        <f t="shared" si="85"/>
        <v>0</v>
      </c>
      <c r="AV352" s="214">
        <f t="shared" si="86"/>
        <v>1060424</v>
      </c>
      <c r="AW352" s="215">
        <f t="shared" si="87"/>
        <v>1060424</v>
      </c>
    </row>
    <row r="353" spans="1:49" ht="15" customHeight="1">
      <c r="A353" s="140" t="s">
        <v>257</v>
      </c>
      <c r="B353" s="211" t="s">
        <v>188</v>
      </c>
      <c r="C353" s="140" t="str">
        <f>A353&amp;"-"&amp;B353</f>
        <v>Saint Thomas More High School-RPCP</v>
      </c>
      <c r="D353" s="140">
        <v>0</v>
      </c>
      <c r="E353" s="140">
        <v>0</v>
      </c>
      <c r="F353" s="140">
        <v>0</v>
      </c>
      <c r="G353" s="140">
        <v>0</v>
      </c>
      <c r="H353" s="140">
        <v>0</v>
      </c>
      <c r="I353" s="140">
        <v>0</v>
      </c>
      <c r="J353" s="140">
        <v>0</v>
      </c>
      <c r="K353" s="140">
        <v>510</v>
      </c>
      <c r="L353" s="140">
        <f>SUM(D353:K353)</f>
        <v>510</v>
      </c>
      <c r="N353" s="140">
        <v>0</v>
      </c>
      <c r="O353" s="140">
        <v>0</v>
      </c>
      <c r="P353" s="140">
        <v>0</v>
      </c>
      <c r="Q353" s="140">
        <v>0</v>
      </c>
      <c r="R353" s="140">
        <v>0</v>
      </c>
      <c r="S353" s="140">
        <v>0</v>
      </c>
      <c r="T353" s="140">
        <v>0</v>
      </c>
      <c r="U353" s="140">
        <v>0</v>
      </c>
      <c r="V353" s="140">
        <f>SUM(N353:U353)</f>
        <v>0</v>
      </c>
      <c r="X353" s="98">
        <v>0</v>
      </c>
      <c r="Y353" s="98">
        <v>0</v>
      </c>
      <c r="Z353" s="98">
        <v>0</v>
      </c>
      <c r="AA353" s="98">
        <v>0</v>
      </c>
      <c r="AB353" s="98">
        <v>0</v>
      </c>
      <c r="AC353" s="98">
        <v>0</v>
      </c>
      <c r="AD353" s="98">
        <v>0</v>
      </c>
      <c r="AE353" s="98">
        <v>0</v>
      </c>
      <c r="AF353" s="98">
        <f>SUM(X353:AE353)</f>
        <v>0</v>
      </c>
      <c r="AH353" s="98">
        <v>0</v>
      </c>
      <c r="AJ353" s="98">
        <v>0</v>
      </c>
      <c r="AK353" s="98">
        <v>0</v>
      </c>
      <c r="AL353" s="380">
        <v>0</v>
      </c>
      <c r="AN353" s="214">
        <f>SUM(AO353:AV353)</f>
        <v>0</v>
      </c>
      <c r="AO353" s="214">
        <f aca="true" t="shared" si="88" ref="AO353:AV353">ROUND(AO$1*AO$2*N353,2)</f>
        <v>0</v>
      </c>
      <c r="AP353" s="214">
        <f t="shared" si="88"/>
        <v>0</v>
      </c>
      <c r="AQ353" s="214">
        <f t="shared" si="88"/>
        <v>0</v>
      </c>
      <c r="AR353" s="214">
        <f t="shared" si="88"/>
        <v>0</v>
      </c>
      <c r="AS353" s="214">
        <f t="shared" si="88"/>
        <v>0</v>
      </c>
      <c r="AT353" s="214">
        <f t="shared" si="88"/>
        <v>0</v>
      </c>
      <c r="AU353" s="214">
        <f t="shared" si="88"/>
        <v>0</v>
      </c>
      <c r="AV353" s="214">
        <f t="shared" si="88"/>
        <v>0</v>
      </c>
      <c r="AW353" s="215">
        <f>SUM(AO353:AV353)</f>
        <v>0</v>
      </c>
    </row>
    <row r="354" spans="1:49" ht="15" customHeight="1">
      <c r="A354" s="140" t="s">
        <v>257</v>
      </c>
      <c r="B354" s="211" t="s">
        <v>96</v>
      </c>
      <c r="C354" s="140" t="str">
        <f t="shared" si="75"/>
        <v>Saint Thomas More High School-WPCP</v>
      </c>
      <c r="D354" s="140">
        <v>0</v>
      </c>
      <c r="E354" s="140">
        <v>0</v>
      </c>
      <c r="F354" s="140">
        <v>0</v>
      </c>
      <c r="G354" s="140">
        <v>0</v>
      </c>
      <c r="H354" s="140">
        <v>0</v>
      </c>
      <c r="I354" s="140">
        <v>0</v>
      </c>
      <c r="J354" s="140">
        <v>0</v>
      </c>
      <c r="K354" s="140">
        <v>510</v>
      </c>
      <c r="L354" s="140">
        <f t="shared" si="76"/>
        <v>510</v>
      </c>
      <c r="N354" s="140">
        <v>0</v>
      </c>
      <c r="O354" s="140">
        <v>0</v>
      </c>
      <c r="P354" s="140">
        <v>0</v>
      </c>
      <c r="Q354" s="140">
        <v>0</v>
      </c>
      <c r="R354" s="140">
        <v>0</v>
      </c>
      <c r="S354" s="140">
        <v>0</v>
      </c>
      <c r="T354" s="140">
        <v>0</v>
      </c>
      <c r="U354" s="140">
        <v>17</v>
      </c>
      <c r="V354" s="140">
        <f t="shared" si="77"/>
        <v>17</v>
      </c>
      <c r="X354" s="98">
        <v>0</v>
      </c>
      <c r="Y354" s="98">
        <v>0</v>
      </c>
      <c r="Z354" s="98">
        <v>0</v>
      </c>
      <c r="AA354" s="98">
        <v>0</v>
      </c>
      <c r="AB354" s="98">
        <v>0</v>
      </c>
      <c r="AC354" s="98">
        <v>0</v>
      </c>
      <c r="AD354" s="98">
        <v>0</v>
      </c>
      <c r="AE354" s="98">
        <v>1</v>
      </c>
      <c r="AF354" s="98">
        <f t="shared" si="74"/>
        <v>1</v>
      </c>
      <c r="AH354" s="98">
        <v>15</v>
      </c>
      <c r="AJ354" s="98">
        <v>0</v>
      </c>
      <c r="AK354" s="98">
        <v>0</v>
      </c>
      <c r="AL354" s="380">
        <v>0</v>
      </c>
      <c r="AN354" s="214">
        <f t="shared" si="78"/>
        <v>73882</v>
      </c>
      <c r="AO354" s="214">
        <f t="shared" si="79"/>
        <v>0</v>
      </c>
      <c r="AP354" s="214">
        <f t="shared" si="80"/>
        <v>0</v>
      </c>
      <c r="AQ354" s="214">
        <f t="shared" si="81"/>
        <v>0</v>
      </c>
      <c r="AR354" s="214">
        <f t="shared" si="82"/>
        <v>0</v>
      </c>
      <c r="AS354" s="214">
        <f t="shared" si="83"/>
        <v>0</v>
      </c>
      <c r="AT354" s="214">
        <f t="shared" si="84"/>
        <v>0</v>
      </c>
      <c r="AU354" s="214">
        <f t="shared" si="85"/>
        <v>0</v>
      </c>
      <c r="AV354" s="214">
        <f t="shared" si="86"/>
        <v>73882</v>
      </c>
      <c r="AW354" s="215">
        <f t="shared" si="87"/>
        <v>73882</v>
      </c>
    </row>
    <row r="355" spans="1:49" ht="15" customHeight="1">
      <c r="A355" s="140" t="s">
        <v>258</v>
      </c>
      <c r="B355" s="211" t="s">
        <v>187</v>
      </c>
      <c r="C355" s="140" t="str">
        <f t="shared" si="75"/>
        <v>Saint Vincent Pallotti Catholic School-MPCP</v>
      </c>
      <c r="D355" s="140">
        <v>0</v>
      </c>
      <c r="E355" s="140">
        <v>18</v>
      </c>
      <c r="F355" s="140">
        <v>0</v>
      </c>
      <c r="G355" s="140">
        <v>0</v>
      </c>
      <c r="H355" s="140">
        <v>0</v>
      </c>
      <c r="I355" s="140">
        <v>18</v>
      </c>
      <c r="J355" s="140">
        <v>150</v>
      </c>
      <c r="K355" s="140">
        <v>0</v>
      </c>
      <c r="L355" s="140">
        <f t="shared" si="76"/>
        <v>186</v>
      </c>
      <c r="N355" s="140">
        <v>0</v>
      </c>
      <c r="O355" s="140">
        <v>15</v>
      </c>
      <c r="P355" s="140">
        <v>0</v>
      </c>
      <c r="Q355" s="140">
        <v>0</v>
      </c>
      <c r="R355" s="140">
        <v>0</v>
      </c>
      <c r="S355" s="140">
        <v>17</v>
      </c>
      <c r="T355" s="140">
        <v>129</v>
      </c>
      <c r="U355" s="140">
        <v>0</v>
      </c>
      <c r="V355" s="140">
        <f t="shared" si="77"/>
        <v>161</v>
      </c>
      <c r="X355" s="98">
        <v>0</v>
      </c>
      <c r="Y355" s="98">
        <v>0</v>
      </c>
      <c r="Z355" s="98">
        <v>0</v>
      </c>
      <c r="AA355" s="98">
        <v>0</v>
      </c>
      <c r="AB355" s="98">
        <v>0</v>
      </c>
      <c r="AC355" s="98">
        <v>0</v>
      </c>
      <c r="AD355" s="98">
        <v>0</v>
      </c>
      <c r="AE355" s="98">
        <v>0</v>
      </c>
      <c r="AF355" s="98">
        <f t="shared" si="74"/>
        <v>0</v>
      </c>
      <c r="AH355" s="98">
        <v>111</v>
      </c>
      <c r="AJ355" s="98">
        <v>0</v>
      </c>
      <c r="AK355" s="98">
        <v>0</v>
      </c>
      <c r="AL355" s="380">
        <v>0</v>
      </c>
      <c r="AN355" s="214">
        <f t="shared" si="78"/>
        <v>623565</v>
      </c>
      <c r="AO355" s="214">
        <f t="shared" si="79"/>
        <v>0</v>
      </c>
      <c r="AP355" s="214">
        <f t="shared" si="80"/>
        <v>36207</v>
      </c>
      <c r="AQ355" s="214">
        <f t="shared" si="81"/>
        <v>0</v>
      </c>
      <c r="AR355" s="214">
        <f t="shared" si="82"/>
        <v>0</v>
      </c>
      <c r="AS355" s="214">
        <f t="shared" si="83"/>
        <v>0</v>
      </c>
      <c r="AT355" s="214">
        <f t="shared" si="84"/>
        <v>68391</v>
      </c>
      <c r="AU355" s="214">
        <f t="shared" si="85"/>
        <v>518967</v>
      </c>
      <c r="AV355" s="214">
        <f t="shared" si="86"/>
        <v>0</v>
      </c>
      <c r="AW355" s="215">
        <f t="shared" si="87"/>
        <v>623565</v>
      </c>
    </row>
    <row r="356" spans="1:49" ht="15" customHeight="1">
      <c r="A356" s="140" t="s">
        <v>258</v>
      </c>
      <c r="B356" s="211" t="s">
        <v>96</v>
      </c>
      <c r="C356" s="140" t="str">
        <f t="shared" si="75"/>
        <v>Saint Vincent Pallotti Catholic School-WPCP</v>
      </c>
      <c r="D356" s="140">
        <v>0</v>
      </c>
      <c r="E356" s="140">
        <v>18</v>
      </c>
      <c r="F356" s="140">
        <v>0</v>
      </c>
      <c r="G356" s="140">
        <v>0</v>
      </c>
      <c r="H356" s="140">
        <v>0</v>
      </c>
      <c r="I356" s="140">
        <v>18</v>
      </c>
      <c r="J356" s="140">
        <v>150</v>
      </c>
      <c r="K356" s="140">
        <v>0</v>
      </c>
      <c r="L356" s="140">
        <f t="shared" si="76"/>
        <v>186</v>
      </c>
      <c r="N356" s="140">
        <v>0</v>
      </c>
      <c r="O356" s="140">
        <v>0</v>
      </c>
      <c r="P356" s="140">
        <v>0</v>
      </c>
      <c r="Q356" s="140">
        <v>0</v>
      </c>
      <c r="R356" s="140">
        <v>0</v>
      </c>
      <c r="S356" s="140">
        <v>0</v>
      </c>
      <c r="T356" s="140">
        <v>4</v>
      </c>
      <c r="U356" s="140">
        <v>0</v>
      </c>
      <c r="V356" s="140">
        <f t="shared" si="77"/>
        <v>4</v>
      </c>
      <c r="X356" s="98">
        <v>0</v>
      </c>
      <c r="Y356" s="98">
        <v>0</v>
      </c>
      <c r="Z356" s="98">
        <v>0</v>
      </c>
      <c r="AA356" s="98">
        <v>0</v>
      </c>
      <c r="AB356" s="98">
        <v>0</v>
      </c>
      <c r="AC356" s="98">
        <v>0</v>
      </c>
      <c r="AD356" s="98">
        <v>0</v>
      </c>
      <c r="AE356" s="98">
        <v>0</v>
      </c>
      <c r="AF356" s="98">
        <f t="shared" si="74"/>
        <v>0</v>
      </c>
      <c r="AH356" s="98">
        <v>2</v>
      </c>
      <c r="AJ356" s="98">
        <v>0</v>
      </c>
      <c r="AK356" s="98">
        <v>0</v>
      </c>
      <c r="AL356" s="380">
        <v>0</v>
      </c>
      <c r="AN356" s="214">
        <f t="shared" si="78"/>
        <v>16092</v>
      </c>
      <c r="AO356" s="214">
        <f t="shared" si="79"/>
        <v>0</v>
      </c>
      <c r="AP356" s="214">
        <f t="shared" si="80"/>
        <v>0</v>
      </c>
      <c r="AQ356" s="214">
        <f t="shared" si="81"/>
        <v>0</v>
      </c>
      <c r="AR356" s="214">
        <f t="shared" si="82"/>
        <v>0</v>
      </c>
      <c r="AS356" s="214">
        <f t="shared" si="83"/>
        <v>0</v>
      </c>
      <c r="AT356" s="214">
        <f t="shared" si="84"/>
        <v>0</v>
      </c>
      <c r="AU356" s="214">
        <f t="shared" si="85"/>
        <v>16092</v>
      </c>
      <c r="AV356" s="214">
        <f t="shared" si="86"/>
        <v>0</v>
      </c>
      <c r="AW356" s="215">
        <f t="shared" si="87"/>
        <v>16092</v>
      </c>
    </row>
    <row r="357" spans="1:49" ht="15" customHeight="1">
      <c r="A357" s="140" t="s">
        <v>152</v>
      </c>
      <c r="B357" s="211" t="s">
        <v>187</v>
      </c>
      <c r="C357" s="140" t="str">
        <f t="shared" si="75"/>
        <v>Salam School-MPCP</v>
      </c>
      <c r="D357" s="140">
        <v>55</v>
      </c>
      <c r="E357" s="140">
        <v>0</v>
      </c>
      <c r="F357" s="140">
        <v>0</v>
      </c>
      <c r="G357" s="140">
        <v>0</v>
      </c>
      <c r="H357" s="140">
        <v>0</v>
      </c>
      <c r="I357" s="140">
        <v>72</v>
      </c>
      <c r="J357" s="140">
        <v>535</v>
      </c>
      <c r="K357" s="140">
        <v>200</v>
      </c>
      <c r="L357" s="140">
        <f t="shared" si="76"/>
        <v>862</v>
      </c>
      <c r="N357" s="140">
        <v>52</v>
      </c>
      <c r="O357" s="140">
        <v>0</v>
      </c>
      <c r="P357" s="140">
        <v>0</v>
      </c>
      <c r="Q357" s="140">
        <v>0</v>
      </c>
      <c r="R357" s="140">
        <v>0</v>
      </c>
      <c r="S357" s="140">
        <v>63</v>
      </c>
      <c r="T357" s="140">
        <v>471</v>
      </c>
      <c r="U357" s="140">
        <v>178</v>
      </c>
      <c r="V357" s="140">
        <f t="shared" si="77"/>
        <v>764</v>
      </c>
      <c r="X357" s="98">
        <v>0</v>
      </c>
      <c r="Y357" s="98">
        <v>0</v>
      </c>
      <c r="Z357" s="98">
        <v>0</v>
      </c>
      <c r="AA357" s="98">
        <v>0</v>
      </c>
      <c r="AB357" s="98">
        <v>0</v>
      </c>
      <c r="AC357" s="98">
        <v>0</v>
      </c>
      <c r="AD357" s="98">
        <v>0</v>
      </c>
      <c r="AE357" s="98">
        <v>0</v>
      </c>
      <c r="AF357" s="98">
        <f aca="true" t="shared" si="89" ref="AF357:AF414">SUM(X357:AE357)</f>
        <v>0</v>
      </c>
      <c r="AH357" s="98">
        <v>446</v>
      </c>
      <c r="AJ357" s="98">
        <v>122</v>
      </c>
      <c r="AK357" s="98">
        <v>0</v>
      </c>
      <c r="AL357" s="380">
        <v>46730.76999999994</v>
      </c>
      <c r="AN357" s="214">
        <f t="shared" si="78"/>
        <v>3026468</v>
      </c>
      <c r="AO357" s="214">
        <f t="shared" si="79"/>
        <v>104598</v>
      </c>
      <c r="AP357" s="214">
        <f t="shared" si="80"/>
        <v>0</v>
      </c>
      <c r="AQ357" s="214">
        <f t="shared" si="81"/>
        <v>0</v>
      </c>
      <c r="AR357" s="214">
        <f t="shared" si="82"/>
        <v>0</v>
      </c>
      <c r="AS357" s="214">
        <f t="shared" si="83"/>
        <v>0</v>
      </c>
      <c r="AT357" s="214">
        <f t="shared" si="84"/>
        <v>253449</v>
      </c>
      <c r="AU357" s="214">
        <f t="shared" si="85"/>
        <v>1894833</v>
      </c>
      <c r="AV357" s="214">
        <f t="shared" si="86"/>
        <v>773588</v>
      </c>
      <c r="AW357" s="215">
        <f t="shared" si="87"/>
        <v>3026468</v>
      </c>
    </row>
    <row r="358" spans="1:49" ht="15" customHeight="1">
      <c r="A358" s="140" t="s">
        <v>152</v>
      </c>
      <c r="B358" s="211" t="s">
        <v>96</v>
      </c>
      <c r="C358" s="140" t="str">
        <f t="shared" si="75"/>
        <v>Salam School-WPCP</v>
      </c>
      <c r="D358" s="140">
        <v>55</v>
      </c>
      <c r="E358" s="140">
        <v>0</v>
      </c>
      <c r="F358" s="140">
        <v>0</v>
      </c>
      <c r="G358" s="140">
        <v>0</v>
      </c>
      <c r="H358" s="140">
        <v>0</v>
      </c>
      <c r="I358" s="140">
        <v>72</v>
      </c>
      <c r="J358" s="140">
        <v>535</v>
      </c>
      <c r="K358" s="140">
        <v>200</v>
      </c>
      <c r="L358" s="140">
        <f t="shared" si="76"/>
        <v>862</v>
      </c>
      <c r="N358" s="140">
        <v>1</v>
      </c>
      <c r="O358" s="140">
        <v>0</v>
      </c>
      <c r="P358" s="140">
        <v>0</v>
      </c>
      <c r="Q358" s="140">
        <v>0</v>
      </c>
      <c r="R358" s="140">
        <v>0</v>
      </c>
      <c r="S358" s="140">
        <v>3</v>
      </c>
      <c r="T358" s="140">
        <v>10</v>
      </c>
      <c r="U358" s="140">
        <v>0</v>
      </c>
      <c r="V358" s="140">
        <f t="shared" si="77"/>
        <v>14</v>
      </c>
      <c r="X358" s="98">
        <v>0</v>
      </c>
      <c r="Y358" s="98">
        <v>0</v>
      </c>
      <c r="Z358" s="98">
        <v>0</v>
      </c>
      <c r="AA358" s="98">
        <v>0</v>
      </c>
      <c r="AB358" s="98">
        <v>0</v>
      </c>
      <c r="AC358" s="98">
        <v>0</v>
      </c>
      <c r="AD358" s="98">
        <v>0</v>
      </c>
      <c r="AE358" s="98">
        <v>0</v>
      </c>
      <c r="AF358" s="98">
        <f t="shared" si="89"/>
        <v>0</v>
      </c>
      <c r="AH358" s="98">
        <v>11</v>
      </c>
      <c r="AJ358" s="98">
        <v>3</v>
      </c>
      <c r="AK358" s="98">
        <v>0</v>
      </c>
      <c r="AL358" s="380">
        <v>904.6299999999999</v>
      </c>
      <c r="AN358" s="214">
        <f t="shared" si="78"/>
        <v>54310.5</v>
      </c>
      <c r="AO358" s="214">
        <f t="shared" si="79"/>
        <v>2011.5</v>
      </c>
      <c r="AP358" s="214">
        <f t="shared" si="80"/>
        <v>0</v>
      </c>
      <c r="AQ358" s="214">
        <f t="shared" si="81"/>
        <v>0</v>
      </c>
      <c r="AR358" s="214">
        <f t="shared" si="82"/>
        <v>0</v>
      </c>
      <c r="AS358" s="214">
        <f t="shared" si="83"/>
        <v>0</v>
      </c>
      <c r="AT358" s="214">
        <f t="shared" si="84"/>
        <v>12069</v>
      </c>
      <c r="AU358" s="214">
        <f t="shared" si="85"/>
        <v>40230</v>
      </c>
      <c r="AV358" s="214">
        <f t="shared" si="86"/>
        <v>0</v>
      </c>
      <c r="AW358" s="215">
        <f t="shared" si="87"/>
        <v>54310.5</v>
      </c>
    </row>
    <row r="359" spans="1:49" ht="15" customHeight="1">
      <c r="A359" s="140" t="s">
        <v>259</v>
      </c>
      <c r="B359" s="211" t="s">
        <v>187</v>
      </c>
      <c r="C359" s="140" t="str">
        <f t="shared" si="75"/>
        <v>Salem Evangelical Lutheran School-MPCP</v>
      </c>
      <c r="D359" s="140">
        <v>0</v>
      </c>
      <c r="E359" s="140">
        <v>17</v>
      </c>
      <c r="F359" s="140">
        <v>0</v>
      </c>
      <c r="G359" s="140">
        <v>0</v>
      </c>
      <c r="H359" s="140">
        <v>0</v>
      </c>
      <c r="I359" s="140">
        <v>20</v>
      </c>
      <c r="J359" s="140">
        <v>137</v>
      </c>
      <c r="K359" s="140">
        <v>0</v>
      </c>
      <c r="L359" s="140">
        <f t="shared" si="76"/>
        <v>174</v>
      </c>
      <c r="N359" s="140">
        <v>0</v>
      </c>
      <c r="O359" s="140">
        <v>15</v>
      </c>
      <c r="P359" s="140">
        <v>0</v>
      </c>
      <c r="Q359" s="140">
        <v>0</v>
      </c>
      <c r="R359" s="140">
        <v>0</v>
      </c>
      <c r="S359" s="140">
        <v>17</v>
      </c>
      <c r="T359" s="140">
        <v>134</v>
      </c>
      <c r="U359" s="140">
        <v>0</v>
      </c>
      <c r="V359" s="140">
        <f t="shared" si="77"/>
        <v>166</v>
      </c>
      <c r="X359" s="98">
        <v>0</v>
      </c>
      <c r="Y359" s="98">
        <v>0</v>
      </c>
      <c r="Z359" s="98">
        <v>0</v>
      </c>
      <c r="AA359" s="98">
        <v>0</v>
      </c>
      <c r="AB359" s="98">
        <v>0</v>
      </c>
      <c r="AC359" s="98">
        <v>4</v>
      </c>
      <c r="AD359" s="98">
        <v>12</v>
      </c>
      <c r="AE359" s="98">
        <v>0</v>
      </c>
      <c r="AF359" s="98">
        <f t="shared" si="89"/>
        <v>16</v>
      </c>
      <c r="AH359" s="98">
        <v>98</v>
      </c>
      <c r="AJ359" s="98">
        <v>0</v>
      </c>
      <c r="AK359" s="98">
        <v>0</v>
      </c>
      <c r="AL359" s="380">
        <v>0</v>
      </c>
      <c r="AN359" s="214">
        <f t="shared" si="78"/>
        <v>643680</v>
      </c>
      <c r="AO359" s="214">
        <f t="shared" si="79"/>
        <v>0</v>
      </c>
      <c r="AP359" s="214">
        <f t="shared" si="80"/>
        <v>36207</v>
      </c>
      <c r="AQ359" s="214">
        <f t="shared" si="81"/>
        <v>0</v>
      </c>
      <c r="AR359" s="214">
        <f t="shared" si="82"/>
        <v>0</v>
      </c>
      <c r="AS359" s="214">
        <f t="shared" si="83"/>
        <v>0</v>
      </c>
      <c r="AT359" s="214">
        <f t="shared" si="84"/>
        <v>68391</v>
      </c>
      <c r="AU359" s="214">
        <f t="shared" si="85"/>
        <v>539082</v>
      </c>
      <c r="AV359" s="214">
        <f t="shared" si="86"/>
        <v>0</v>
      </c>
      <c r="AW359" s="215">
        <f t="shared" si="87"/>
        <v>643680</v>
      </c>
    </row>
    <row r="360" spans="1:49" ht="15" customHeight="1">
      <c r="A360" s="140" t="s">
        <v>259</v>
      </c>
      <c r="B360" s="211" t="s">
        <v>96</v>
      </c>
      <c r="C360" s="140" t="str">
        <f t="shared" si="75"/>
        <v>Salem Evangelical Lutheran School-WPCP</v>
      </c>
      <c r="D360" s="140">
        <v>0</v>
      </c>
      <c r="E360" s="140">
        <v>17</v>
      </c>
      <c r="F360" s="140">
        <v>0</v>
      </c>
      <c r="G360" s="140">
        <v>0</v>
      </c>
      <c r="H360" s="140">
        <v>0</v>
      </c>
      <c r="I360" s="140">
        <v>20</v>
      </c>
      <c r="J360" s="140">
        <v>137</v>
      </c>
      <c r="K360" s="140">
        <v>0</v>
      </c>
      <c r="L360" s="140">
        <f t="shared" si="76"/>
        <v>174</v>
      </c>
      <c r="N360" s="140">
        <v>0</v>
      </c>
      <c r="O360" s="140">
        <v>1</v>
      </c>
      <c r="P360" s="140">
        <v>0</v>
      </c>
      <c r="Q360" s="140">
        <v>0</v>
      </c>
      <c r="R360" s="140">
        <v>0</v>
      </c>
      <c r="S360" s="140">
        <v>2</v>
      </c>
      <c r="T360" s="140">
        <v>1</v>
      </c>
      <c r="U360" s="140">
        <v>0</v>
      </c>
      <c r="V360" s="140">
        <f t="shared" si="77"/>
        <v>4</v>
      </c>
      <c r="X360" s="98">
        <v>0</v>
      </c>
      <c r="Y360" s="98">
        <v>0</v>
      </c>
      <c r="Z360" s="98">
        <v>0</v>
      </c>
      <c r="AA360" s="98">
        <v>0</v>
      </c>
      <c r="AB360" s="98">
        <v>0</v>
      </c>
      <c r="AC360" s="98">
        <v>0</v>
      </c>
      <c r="AD360" s="98">
        <v>0</v>
      </c>
      <c r="AE360" s="98">
        <v>0</v>
      </c>
      <c r="AF360" s="98">
        <f t="shared" si="89"/>
        <v>0</v>
      </c>
      <c r="AH360" s="98">
        <v>3</v>
      </c>
      <c r="AJ360" s="98">
        <v>0</v>
      </c>
      <c r="AK360" s="98">
        <v>0</v>
      </c>
      <c r="AL360" s="380">
        <v>0</v>
      </c>
      <c r="AN360" s="214">
        <f t="shared" si="78"/>
        <v>14482.8</v>
      </c>
      <c r="AO360" s="214">
        <f t="shared" si="79"/>
        <v>0</v>
      </c>
      <c r="AP360" s="214">
        <f t="shared" si="80"/>
        <v>2413.8</v>
      </c>
      <c r="AQ360" s="214">
        <f t="shared" si="81"/>
        <v>0</v>
      </c>
      <c r="AR360" s="214">
        <f t="shared" si="82"/>
        <v>0</v>
      </c>
      <c r="AS360" s="214">
        <f t="shared" si="83"/>
        <v>0</v>
      </c>
      <c r="AT360" s="214">
        <f t="shared" si="84"/>
        <v>8046</v>
      </c>
      <c r="AU360" s="214">
        <f t="shared" si="85"/>
        <v>4023</v>
      </c>
      <c r="AV360" s="214">
        <f t="shared" si="86"/>
        <v>0</v>
      </c>
      <c r="AW360" s="215">
        <f t="shared" si="87"/>
        <v>14482.8</v>
      </c>
    </row>
    <row r="361" spans="1:49" ht="15" customHeight="1">
      <c r="A361" s="140" t="s">
        <v>153</v>
      </c>
      <c r="B361" s="211" t="s">
        <v>96</v>
      </c>
      <c r="C361" s="140" t="str">
        <f t="shared" si="75"/>
        <v>Sheboygan Area Lutheran High School-WPCP</v>
      </c>
      <c r="D361" s="140">
        <v>0</v>
      </c>
      <c r="E361" s="140">
        <v>0</v>
      </c>
      <c r="F361" s="140">
        <v>0</v>
      </c>
      <c r="G361" s="140">
        <v>0</v>
      </c>
      <c r="H361" s="140">
        <v>0</v>
      </c>
      <c r="I361" s="140">
        <v>0</v>
      </c>
      <c r="J361" s="140">
        <v>0</v>
      </c>
      <c r="K361" s="140">
        <v>182</v>
      </c>
      <c r="L361" s="140">
        <f t="shared" si="76"/>
        <v>182</v>
      </c>
      <c r="N361" s="140">
        <v>0</v>
      </c>
      <c r="O361" s="140">
        <v>0</v>
      </c>
      <c r="P361" s="140">
        <v>0</v>
      </c>
      <c r="Q361" s="140">
        <v>0</v>
      </c>
      <c r="R361" s="140">
        <v>0</v>
      </c>
      <c r="S361" s="140">
        <v>0</v>
      </c>
      <c r="T361" s="140">
        <v>0</v>
      </c>
      <c r="U361" s="140">
        <v>63</v>
      </c>
      <c r="V361" s="140">
        <f t="shared" si="77"/>
        <v>63</v>
      </c>
      <c r="X361" s="98">
        <v>0</v>
      </c>
      <c r="Y361" s="98">
        <v>0</v>
      </c>
      <c r="Z361" s="98">
        <v>0</v>
      </c>
      <c r="AA361" s="98">
        <v>0</v>
      </c>
      <c r="AB361" s="98">
        <v>0</v>
      </c>
      <c r="AC361" s="98">
        <v>0</v>
      </c>
      <c r="AD361" s="98">
        <v>0</v>
      </c>
      <c r="AE361" s="98">
        <v>0</v>
      </c>
      <c r="AF361" s="98">
        <f t="shared" si="89"/>
        <v>0</v>
      </c>
      <c r="AH361" s="98">
        <v>51</v>
      </c>
      <c r="AJ361" s="98">
        <v>0</v>
      </c>
      <c r="AK361" s="98">
        <v>0</v>
      </c>
      <c r="AL361" s="380">
        <v>0</v>
      </c>
      <c r="AN361" s="214">
        <f t="shared" si="78"/>
        <v>273798</v>
      </c>
      <c r="AO361" s="214">
        <f t="shared" si="79"/>
        <v>0</v>
      </c>
      <c r="AP361" s="214">
        <f t="shared" si="80"/>
        <v>0</v>
      </c>
      <c r="AQ361" s="214">
        <f t="shared" si="81"/>
        <v>0</v>
      </c>
      <c r="AR361" s="214">
        <f t="shared" si="82"/>
        <v>0</v>
      </c>
      <c r="AS361" s="214">
        <f t="shared" si="83"/>
        <v>0</v>
      </c>
      <c r="AT361" s="214">
        <f t="shared" si="84"/>
        <v>0</v>
      </c>
      <c r="AU361" s="214">
        <f t="shared" si="85"/>
        <v>0</v>
      </c>
      <c r="AV361" s="214">
        <f t="shared" si="86"/>
        <v>273798</v>
      </c>
      <c r="AW361" s="215">
        <f t="shared" si="87"/>
        <v>273798</v>
      </c>
    </row>
    <row r="362" spans="1:49" ht="15" customHeight="1">
      <c r="A362" s="140" t="s">
        <v>154</v>
      </c>
      <c r="B362" s="211" t="s">
        <v>96</v>
      </c>
      <c r="C362" s="140" t="str">
        <f t="shared" si="75"/>
        <v>Sheboygan Christian School-WPCP</v>
      </c>
      <c r="D362" s="140">
        <v>0</v>
      </c>
      <c r="E362" s="140">
        <v>0</v>
      </c>
      <c r="F362" s="140">
        <v>3</v>
      </c>
      <c r="G362" s="140">
        <v>0</v>
      </c>
      <c r="H362" s="140">
        <v>0</v>
      </c>
      <c r="I362" s="140">
        <v>15</v>
      </c>
      <c r="J362" s="140">
        <v>133</v>
      </c>
      <c r="K362" s="140">
        <v>88</v>
      </c>
      <c r="L362" s="140">
        <f t="shared" si="76"/>
        <v>239</v>
      </c>
      <c r="N362" s="140">
        <v>0</v>
      </c>
      <c r="O362" s="140">
        <v>0</v>
      </c>
      <c r="P362" s="140">
        <v>0</v>
      </c>
      <c r="Q362" s="140">
        <v>0</v>
      </c>
      <c r="R362" s="140">
        <v>0</v>
      </c>
      <c r="S362" s="140">
        <v>7</v>
      </c>
      <c r="T362" s="140">
        <v>68</v>
      </c>
      <c r="U362" s="140">
        <v>26</v>
      </c>
      <c r="V362" s="140">
        <f t="shared" si="77"/>
        <v>101</v>
      </c>
      <c r="X362" s="98">
        <v>0</v>
      </c>
      <c r="Y362" s="98">
        <v>0</v>
      </c>
      <c r="Z362" s="98">
        <v>0</v>
      </c>
      <c r="AA362" s="98">
        <v>0</v>
      </c>
      <c r="AB362" s="98">
        <v>0</v>
      </c>
      <c r="AC362" s="98">
        <v>0</v>
      </c>
      <c r="AD362" s="98">
        <v>0</v>
      </c>
      <c r="AE362" s="98">
        <v>0</v>
      </c>
      <c r="AF362" s="98">
        <f t="shared" si="89"/>
        <v>0</v>
      </c>
      <c r="AH362" s="98">
        <v>67</v>
      </c>
      <c r="AJ362" s="98">
        <v>0</v>
      </c>
      <c r="AK362" s="98">
        <v>0</v>
      </c>
      <c r="AL362" s="380">
        <v>0</v>
      </c>
      <c r="AN362" s="214">
        <f t="shared" si="78"/>
        <v>414721</v>
      </c>
      <c r="AO362" s="214">
        <f t="shared" si="79"/>
        <v>0</v>
      </c>
      <c r="AP362" s="214">
        <f t="shared" si="80"/>
        <v>0</v>
      </c>
      <c r="AQ362" s="214">
        <f t="shared" si="81"/>
        <v>0</v>
      </c>
      <c r="AR362" s="214">
        <f t="shared" si="82"/>
        <v>0</v>
      </c>
      <c r="AS362" s="214">
        <f t="shared" si="83"/>
        <v>0</v>
      </c>
      <c r="AT362" s="214">
        <f t="shared" si="84"/>
        <v>28161</v>
      </c>
      <c r="AU362" s="214">
        <f t="shared" si="85"/>
        <v>273564</v>
      </c>
      <c r="AV362" s="214">
        <f t="shared" si="86"/>
        <v>112996</v>
      </c>
      <c r="AW362" s="215">
        <f t="shared" si="87"/>
        <v>414721</v>
      </c>
    </row>
    <row r="363" spans="1:49" ht="15" customHeight="1">
      <c r="A363" s="140" t="s">
        <v>155</v>
      </c>
      <c r="B363" s="211" t="s">
        <v>187</v>
      </c>
      <c r="C363" s="140" t="str">
        <f t="shared" si="75"/>
        <v>Shining Star Christian Schools, Inc.-MPCP</v>
      </c>
      <c r="D363" s="140">
        <v>41</v>
      </c>
      <c r="E363" s="140">
        <v>0</v>
      </c>
      <c r="F363" s="140">
        <v>0</v>
      </c>
      <c r="G363" s="140">
        <v>0</v>
      </c>
      <c r="H363" s="140">
        <v>0</v>
      </c>
      <c r="I363" s="140">
        <v>43</v>
      </c>
      <c r="J363" s="140">
        <v>346</v>
      </c>
      <c r="K363" s="140">
        <v>0</v>
      </c>
      <c r="L363" s="140">
        <f t="shared" si="76"/>
        <v>430</v>
      </c>
      <c r="N363" s="140">
        <v>40</v>
      </c>
      <c r="O363" s="140">
        <v>0</v>
      </c>
      <c r="P363" s="140">
        <v>0</v>
      </c>
      <c r="Q363" s="140">
        <v>0</v>
      </c>
      <c r="R363" s="140">
        <v>0</v>
      </c>
      <c r="S363" s="140">
        <v>41</v>
      </c>
      <c r="T363" s="140">
        <v>340</v>
      </c>
      <c r="U363" s="140">
        <v>0</v>
      </c>
      <c r="V363" s="140">
        <f t="shared" si="77"/>
        <v>421</v>
      </c>
      <c r="X363" s="98">
        <v>0</v>
      </c>
      <c r="Y363" s="98">
        <v>0</v>
      </c>
      <c r="Z363" s="98">
        <v>0</v>
      </c>
      <c r="AA363" s="98">
        <v>0</v>
      </c>
      <c r="AB363" s="98">
        <v>0</v>
      </c>
      <c r="AC363" s="98">
        <v>0</v>
      </c>
      <c r="AD363" s="98">
        <v>0</v>
      </c>
      <c r="AE363" s="98">
        <v>0</v>
      </c>
      <c r="AF363" s="98">
        <f t="shared" si="89"/>
        <v>0</v>
      </c>
      <c r="AH363" s="98">
        <v>259</v>
      </c>
      <c r="AJ363" s="98">
        <v>60</v>
      </c>
      <c r="AK363" s="98">
        <v>0</v>
      </c>
      <c r="AL363" s="380">
        <v>16490.160000000014</v>
      </c>
      <c r="AN363" s="214">
        <f t="shared" si="78"/>
        <v>1613223</v>
      </c>
      <c r="AO363" s="214">
        <f t="shared" si="79"/>
        <v>80460</v>
      </c>
      <c r="AP363" s="214">
        <f t="shared" si="80"/>
        <v>0</v>
      </c>
      <c r="AQ363" s="214">
        <f t="shared" si="81"/>
        <v>0</v>
      </c>
      <c r="AR363" s="214">
        <f t="shared" si="82"/>
        <v>0</v>
      </c>
      <c r="AS363" s="214">
        <f t="shared" si="83"/>
        <v>0</v>
      </c>
      <c r="AT363" s="214">
        <f t="shared" si="84"/>
        <v>164943</v>
      </c>
      <c r="AU363" s="214">
        <f t="shared" si="85"/>
        <v>1367820</v>
      </c>
      <c r="AV363" s="214">
        <f t="shared" si="86"/>
        <v>0</v>
      </c>
      <c r="AW363" s="215">
        <f t="shared" si="87"/>
        <v>1613223</v>
      </c>
    </row>
    <row r="364" spans="1:49" ht="15" customHeight="1">
      <c r="A364" s="140" t="s">
        <v>155</v>
      </c>
      <c r="B364" s="211" t="s">
        <v>96</v>
      </c>
      <c r="C364" s="140" t="str">
        <f t="shared" si="75"/>
        <v>Shining Star Christian Schools, Inc.-WPCP</v>
      </c>
      <c r="D364" s="140">
        <v>41</v>
      </c>
      <c r="E364" s="140">
        <v>0</v>
      </c>
      <c r="F364" s="140">
        <v>0</v>
      </c>
      <c r="G364" s="140">
        <v>0</v>
      </c>
      <c r="H364" s="140">
        <v>0</v>
      </c>
      <c r="I364" s="140">
        <v>43</v>
      </c>
      <c r="J364" s="140">
        <v>346</v>
      </c>
      <c r="K364" s="140">
        <v>0</v>
      </c>
      <c r="L364" s="140">
        <f t="shared" si="76"/>
        <v>430</v>
      </c>
      <c r="N364" s="140">
        <v>0</v>
      </c>
      <c r="O364" s="140">
        <v>0</v>
      </c>
      <c r="P364" s="140">
        <v>0</v>
      </c>
      <c r="Q364" s="140">
        <v>0</v>
      </c>
      <c r="R364" s="140">
        <v>0</v>
      </c>
      <c r="S364" s="140">
        <v>0</v>
      </c>
      <c r="T364" s="140">
        <v>0</v>
      </c>
      <c r="U364" s="140">
        <v>0</v>
      </c>
      <c r="V364" s="140">
        <f t="shared" si="77"/>
        <v>0</v>
      </c>
      <c r="X364" s="98">
        <v>1</v>
      </c>
      <c r="Y364" s="98">
        <v>0</v>
      </c>
      <c r="Z364" s="98">
        <v>0</v>
      </c>
      <c r="AA364" s="98">
        <v>0</v>
      </c>
      <c r="AB364" s="98">
        <v>0</v>
      </c>
      <c r="AC364" s="98">
        <v>0</v>
      </c>
      <c r="AD364" s="98">
        <v>0</v>
      </c>
      <c r="AE364" s="98">
        <v>0</v>
      </c>
      <c r="AF364" s="98">
        <f t="shared" si="89"/>
        <v>1</v>
      </c>
      <c r="AH364" s="98">
        <v>0</v>
      </c>
      <c r="AJ364" s="98">
        <v>0</v>
      </c>
      <c r="AK364" s="98">
        <v>0</v>
      </c>
      <c r="AL364" s="380">
        <v>0</v>
      </c>
      <c r="AN364" s="214">
        <v>2011.5</v>
      </c>
      <c r="AO364" s="214">
        <f t="shared" si="79"/>
        <v>0</v>
      </c>
      <c r="AP364" s="214">
        <f t="shared" si="80"/>
        <v>0</v>
      </c>
      <c r="AQ364" s="214">
        <f t="shared" si="81"/>
        <v>0</v>
      </c>
      <c r="AR364" s="214">
        <f t="shared" si="82"/>
        <v>0</v>
      </c>
      <c r="AS364" s="214">
        <f t="shared" si="83"/>
        <v>0</v>
      </c>
      <c r="AT364" s="214">
        <f t="shared" si="84"/>
        <v>0</v>
      </c>
      <c r="AU364" s="214">
        <f t="shared" si="85"/>
        <v>0</v>
      </c>
      <c r="AV364" s="214">
        <f t="shared" si="86"/>
        <v>0</v>
      </c>
      <c r="AW364" s="215">
        <f t="shared" si="87"/>
        <v>0</v>
      </c>
    </row>
    <row r="365" spans="1:49" ht="15" customHeight="1">
      <c r="A365" s="140" t="s">
        <v>203</v>
      </c>
      <c r="B365" s="211" t="s">
        <v>187</v>
      </c>
      <c r="C365" s="140" t="str">
        <f t="shared" si="75"/>
        <v>Shoreland Lutheran High School-MPCP</v>
      </c>
      <c r="D365" s="140">
        <v>0</v>
      </c>
      <c r="E365" s="140">
        <v>0</v>
      </c>
      <c r="F365" s="140">
        <v>0</v>
      </c>
      <c r="G365" s="140">
        <v>0</v>
      </c>
      <c r="H365" s="140">
        <v>0</v>
      </c>
      <c r="I365" s="140">
        <v>0</v>
      </c>
      <c r="J365" s="140">
        <v>0</v>
      </c>
      <c r="K365" s="140">
        <v>350</v>
      </c>
      <c r="L365" s="140">
        <f t="shared" si="76"/>
        <v>350</v>
      </c>
      <c r="N365" s="140">
        <v>0</v>
      </c>
      <c r="O365" s="140">
        <v>0</v>
      </c>
      <c r="P365" s="140">
        <v>0</v>
      </c>
      <c r="Q365" s="140">
        <v>0</v>
      </c>
      <c r="R365" s="140">
        <v>0</v>
      </c>
      <c r="S365" s="140">
        <v>0</v>
      </c>
      <c r="T365" s="140">
        <v>0</v>
      </c>
      <c r="U365" s="140">
        <v>0</v>
      </c>
      <c r="V365" s="140">
        <f t="shared" si="77"/>
        <v>0</v>
      </c>
      <c r="X365" s="98">
        <v>0</v>
      </c>
      <c r="Y365" s="98">
        <v>0</v>
      </c>
      <c r="Z365" s="98">
        <v>0</v>
      </c>
      <c r="AA365" s="98">
        <v>0</v>
      </c>
      <c r="AB365" s="98">
        <v>0</v>
      </c>
      <c r="AC365" s="98">
        <v>0</v>
      </c>
      <c r="AD365" s="98">
        <v>0</v>
      </c>
      <c r="AE365" s="98">
        <v>0</v>
      </c>
      <c r="AF365" s="98">
        <f t="shared" si="89"/>
        <v>0</v>
      </c>
      <c r="AH365" s="98">
        <v>0</v>
      </c>
      <c r="AJ365" s="98">
        <v>0</v>
      </c>
      <c r="AK365" s="98">
        <v>0</v>
      </c>
      <c r="AL365" s="380">
        <v>0</v>
      </c>
      <c r="AN365" s="214">
        <f t="shared" si="78"/>
        <v>0</v>
      </c>
      <c r="AO365" s="214">
        <f t="shared" si="79"/>
        <v>0</v>
      </c>
      <c r="AP365" s="214">
        <f t="shared" si="80"/>
        <v>0</v>
      </c>
      <c r="AQ365" s="214">
        <f t="shared" si="81"/>
        <v>0</v>
      </c>
      <c r="AR365" s="214">
        <f t="shared" si="82"/>
        <v>0</v>
      </c>
      <c r="AS365" s="214">
        <f t="shared" si="83"/>
        <v>0</v>
      </c>
      <c r="AT365" s="214">
        <f t="shared" si="84"/>
        <v>0</v>
      </c>
      <c r="AU365" s="214">
        <f t="shared" si="85"/>
        <v>0</v>
      </c>
      <c r="AV365" s="214">
        <f t="shared" si="86"/>
        <v>0</v>
      </c>
      <c r="AW365" s="215">
        <f t="shared" si="87"/>
        <v>0</v>
      </c>
    </row>
    <row r="366" spans="1:49" ht="15" customHeight="1">
      <c r="A366" s="140" t="s">
        <v>203</v>
      </c>
      <c r="B366" s="211" t="s">
        <v>188</v>
      </c>
      <c r="C366" s="140" t="str">
        <f t="shared" si="75"/>
        <v>Shoreland Lutheran High School-RPCP</v>
      </c>
      <c r="D366" s="140">
        <v>0</v>
      </c>
      <c r="E366" s="140">
        <v>0</v>
      </c>
      <c r="F366" s="140">
        <v>0</v>
      </c>
      <c r="G366" s="140">
        <v>0</v>
      </c>
      <c r="H366" s="140">
        <v>0</v>
      </c>
      <c r="I366" s="140">
        <v>0</v>
      </c>
      <c r="J366" s="140">
        <v>0</v>
      </c>
      <c r="K366" s="140">
        <v>350</v>
      </c>
      <c r="L366" s="140">
        <f t="shared" si="76"/>
        <v>350</v>
      </c>
      <c r="N366" s="140">
        <v>0</v>
      </c>
      <c r="O366" s="140">
        <v>0</v>
      </c>
      <c r="P366" s="140">
        <v>0</v>
      </c>
      <c r="Q366" s="140">
        <v>0</v>
      </c>
      <c r="R366" s="140">
        <v>0</v>
      </c>
      <c r="S366" s="140">
        <v>0</v>
      </c>
      <c r="T366" s="140">
        <v>0</v>
      </c>
      <c r="U366" s="140">
        <v>133</v>
      </c>
      <c r="V366" s="140">
        <f t="shared" si="77"/>
        <v>133</v>
      </c>
      <c r="X366" s="98">
        <v>0</v>
      </c>
      <c r="Y366" s="98">
        <v>0</v>
      </c>
      <c r="Z366" s="98">
        <v>0</v>
      </c>
      <c r="AA366" s="98">
        <v>0</v>
      </c>
      <c r="AB366" s="98">
        <v>0</v>
      </c>
      <c r="AC366" s="98">
        <v>0</v>
      </c>
      <c r="AD366" s="98">
        <v>0</v>
      </c>
      <c r="AE366" s="98">
        <v>0</v>
      </c>
      <c r="AF366" s="98">
        <f t="shared" si="89"/>
        <v>0</v>
      </c>
      <c r="AH366" s="98">
        <v>112</v>
      </c>
      <c r="AJ366" s="98">
        <v>0</v>
      </c>
      <c r="AK366" s="98">
        <v>0</v>
      </c>
      <c r="AL366" s="380">
        <v>0</v>
      </c>
      <c r="AN366" s="214">
        <f t="shared" si="78"/>
        <v>578018</v>
      </c>
      <c r="AO366" s="214">
        <f t="shared" si="79"/>
        <v>0</v>
      </c>
      <c r="AP366" s="214">
        <f t="shared" si="80"/>
        <v>0</v>
      </c>
      <c r="AQ366" s="214">
        <f t="shared" si="81"/>
        <v>0</v>
      </c>
      <c r="AR366" s="214">
        <f t="shared" si="82"/>
        <v>0</v>
      </c>
      <c r="AS366" s="214">
        <f t="shared" si="83"/>
        <v>0</v>
      </c>
      <c r="AT366" s="214">
        <f t="shared" si="84"/>
        <v>0</v>
      </c>
      <c r="AU366" s="214">
        <f t="shared" si="85"/>
        <v>0</v>
      </c>
      <c r="AV366" s="214">
        <f t="shared" si="86"/>
        <v>578018</v>
      </c>
      <c r="AW366" s="215">
        <f t="shared" si="87"/>
        <v>578018</v>
      </c>
    </row>
    <row r="367" spans="1:49" ht="15" customHeight="1">
      <c r="A367" s="140" t="s">
        <v>203</v>
      </c>
      <c r="B367" s="211" t="s">
        <v>96</v>
      </c>
      <c r="C367" s="140" t="str">
        <f t="shared" si="75"/>
        <v>Shoreland Lutheran High School-WPCP</v>
      </c>
      <c r="D367" s="140">
        <v>0</v>
      </c>
      <c r="E367" s="140">
        <v>0</v>
      </c>
      <c r="F367" s="140">
        <v>0</v>
      </c>
      <c r="G367" s="140">
        <v>0</v>
      </c>
      <c r="H367" s="140">
        <v>0</v>
      </c>
      <c r="I367" s="140">
        <v>0</v>
      </c>
      <c r="J367" s="140">
        <v>0</v>
      </c>
      <c r="K367" s="140">
        <v>350</v>
      </c>
      <c r="L367" s="140">
        <f t="shared" si="76"/>
        <v>350</v>
      </c>
      <c r="N367" s="140">
        <v>0</v>
      </c>
      <c r="O367" s="140">
        <v>0</v>
      </c>
      <c r="P367" s="140">
        <v>0</v>
      </c>
      <c r="Q367" s="140">
        <v>0</v>
      </c>
      <c r="R367" s="140">
        <v>0</v>
      </c>
      <c r="S367" s="140">
        <v>0</v>
      </c>
      <c r="T367" s="140">
        <v>0</v>
      </c>
      <c r="U367" s="140">
        <v>47</v>
      </c>
      <c r="V367" s="140">
        <f t="shared" si="77"/>
        <v>47</v>
      </c>
      <c r="X367" s="98">
        <v>0</v>
      </c>
      <c r="Y367" s="98">
        <v>0</v>
      </c>
      <c r="Z367" s="98">
        <v>0</v>
      </c>
      <c r="AA367" s="98">
        <v>0</v>
      </c>
      <c r="AB367" s="98">
        <v>0</v>
      </c>
      <c r="AC367" s="98">
        <v>0</v>
      </c>
      <c r="AD367" s="98">
        <v>0</v>
      </c>
      <c r="AE367" s="98">
        <v>0</v>
      </c>
      <c r="AF367" s="98">
        <f t="shared" si="89"/>
        <v>0</v>
      </c>
      <c r="AH367" s="98">
        <v>42</v>
      </c>
      <c r="AJ367" s="98">
        <v>0</v>
      </c>
      <c r="AK367" s="98">
        <v>0</v>
      </c>
      <c r="AL367" s="380">
        <v>0</v>
      </c>
      <c r="AN367" s="214">
        <f t="shared" si="78"/>
        <v>204262</v>
      </c>
      <c r="AO367" s="214">
        <f t="shared" si="79"/>
        <v>0</v>
      </c>
      <c r="AP367" s="214">
        <f t="shared" si="80"/>
        <v>0</v>
      </c>
      <c r="AQ367" s="214">
        <f t="shared" si="81"/>
        <v>0</v>
      </c>
      <c r="AR367" s="214">
        <f t="shared" si="82"/>
        <v>0</v>
      </c>
      <c r="AS367" s="214">
        <f t="shared" si="83"/>
        <v>0</v>
      </c>
      <c r="AT367" s="214">
        <f t="shared" si="84"/>
        <v>0</v>
      </c>
      <c r="AU367" s="214">
        <f t="shared" si="85"/>
        <v>0</v>
      </c>
      <c r="AV367" s="214">
        <f t="shared" si="86"/>
        <v>204262</v>
      </c>
      <c r="AW367" s="215">
        <f t="shared" si="87"/>
        <v>204262</v>
      </c>
    </row>
    <row r="368" spans="1:49" ht="15" customHeight="1">
      <c r="A368" s="140" t="s">
        <v>480</v>
      </c>
      <c r="B368" s="211" t="s">
        <v>188</v>
      </c>
      <c r="C368" s="140" t="str">
        <f t="shared" si="75"/>
        <v>Siena Catholic Schools of Racine, Inc-RPCP</v>
      </c>
      <c r="D368" s="140">
        <v>0</v>
      </c>
      <c r="E368" s="140">
        <v>76</v>
      </c>
      <c r="F368" s="140">
        <v>0</v>
      </c>
      <c r="G368" s="140">
        <v>0</v>
      </c>
      <c r="H368" s="140">
        <v>0</v>
      </c>
      <c r="I368" s="140">
        <v>78</v>
      </c>
      <c r="J368" s="140">
        <v>1004</v>
      </c>
      <c r="K368" s="140">
        <v>425</v>
      </c>
      <c r="L368" s="140">
        <f t="shared" si="76"/>
        <v>1583</v>
      </c>
      <c r="N368" s="140">
        <v>0</v>
      </c>
      <c r="O368" s="140">
        <v>57</v>
      </c>
      <c r="P368" s="140">
        <v>0</v>
      </c>
      <c r="Q368" s="140">
        <v>0</v>
      </c>
      <c r="R368" s="140">
        <v>0</v>
      </c>
      <c r="S368" s="140">
        <v>61</v>
      </c>
      <c r="T368" s="140">
        <v>760</v>
      </c>
      <c r="U368" s="140">
        <v>375</v>
      </c>
      <c r="V368" s="140">
        <f t="shared" si="77"/>
        <v>1253</v>
      </c>
      <c r="X368" s="98">
        <v>0</v>
      </c>
      <c r="Y368" s="98">
        <v>4</v>
      </c>
      <c r="Z368" s="98">
        <v>0</v>
      </c>
      <c r="AA368" s="98">
        <v>0</v>
      </c>
      <c r="AB368" s="98">
        <v>0</v>
      </c>
      <c r="AC368" s="98">
        <v>3</v>
      </c>
      <c r="AD368" s="98">
        <v>29</v>
      </c>
      <c r="AE368" s="98">
        <v>3</v>
      </c>
      <c r="AF368" s="98">
        <f t="shared" si="89"/>
        <v>39</v>
      </c>
      <c r="AH368" s="98">
        <v>837</v>
      </c>
      <c r="AJ368" s="98">
        <v>172</v>
      </c>
      <c r="AK368" s="98">
        <v>0</v>
      </c>
      <c r="AL368" s="380">
        <v>58258.3299999999</v>
      </c>
      <c r="AN368" s="214">
        <f t="shared" si="78"/>
        <v>5070219.6</v>
      </c>
      <c r="AO368" s="214">
        <f t="shared" si="79"/>
        <v>0</v>
      </c>
      <c r="AP368" s="214">
        <f t="shared" si="80"/>
        <v>137586.6</v>
      </c>
      <c r="AQ368" s="214">
        <f t="shared" si="81"/>
        <v>0</v>
      </c>
      <c r="AR368" s="214">
        <f t="shared" si="82"/>
        <v>0</v>
      </c>
      <c r="AS368" s="214">
        <f t="shared" si="83"/>
        <v>0</v>
      </c>
      <c r="AT368" s="214">
        <f t="shared" si="84"/>
        <v>245403</v>
      </c>
      <c r="AU368" s="214">
        <f t="shared" si="85"/>
        <v>3057480</v>
      </c>
      <c r="AV368" s="214">
        <f t="shared" si="86"/>
        <v>1629750</v>
      </c>
      <c r="AW368" s="215">
        <f t="shared" si="87"/>
        <v>5070219.6</v>
      </c>
    </row>
    <row r="369" spans="1:49" ht="15" customHeight="1">
      <c r="A369" s="140" t="s">
        <v>156</v>
      </c>
      <c r="B369" s="211" t="s">
        <v>187</v>
      </c>
      <c r="C369" s="140" t="str">
        <f t="shared" si="75"/>
        <v>Siloah Lutheran School-MPCP</v>
      </c>
      <c r="D369" s="140">
        <v>0</v>
      </c>
      <c r="E369" s="140">
        <v>7</v>
      </c>
      <c r="F369" s="140">
        <v>0</v>
      </c>
      <c r="G369" s="140">
        <v>0</v>
      </c>
      <c r="H369" s="140">
        <v>0</v>
      </c>
      <c r="I369" s="140">
        <v>12</v>
      </c>
      <c r="J369" s="140">
        <v>71</v>
      </c>
      <c r="K369" s="140">
        <v>0</v>
      </c>
      <c r="L369" s="140">
        <f t="shared" si="76"/>
        <v>90</v>
      </c>
      <c r="N369" s="140">
        <v>0</v>
      </c>
      <c r="O369" s="140">
        <v>7</v>
      </c>
      <c r="P369" s="140">
        <v>0</v>
      </c>
      <c r="Q369" s="140">
        <v>0</v>
      </c>
      <c r="R369" s="140">
        <v>0</v>
      </c>
      <c r="S369" s="140">
        <v>12</v>
      </c>
      <c r="T369" s="140">
        <v>71</v>
      </c>
      <c r="U369" s="140">
        <v>0</v>
      </c>
      <c r="V369" s="140">
        <f t="shared" si="77"/>
        <v>90</v>
      </c>
      <c r="X369" s="98">
        <v>0</v>
      </c>
      <c r="Y369" s="98">
        <v>0</v>
      </c>
      <c r="Z369" s="98">
        <v>0</v>
      </c>
      <c r="AA369" s="98">
        <v>0</v>
      </c>
      <c r="AB369" s="98">
        <v>0</v>
      </c>
      <c r="AC369" s="98">
        <v>0</v>
      </c>
      <c r="AD369" s="98">
        <v>0</v>
      </c>
      <c r="AE369" s="98">
        <v>0</v>
      </c>
      <c r="AF369" s="98">
        <f t="shared" si="89"/>
        <v>0</v>
      </c>
      <c r="AH369" s="98">
        <v>61</v>
      </c>
      <c r="AJ369" s="98">
        <v>0</v>
      </c>
      <c r="AK369" s="98">
        <v>0</v>
      </c>
      <c r="AL369" s="380">
        <v>0</v>
      </c>
      <c r="AN369" s="214">
        <f t="shared" si="78"/>
        <v>350805.6</v>
      </c>
      <c r="AO369" s="214">
        <f t="shared" si="79"/>
        <v>0</v>
      </c>
      <c r="AP369" s="214">
        <f t="shared" si="80"/>
        <v>16896.6</v>
      </c>
      <c r="AQ369" s="214">
        <f t="shared" si="81"/>
        <v>0</v>
      </c>
      <c r="AR369" s="214">
        <f t="shared" si="82"/>
        <v>0</v>
      </c>
      <c r="AS369" s="214">
        <f t="shared" si="83"/>
        <v>0</v>
      </c>
      <c r="AT369" s="214">
        <f t="shared" si="84"/>
        <v>48276</v>
      </c>
      <c r="AU369" s="214">
        <f t="shared" si="85"/>
        <v>285633</v>
      </c>
      <c r="AV369" s="214">
        <f t="shared" si="86"/>
        <v>0</v>
      </c>
      <c r="AW369" s="215">
        <f t="shared" si="87"/>
        <v>350805.6</v>
      </c>
    </row>
    <row r="370" spans="1:49" ht="15" customHeight="1">
      <c r="A370" s="140" t="s">
        <v>481</v>
      </c>
      <c r="B370" s="211" t="s">
        <v>96</v>
      </c>
      <c r="C370" s="140" t="str">
        <f t="shared" si="75"/>
        <v>Stevens Point Christian Academy-WPCP</v>
      </c>
      <c r="D370" s="140">
        <v>0</v>
      </c>
      <c r="E370" s="140">
        <v>0</v>
      </c>
      <c r="F370" s="140">
        <v>0</v>
      </c>
      <c r="G370" s="140">
        <v>0</v>
      </c>
      <c r="H370" s="140">
        <v>0</v>
      </c>
      <c r="I370" s="140">
        <v>5</v>
      </c>
      <c r="J370" s="140">
        <v>39</v>
      </c>
      <c r="K370" s="140">
        <v>8</v>
      </c>
      <c r="L370" s="140">
        <f t="shared" si="76"/>
        <v>52</v>
      </c>
      <c r="N370" s="140">
        <v>0</v>
      </c>
      <c r="O370" s="140">
        <v>0</v>
      </c>
      <c r="P370" s="140">
        <v>0</v>
      </c>
      <c r="Q370" s="140">
        <v>0</v>
      </c>
      <c r="R370" s="140">
        <v>0</v>
      </c>
      <c r="S370" s="140">
        <v>3</v>
      </c>
      <c r="T370" s="140">
        <v>27</v>
      </c>
      <c r="U370" s="140">
        <v>5</v>
      </c>
      <c r="V370" s="140">
        <f t="shared" si="77"/>
        <v>35</v>
      </c>
      <c r="X370" s="98">
        <v>0</v>
      </c>
      <c r="Y370" s="98">
        <v>0</v>
      </c>
      <c r="Z370" s="98">
        <v>0</v>
      </c>
      <c r="AA370" s="98">
        <v>0</v>
      </c>
      <c r="AB370" s="98">
        <v>0</v>
      </c>
      <c r="AC370" s="98">
        <v>0</v>
      </c>
      <c r="AD370" s="98">
        <v>0</v>
      </c>
      <c r="AE370" s="98">
        <v>0</v>
      </c>
      <c r="AF370" s="98">
        <f t="shared" si="89"/>
        <v>0</v>
      </c>
      <c r="AH370" s="98">
        <v>21</v>
      </c>
      <c r="AJ370" s="98">
        <v>0</v>
      </c>
      <c r="AK370" s="98">
        <v>0</v>
      </c>
      <c r="AL370" s="380">
        <v>0</v>
      </c>
      <c r="AN370" s="214">
        <f t="shared" si="78"/>
        <v>142420</v>
      </c>
      <c r="AO370" s="214">
        <f t="shared" si="79"/>
        <v>0</v>
      </c>
      <c r="AP370" s="214">
        <f t="shared" si="80"/>
        <v>0</v>
      </c>
      <c r="AQ370" s="214">
        <f t="shared" si="81"/>
        <v>0</v>
      </c>
      <c r="AR370" s="214">
        <f t="shared" si="82"/>
        <v>0</v>
      </c>
      <c r="AS370" s="214">
        <f t="shared" si="83"/>
        <v>0</v>
      </c>
      <c r="AT370" s="214">
        <f t="shared" si="84"/>
        <v>12069</v>
      </c>
      <c r="AU370" s="214">
        <f t="shared" si="85"/>
        <v>108621</v>
      </c>
      <c r="AV370" s="214">
        <f t="shared" si="86"/>
        <v>21730</v>
      </c>
      <c r="AW370" s="215">
        <f t="shared" si="87"/>
        <v>142420</v>
      </c>
    </row>
    <row r="371" spans="1:49" ht="15" customHeight="1">
      <c r="A371" s="140" t="s">
        <v>157</v>
      </c>
      <c r="B371" s="211" t="s">
        <v>187</v>
      </c>
      <c r="C371" s="140" t="str">
        <f t="shared" si="75"/>
        <v>Tamarack Waldorf School-MPCP</v>
      </c>
      <c r="D371" s="140">
        <v>0</v>
      </c>
      <c r="E371" s="140">
        <v>21</v>
      </c>
      <c r="F371" s="140">
        <v>0</v>
      </c>
      <c r="G371" s="140">
        <v>0</v>
      </c>
      <c r="H371" s="140">
        <v>0</v>
      </c>
      <c r="I371" s="140">
        <v>33</v>
      </c>
      <c r="J371" s="140">
        <v>181</v>
      </c>
      <c r="K371" s="140">
        <v>0</v>
      </c>
      <c r="L371" s="140">
        <f t="shared" si="76"/>
        <v>235</v>
      </c>
      <c r="N371" s="140">
        <v>0</v>
      </c>
      <c r="O371" s="140">
        <v>15</v>
      </c>
      <c r="P371" s="140">
        <v>0</v>
      </c>
      <c r="Q371" s="140">
        <v>0</v>
      </c>
      <c r="R371" s="140">
        <v>0</v>
      </c>
      <c r="S371" s="140">
        <v>27</v>
      </c>
      <c r="T371" s="140">
        <v>138</v>
      </c>
      <c r="U371" s="140">
        <v>0</v>
      </c>
      <c r="V371" s="140">
        <f t="shared" si="77"/>
        <v>180</v>
      </c>
      <c r="X371" s="98">
        <v>0</v>
      </c>
      <c r="Y371" s="98">
        <v>3</v>
      </c>
      <c r="Z371" s="98">
        <v>0</v>
      </c>
      <c r="AA371" s="98">
        <v>0</v>
      </c>
      <c r="AB371" s="98">
        <v>0</v>
      </c>
      <c r="AC371" s="98">
        <v>1</v>
      </c>
      <c r="AD371" s="98">
        <v>19</v>
      </c>
      <c r="AE371" s="98">
        <v>0</v>
      </c>
      <c r="AF371" s="98">
        <f t="shared" si="89"/>
        <v>23</v>
      </c>
      <c r="AH371" s="98">
        <v>136</v>
      </c>
      <c r="AJ371" s="98">
        <v>0</v>
      </c>
      <c r="AK371" s="98">
        <v>0</v>
      </c>
      <c r="AL371" s="380">
        <v>0</v>
      </c>
      <c r="AN371" s="214">
        <f t="shared" si="78"/>
        <v>700002</v>
      </c>
      <c r="AO371" s="214">
        <f t="shared" si="79"/>
        <v>0</v>
      </c>
      <c r="AP371" s="214">
        <f t="shared" si="80"/>
        <v>36207</v>
      </c>
      <c r="AQ371" s="214">
        <f t="shared" si="81"/>
        <v>0</v>
      </c>
      <c r="AR371" s="214">
        <f t="shared" si="82"/>
        <v>0</v>
      </c>
      <c r="AS371" s="214">
        <f t="shared" si="83"/>
        <v>0</v>
      </c>
      <c r="AT371" s="214">
        <f t="shared" si="84"/>
        <v>108621</v>
      </c>
      <c r="AU371" s="214">
        <f t="shared" si="85"/>
        <v>555174</v>
      </c>
      <c r="AV371" s="214">
        <f t="shared" si="86"/>
        <v>0</v>
      </c>
      <c r="AW371" s="215">
        <f t="shared" si="87"/>
        <v>700002</v>
      </c>
    </row>
    <row r="372" spans="1:49" ht="15" customHeight="1">
      <c r="A372" s="140" t="s">
        <v>482</v>
      </c>
      <c r="B372" s="211" t="s">
        <v>187</v>
      </c>
      <c r="C372" s="140" t="str">
        <f t="shared" si="75"/>
        <v>The City School-MPCP</v>
      </c>
      <c r="D372" s="140">
        <v>13</v>
      </c>
      <c r="E372" s="140">
        <v>0</v>
      </c>
      <c r="F372" s="140">
        <v>0</v>
      </c>
      <c r="G372" s="140">
        <v>0</v>
      </c>
      <c r="H372" s="140">
        <v>0</v>
      </c>
      <c r="I372" s="140">
        <v>13</v>
      </c>
      <c r="J372" s="140">
        <v>134</v>
      </c>
      <c r="K372" s="140">
        <v>0</v>
      </c>
      <c r="L372" s="140">
        <f t="shared" si="76"/>
        <v>160</v>
      </c>
      <c r="N372" s="140">
        <v>13</v>
      </c>
      <c r="O372" s="140">
        <v>0</v>
      </c>
      <c r="P372" s="140">
        <v>0</v>
      </c>
      <c r="Q372" s="140">
        <v>0</v>
      </c>
      <c r="R372" s="140">
        <v>0</v>
      </c>
      <c r="S372" s="140">
        <v>13</v>
      </c>
      <c r="T372" s="140">
        <v>134</v>
      </c>
      <c r="U372" s="140">
        <v>0</v>
      </c>
      <c r="V372" s="140">
        <f t="shared" si="77"/>
        <v>160</v>
      </c>
      <c r="X372" s="98">
        <v>0</v>
      </c>
      <c r="Y372" s="98">
        <v>0</v>
      </c>
      <c r="Z372" s="98">
        <v>0</v>
      </c>
      <c r="AA372" s="98">
        <v>0</v>
      </c>
      <c r="AB372" s="98">
        <v>0</v>
      </c>
      <c r="AC372" s="98">
        <v>0</v>
      </c>
      <c r="AD372" s="98">
        <v>0</v>
      </c>
      <c r="AE372" s="98">
        <v>0</v>
      </c>
      <c r="AF372" s="98">
        <f t="shared" si="89"/>
        <v>0</v>
      </c>
      <c r="AH372" s="98">
        <v>85</v>
      </c>
      <c r="AJ372" s="98">
        <v>0</v>
      </c>
      <c r="AK372" s="98">
        <v>0</v>
      </c>
      <c r="AL372" s="380">
        <v>0</v>
      </c>
      <c r="AN372" s="214">
        <f t="shared" si="78"/>
        <v>617530.5</v>
      </c>
      <c r="AO372" s="214">
        <f t="shared" si="79"/>
        <v>26149.5</v>
      </c>
      <c r="AP372" s="214">
        <f t="shared" si="80"/>
        <v>0</v>
      </c>
      <c r="AQ372" s="214">
        <f t="shared" si="81"/>
        <v>0</v>
      </c>
      <c r="AR372" s="214">
        <f t="shared" si="82"/>
        <v>0</v>
      </c>
      <c r="AS372" s="214">
        <f t="shared" si="83"/>
        <v>0</v>
      </c>
      <c r="AT372" s="214">
        <f t="shared" si="84"/>
        <v>52299</v>
      </c>
      <c r="AU372" s="214">
        <f t="shared" si="85"/>
        <v>539082</v>
      </c>
      <c r="AV372" s="214">
        <f t="shared" si="86"/>
        <v>0</v>
      </c>
      <c r="AW372" s="215">
        <f t="shared" si="87"/>
        <v>617530.5</v>
      </c>
    </row>
    <row r="373" spans="1:49" ht="15" customHeight="1">
      <c r="A373" s="140" t="s">
        <v>158</v>
      </c>
      <c r="B373" s="211" t="s">
        <v>187</v>
      </c>
      <c r="C373" s="140" t="str">
        <f t="shared" si="75"/>
        <v>Torah Academy of Milwaukee-MPCP</v>
      </c>
      <c r="D373" s="140">
        <v>0</v>
      </c>
      <c r="E373" s="140">
        <v>0</v>
      </c>
      <c r="F373" s="140">
        <v>0</v>
      </c>
      <c r="G373" s="140">
        <v>0</v>
      </c>
      <c r="H373" s="140">
        <v>0</v>
      </c>
      <c r="I373" s="140">
        <v>0</v>
      </c>
      <c r="J373" s="140">
        <v>0</v>
      </c>
      <c r="K373" s="140">
        <v>32</v>
      </c>
      <c r="L373" s="140">
        <f t="shared" si="76"/>
        <v>32</v>
      </c>
      <c r="N373" s="140">
        <v>0</v>
      </c>
      <c r="O373" s="140">
        <v>0</v>
      </c>
      <c r="P373" s="140">
        <v>0</v>
      </c>
      <c r="Q373" s="140">
        <v>0</v>
      </c>
      <c r="R373" s="140">
        <v>0</v>
      </c>
      <c r="S373" s="140">
        <v>0</v>
      </c>
      <c r="T373" s="140">
        <v>0</v>
      </c>
      <c r="U373" s="140">
        <v>27</v>
      </c>
      <c r="V373" s="140">
        <f t="shared" si="77"/>
        <v>27</v>
      </c>
      <c r="X373" s="98">
        <v>0</v>
      </c>
      <c r="Y373" s="98">
        <v>0</v>
      </c>
      <c r="Z373" s="98">
        <v>0</v>
      </c>
      <c r="AA373" s="98">
        <v>0</v>
      </c>
      <c r="AB373" s="98">
        <v>0</v>
      </c>
      <c r="AC373" s="98">
        <v>0</v>
      </c>
      <c r="AD373" s="98">
        <v>0</v>
      </c>
      <c r="AE373" s="98">
        <v>0</v>
      </c>
      <c r="AF373" s="98">
        <f t="shared" si="89"/>
        <v>0</v>
      </c>
      <c r="AH373" s="98">
        <v>22</v>
      </c>
      <c r="AJ373" s="98">
        <v>0</v>
      </c>
      <c r="AK373" s="98">
        <v>0</v>
      </c>
      <c r="AL373" s="380">
        <v>0</v>
      </c>
      <c r="AN373" s="214">
        <f t="shared" si="78"/>
        <v>117342</v>
      </c>
      <c r="AO373" s="214">
        <f t="shared" si="79"/>
        <v>0</v>
      </c>
      <c r="AP373" s="214">
        <f t="shared" si="80"/>
        <v>0</v>
      </c>
      <c r="AQ373" s="214">
        <f t="shared" si="81"/>
        <v>0</v>
      </c>
      <c r="AR373" s="214">
        <f t="shared" si="82"/>
        <v>0</v>
      </c>
      <c r="AS373" s="214">
        <f t="shared" si="83"/>
        <v>0</v>
      </c>
      <c r="AT373" s="214">
        <f t="shared" si="84"/>
        <v>0</v>
      </c>
      <c r="AU373" s="214">
        <f t="shared" si="85"/>
        <v>0</v>
      </c>
      <c r="AV373" s="214">
        <f t="shared" si="86"/>
        <v>117342</v>
      </c>
      <c r="AW373" s="215">
        <f t="shared" si="87"/>
        <v>117342</v>
      </c>
    </row>
    <row r="374" spans="1:49" ht="15" customHeight="1">
      <c r="A374" s="140" t="s">
        <v>483</v>
      </c>
      <c r="B374" s="211" t="s">
        <v>96</v>
      </c>
      <c r="C374" s="140" t="str">
        <f t="shared" si="75"/>
        <v>Trinity Academy - Pewaukee-WPCP</v>
      </c>
      <c r="D374" s="140">
        <v>6</v>
      </c>
      <c r="E374" s="140">
        <v>0</v>
      </c>
      <c r="F374" s="140">
        <v>0</v>
      </c>
      <c r="G374" s="140">
        <v>0</v>
      </c>
      <c r="H374" s="140">
        <v>0</v>
      </c>
      <c r="I374" s="140">
        <v>1</v>
      </c>
      <c r="J374" s="140">
        <v>18</v>
      </c>
      <c r="K374" s="140">
        <v>15</v>
      </c>
      <c r="L374" s="140">
        <f t="shared" si="76"/>
        <v>40</v>
      </c>
      <c r="N374" s="140">
        <v>3</v>
      </c>
      <c r="O374" s="140">
        <v>0</v>
      </c>
      <c r="P374" s="140">
        <v>0</v>
      </c>
      <c r="Q374" s="140">
        <v>0</v>
      </c>
      <c r="R374" s="140">
        <v>0</v>
      </c>
      <c r="S374" s="140">
        <v>0</v>
      </c>
      <c r="T374" s="140">
        <v>4</v>
      </c>
      <c r="U374" s="140">
        <v>4</v>
      </c>
      <c r="V374" s="140">
        <f t="shared" si="77"/>
        <v>11</v>
      </c>
      <c r="X374" s="98">
        <v>0</v>
      </c>
      <c r="Y374" s="98">
        <v>0</v>
      </c>
      <c r="Z374" s="98">
        <v>0</v>
      </c>
      <c r="AA374" s="98">
        <v>0</v>
      </c>
      <c r="AB374" s="98">
        <v>0</v>
      </c>
      <c r="AC374" s="98">
        <v>0</v>
      </c>
      <c r="AD374" s="98">
        <v>1</v>
      </c>
      <c r="AE374" s="98">
        <v>1</v>
      </c>
      <c r="AF374" s="98">
        <f t="shared" si="89"/>
        <v>2</v>
      </c>
      <c r="AH374" s="98">
        <v>6</v>
      </c>
      <c r="AJ374" s="98">
        <v>0</v>
      </c>
      <c r="AK374" s="98">
        <v>0</v>
      </c>
      <c r="AL374" s="380">
        <v>0</v>
      </c>
      <c r="AN374" s="214">
        <f t="shared" si="78"/>
        <v>39510.5</v>
      </c>
      <c r="AO374" s="214">
        <f t="shared" si="79"/>
        <v>6034.5</v>
      </c>
      <c r="AP374" s="214">
        <f t="shared" si="80"/>
        <v>0</v>
      </c>
      <c r="AQ374" s="214">
        <f t="shared" si="81"/>
        <v>0</v>
      </c>
      <c r="AR374" s="214">
        <f t="shared" si="82"/>
        <v>0</v>
      </c>
      <c r="AS374" s="214">
        <f t="shared" si="83"/>
        <v>0</v>
      </c>
      <c r="AT374" s="214">
        <f t="shared" si="84"/>
        <v>0</v>
      </c>
      <c r="AU374" s="214">
        <f t="shared" si="85"/>
        <v>16092</v>
      </c>
      <c r="AV374" s="214">
        <f t="shared" si="86"/>
        <v>17384</v>
      </c>
      <c r="AW374" s="215">
        <f t="shared" si="87"/>
        <v>39510.5</v>
      </c>
    </row>
    <row r="375" spans="1:49" ht="15" customHeight="1">
      <c r="A375" s="140" t="s">
        <v>484</v>
      </c>
      <c r="B375" s="211" t="s">
        <v>96</v>
      </c>
      <c r="C375" s="140" t="str">
        <f t="shared" si="75"/>
        <v>Trinity Evangelical Lutheran School - Brillion-WPCP</v>
      </c>
      <c r="D375" s="140">
        <v>17</v>
      </c>
      <c r="E375" s="140">
        <v>0</v>
      </c>
      <c r="F375" s="140">
        <v>0</v>
      </c>
      <c r="G375" s="140">
        <v>0</v>
      </c>
      <c r="H375" s="140">
        <v>0</v>
      </c>
      <c r="I375" s="140">
        <v>20</v>
      </c>
      <c r="J375" s="140">
        <v>86</v>
      </c>
      <c r="K375" s="140">
        <v>0</v>
      </c>
      <c r="L375" s="140">
        <f t="shared" si="76"/>
        <v>123</v>
      </c>
      <c r="N375" s="140">
        <v>4</v>
      </c>
      <c r="O375" s="140">
        <v>0</v>
      </c>
      <c r="P375" s="140">
        <v>0</v>
      </c>
      <c r="Q375" s="140">
        <v>0</v>
      </c>
      <c r="R375" s="140">
        <v>0</v>
      </c>
      <c r="S375" s="140">
        <v>4</v>
      </c>
      <c r="T375" s="140">
        <v>5</v>
      </c>
      <c r="U375" s="140">
        <v>0</v>
      </c>
      <c r="V375" s="140">
        <f t="shared" si="77"/>
        <v>13</v>
      </c>
      <c r="X375" s="98">
        <v>0</v>
      </c>
      <c r="Y375" s="98">
        <v>0</v>
      </c>
      <c r="Z375" s="98">
        <v>0</v>
      </c>
      <c r="AA375" s="98">
        <v>0</v>
      </c>
      <c r="AB375" s="98">
        <v>0</v>
      </c>
      <c r="AC375" s="98">
        <v>0</v>
      </c>
      <c r="AD375" s="98">
        <v>0</v>
      </c>
      <c r="AE375" s="98">
        <v>0</v>
      </c>
      <c r="AF375" s="98">
        <f t="shared" si="89"/>
        <v>0</v>
      </c>
      <c r="AH375" s="98">
        <v>10</v>
      </c>
      <c r="AJ375" s="98">
        <v>0</v>
      </c>
      <c r="AK375" s="98">
        <v>0</v>
      </c>
      <c r="AL375" s="380">
        <v>0</v>
      </c>
      <c r="AN375" s="214">
        <f t="shared" si="78"/>
        <v>44253</v>
      </c>
      <c r="AO375" s="214">
        <f t="shared" si="79"/>
        <v>8046</v>
      </c>
      <c r="AP375" s="214">
        <f t="shared" si="80"/>
        <v>0</v>
      </c>
      <c r="AQ375" s="214">
        <f t="shared" si="81"/>
        <v>0</v>
      </c>
      <c r="AR375" s="214">
        <f t="shared" si="82"/>
        <v>0</v>
      </c>
      <c r="AS375" s="214">
        <f t="shared" si="83"/>
        <v>0</v>
      </c>
      <c r="AT375" s="214">
        <f t="shared" si="84"/>
        <v>16092</v>
      </c>
      <c r="AU375" s="214">
        <f t="shared" si="85"/>
        <v>20115</v>
      </c>
      <c r="AV375" s="214">
        <f t="shared" si="86"/>
        <v>0</v>
      </c>
      <c r="AW375" s="215">
        <f t="shared" si="87"/>
        <v>44253</v>
      </c>
    </row>
    <row r="376" spans="1:49" ht="15" customHeight="1">
      <c r="A376" s="140" t="s">
        <v>159</v>
      </c>
      <c r="B376" s="211" t="s">
        <v>187</v>
      </c>
      <c r="C376" s="140" t="str">
        <f t="shared" si="75"/>
        <v>Trinity Lutheran School - Caledonia-MPCP</v>
      </c>
      <c r="D376" s="140">
        <v>0</v>
      </c>
      <c r="E376" s="140">
        <v>0</v>
      </c>
      <c r="F376" s="140">
        <v>0</v>
      </c>
      <c r="G376" s="140">
        <v>0</v>
      </c>
      <c r="H376" s="140">
        <v>0</v>
      </c>
      <c r="I376" s="140">
        <v>13</v>
      </c>
      <c r="J376" s="140">
        <v>164</v>
      </c>
      <c r="K376" s="140">
        <v>0</v>
      </c>
      <c r="L376" s="140">
        <f t="shared" si="76"/>
        <v>177</v>
      </c>
      <c r="N376" s="140">
        <v>0</v>
      </c>
      <c r="O376" s="140">
        <v>0</v>
      </c>
      <c r="P376" s="140">
        <v>0</v>
      </c>
      <c r="Q376" s="140">
        <v>0</v>
      </c>
      <c r="R376" s="140">
        <v>0</v>
      </c>
      <c r="S376" s="140">
        <v>0</v>
      </c>
      <c r="T376" s="140">
        <v>3</v>
      </c>
      <c r="U376" s="140">
        <v>0</v>
      </c>
      <c r="V376" s="140">
        <f t="shared" si="77"/>
        <v>3</v>
      </c>
      <c r="X376" s="98">
        <v>0</v>
      </c>
      <c r="Y376" s="98">
        <v>0</v>
      </c>
      <c r="Z376" s="98">
        <v>0</v>
      </c>
      <c r="AA376" s="98">
        <v>0</v>
      </c>
      <c r="AB376" s="98">
        <v>0</v>
      </c>
      <c r="AC376" s="98">
        <v>0</v>
      </c>
      <c r="AD376" s="98">
        <v>0</v>
      </c>
      <c r="AE376" s="98">
        <v>0</v>
      </c>
      <c r="AF376" s="98">
        <f t="shared" si="89"/>
        <v>0</v>
      </c>
      <c r="AH376" s="98">
        <v>1</v>
      </c>
      <c r="AJ376" s="98">
        <v>0</v>
      </c>
      <c r="AK376" s="98">
        <v>0</v>
      </c>
      <c r="AL376" s="380">
        <v>0</v>
      </c>
      <c r="AN376" s="214">
        <f t="shared" si="78"/>
        <v>12069</v>
      </c>
      <c r="AO376" s="214">
        <f t="shared" si="79"/>
        <v>0</v>
      </c>
      <c r="AP376" s="214">
        <f t="shared" si="80"/>
        <v>0</v>
      </c>
      <c r="AQ376" s="214">
        <f t="shared" si="81"/>
        <v>0</v>
      </c>
      <c r="AR376" s="214">
        <f t="shared" si="82"/>
        <v>0</v>
      </c>
      <c r="AS376" s="214">
        <f t="shared" si="83"/>
        <v>0</v>
      </c>
      <c r="AT376" s="214">
        <f t="shared" si="84"/>
        <v>0</v>
      </c>
      <c r="AU376" s="214">
        <f t="shared" si="85"/>
        <v>12069</v>
      </c>
      <c r="AV376" s="214">
        <f t="shared" si="86"/>
        <v>0</v>
      </c>
      <c r="AW376" s="215">
        <f t="shared" si="87"/>
        <v>12069</v>
      </c>
    </row>
    <row r="377" spans="1:49" ht="15" customHeight="1">
      <c r="A377" s="140" t="s">
        <v>159</v>
      </c>
      <c r="B377" s="211" t="s">
        <v>188</v>
      </c>
      <c r="C377" s="140" t="str">
        <f t="shared" si="75"/>
        <v>Trinity Lutheran School - Caledonia-RPCP</v>
      </c>
      <c r="D377" s="140">
        <v>0</v>
      </c>
      <c r="E377" s="140">
        <v>0</v>
      </c>
      <c r="F377" s="140">
        <v>0</v>
      </c>
      <c r="G377" s="140">
        <v>0</v>
      </c>
      <c r="H377" s="140">
        <v>0</v>
      </c>
      <c r="I377" s="140">
        <v>13</v>
      </c>
      <c r="J377" s="140">
        <v>164</v>
      </c>
      <c r="K377" s="140">
        <v>0</v>
      </c>
      <c r="L377" s="140">
        <f t="shared" si="76"/>
        <v>177</v>
      </c>
      <c r="N377" s="140">
        <v>0</v>
      </c>
      <c r="O377" s="140">
        <v>0</v>
      </c>
      <c r="P377" s="140">
        <v>0</v>
      </c>
      <c r="Q377" s="140">
        <v>0</v>
      </c>
      <c r="R377" s="140">
        <v>0</v>
      </c>
      <c r="S377" s="140">
        <v>7</v>
      </c>
      <c r="T377" s="140">
        <v>79</v>
      </c>
      <c r="U377" s="140">
        <v>0</v>
      </c>
      <c r="V377" s="140">
        <f t="shared" si="77"/>
        <v>86</v>
      </c>
      <c r="X377" s="98">
        <v>0</v>
      </c>
      <c r="Y377" s="98">
        <v>0</v>
      </c>
      <c r="Z377" s="98">
        <v>0</v>
      </c>
      <c r="AA377" s="98">
        <v>0</v>
      </c>
      <c r="AB377" s="98">
        <v>0</v>
      </c>
      <c r="AC377" s="98">
        <v>0</v>
      </c>
      <c r="AD377" s="98">
        <v>0</v>
      </c>
      <c r="AE377" s="98">
        <v>0</v>
      </c>
      <c r="AF377" s="98">
        <f t="shared" si="89"/>
        <v>0</v>
      </c>
      <c r="AH377" s="98">
        <v>54</v>
      </c>
      <c r="AJ377" s="98">
        <v>0</v>
      </c>
      <c r="AK377" s="98">
        <v>0</v>
      </c>
      <c r="AL377" s="380">
        <v>0</v>
      </c>
      <c r="AN377" s="214">
        <f t="shared" si="78"/>
        <v>345978</v>
      </c>
      <c r="AO377" s="214">
        <f t="shared" si="79"/>
        <v>0</v>
      </c>
      <c r="AP377" s="214">
        <f t="shared" si="80"/>
        <v>0</v>
      </c>
      <c r="AQ377" s="214">
        <f t="shared" si="81"/>
        <v>0</v>
      </c>
      <c r="AR377" s="214">
        <f t="shared" si="82"/>
        <v>0</v>
      </c>
      <c r="AS377" s="214">
        <f t="shared" si="83"/>
        <v>0</v>
      </c>
      <c r="AT377" s="214">
        <f t="shared" si="84"/>
        <v>28161</v>
      </c>
      <c r="AU377" s="214">
        <f t="shared" si="85"/>
        <v>317817</v>
      </c>
      <c r="AV377" s="214">
        <f t="shared" si="86"/>
        <v>0</v>
      </c>
      <c r="AW377" s="215">
        <f t="shared" si="87"/>
        <v>345978</v>
      </c>
    </row>
    <row r="378" spans="1:49" ht="15" customHeight="1">
      <c r="A378" s="140" t="s">
        <v>159</v>
      </c>
      <c r="B378" s="211" t="s">
        <v>96</v>
      </c>
      <c r="C378" s="140" t="str">
        <f t="shared" si="75"/>
        <v>Trinity Lutheran School - Caledonia-WPCP</v>
      </c>
      <c r="D378" s="140">
        <v>0</v>
      </c>
      <c r="E378" s="140">
        <v>0</v>
      </c>
      <c r="F378" s="140">
        <v>0</v>
      </c>
      <c r="G378" s="140">
        <v>0</v>
      </c>
      <c r="H378" s="140">
        <v>0</v>
      </c>
      <c r="I378" s="140">
        <v>13</v>
      </c>
      <c r="J378" s="140">
        <v>164</v>
      </c>
      <c r="K378" s="140">
        <v>0</v>
      </c>
      <c r="L378" s="140">
        <f t="shared" si="76"/>
        <v>177</v>
      </c>
      <c r="N378" s="140">
        <v>0</v>
      </c>
      <c r="O378" s="140">
        <v>0</v>
      </c>
      <c r="P378" s="140">
        <v>0</v>
      </c>
      <c r="Q378" s="140">
        <v>0</v>
      </c>
      <c r="R378" s="140">
        <v>0</v>
      </c>
      <c r="S378" s="140">
        <v>1</v>
      </c>
      <c r="T378" s="140">
        <v>2</v>
      </c>
      <c r="U378" s="140">
        <v>0</v>
      </c>
      <c r="V378" s="140">
        <f t="shared" si="77"/>
        <v>3</v>
      </c>
      <c r="X378" s="98">
        <v>0</v>
      </c>
      <c r="Y378" s="98">
        <v>0</v>
      </c>
      <c r="Z378" s="98">
        <v>0</v>
      </c>
      <c r="AA378" s="98">
        <v>0</v>
      </c>
      <c r="AB378" s="98">
        <v>0</v>
      </c>
      <c r="AC378" s="98">
        <v>0</v>
      </c>
      <c r="AD378" s="98">
        <v>0</v>
      </c>
      <c r="AE378" s="98">
        <v>0</v>
      </c>
      <c r="AF378" s="98">
        <f t="shared" si="89"/>
        <v>0</v>
      </c>
      <c r="AH378" s="98">
        <v>3</v>
      </c>
      <c r="AJ378" s="98">
        <v>0</v>
      </c>
      <c r="AK378" s="98">
        <v>0</v>
      </c>
      <c r="AL378" s="380">
        <v>0</v>
      </c>
      <c r="AN378" s="214">
        <f t="shared" si="78"/>
        <v>12069</v>
      </c>
      <c r="AO378" s="214">
        <f t="shared" si="79"/>
        <v>0</v>
      </c>
      <c r="AP378" s="214">
        <f t="shared" si="80"/>
        <v>0</v>
      </c>
      <c r="AQ378" s="214">
        <f t="shared" si="81"/>
        <v>0</v>
      </c>
      <c r="AR378" s="214">
        <f t="shared" si="82"/>
        <v>0</v>
      </c>
      <c r="AS378" s="214">
        <f t="shared" si="83"/>
        <v>0</v>
      </c>
      <c r="AT378" s="214">
        <f t="shared" si="84"/>
        <v>4023</v>
      </c>
      <c r="AU378" s="214">
        <f t="shared" si="85"/>
        <v>8046</v>
      </c>
      <c r="AV378" s="214">
        <f t="shared" si="86"/>
        <v>0</v>
      </c>
      <c r="AW378" s="215">
        <f t="shared" si="87"/>
        <v>12069</v>
      </c>
    </row>
    <row r="379" spans="1:49" ht="15" customHeight="1">
      <c r="A379" s="140" t="s">
        <v>485</v>
      </c>
      <c r="B379" s="211" t="s">
        <v>96</v>
      </c>
      <c r="C379" s="140" t="str">
        <f t="shared" si="75"/>
        <v>Trinity Lutheran School - Marinette-WPCP</v>
      </c>
      <c r="D379" s="140">
        <v>13</v>
      </c>
      <c r="E379" s="140">
        <v>0</v>
      </c>
      <c r="F379" s="140">
        <v>0</v>
      </c>
      <c r="G379" s="140">
        <v>0</v>
      </c>
      <c r="H379" s="140">
        <v>0</v>
      </c>
      <c r="I379" s="140">
        <v>11</v>
      </c>
      <c r="J379" s="140">
        <v>39</v>
      </c>
      <c r="K379" s="140">
        <v>0</v>
      </c>
      <c r="L379" s="140">
        <f t="shared" si="76"/>
        <v>63</v>
      </c>
      <c r="N379" s="140">
        <v>2</v>
      </c>
      <c r="O379" s="140">
        <v>0</v>
      </c>
      <c r="P379" s="140">
        <v>0</v>
      </c>
      <c r="Q379" s="140">
        <v>0</v>
      </c>
      <c r="R379" s="140">
        <v>0</v>
      </c>
      <c r="S379" s="140">
        <v>6</v>
      </c>
      <c r="T379" s="140">
        <v>8</v>
      </c>
      <c r="U379" s="140">
        <v>0</v>
      </c>
      <c r="V379" s="140">
        <f t="shared" si="77"/>
        <v>16</v>
      </c>
      <c r="X379" s="98">
        <v>0</v>
      </c>
      <c r="Y379" s="98">
        <v>0</v>
      </c>
      <c r="Z379" s="98">
        <v>0</v>
      </c>
      <c r="AA379" s="98">
        <v>0</v>
      </c>
      <c r="AB379" s="98">
        <v>0</v>
      </c>
      <c r="AC379" s="98">
        <v>0</v>
      </c>
      <c r="AD379" s="98">
        <v>0</v>
      </c>
      <c r="AE379" s="98">
        <v>0</v>
      </c>
      <c r="AF379" s="98">
        <f t="shared" si="89"/>
        <v>0</v>
      </c>
      <c r="AH379" s="98">
        <v>12</v>
      </c>
      <c r="AJ379" s="98">
        <v>0</v>
      </c>
      <c r="AK379" s="98">
        <v>0</v>
      </c>
      <c r="AL379" s="380">
        <v>0</v>
      </c>
      <c r="AN379" s="214">
        <f t="shared" si="78"/>
        <v>60345</v>
      </c>
      <c r="AO379" s="214">
        <f t="shared" si="79"/>
        <v>4023</v>
      </c>
      <c r="AP379" s="214">
        <f t="shared" si="80"/>
        <v>0</v>
      </c>
      <c r="AQ379" s="214">
        <f t="shared" si="81"/>
        <v>0</v>
      </c>
      <c r="AR379" s="214">
        <f t="shared" si="82"/>
        <v>0</v>
      </c>
      <c r="AS379" s="214">
        <f t="shared" si="83"/>
        <v>0</v>
      </c>
      <c r="AT379" s="214">
        <f t="shared" si="84"/>
        <v>24138</v>
      </c>
      <c r="AU379" s="214">
        <f t="shared" si="85"/>
        <v>32184</v>
      </c>
      <c r="AV379" s="214">
        <f t="shared" si="86"/>
        <v>0</v>
      </c>
      <c r="AW379" s="215">
        <f t="shared" si="87"/>
        <v>60345</v>
      </c>
    </row>
    <row r="380" spans="1:49" ht="15" customHeight="1">
      <c r="A380" s="140" t="s">
        <v>260</v>
      </c>
      <c r="B380" s="211" t="s">
        <v>187</v>
      </c>
      <c r="C380" s="140" t="str">
        <f t="shared" si="75"/>
        <v>Trinity Lutheran School - Mequon-MPCP</v>
      </c>
      <c r="D380" s="140">
        <v>16</v>
      </c>
      <c r="E380" s="140">
        <v>0</v>
      </c>
      <c r="F380" s="140">
        <v>0</v>
      </c>
      <c r="G380" s="140">
        <v>0</v>
      </c>
      <c r="H380" s="140">
        <v>0</v>
      </c>
      <c r="I380" s="140">
        <v>16</v>
      </c>
      <c r="J380" s="140">
        <v>114</v>
      </c>
      <c r="K380" s="140">
        <v>0</v>
      </c>
      <c r="L380" s="140">
        <f t="shared" si="76"/>
        <v>146</v>
      </c>
      <c r="N380" s="140">
        <v>5</v>
      </c>
      <c r="O380" s="140">
        <v>0</v>
      </c>
      <c r="P380" s="140">
        <v>0</v>
      </c>
      <c r="Q380" s="140">
        <v>0</v>
      </c>
      <c r="R380" s="140">
        <v>0</v>
      </c>
      <c r="S380" s="140">
        <v>3</v>
      </c>
      <c r="T380" s="140">
        <v>49</v>
      </c>
      <c r="U380" s="140">
        <v>0</v>
      </c>
      <c r="V380" s="140">
        <f t="shared" si="77"/>
        <v>57</v>
      </c>
      <c r="X380" s="98">
        <v>0</v>
      </c>
      <c r="Y380" s="98">
        <v>0</v>
      </c>
      <c r="Z380" s="98">
        <v>0</v>
      </c>
      <c r="AA380" s="98">
        <v>0</v>
      </c>
      <c r="AB380" s="98">
        <v>0</v>
      </c>
      <c r="AC380" s="98">
        <v>0</v>
      </c>
      <c r="AD380" s="98">
        <v>0</v>
      </c>
      <c r="AE380" s="98">
        <v>0</v>
      </c>
      <c r="AF380" s="98">
        <f t="shared" si="89"/>
        <v>0</v>
      </c>
      <c r="AH380" s="98">
        <v>35</v>
      </c>
      <c r="AJ380" s="98">
        <v>0</v>
      </c>
      <c r="AK380" s="98">
        <v>0</v>
      </c>
      <c r="AL380" s="380">
        <v>0</v>
      </c>
      <c r="AN380" s="214">
        <f t="shared" si="78"/>
        <v>219253.5</v>
      </c>
      <c r="AO380" s="214">
        <f t="shared" si="79"/>
        <v>10057.5</v>
      </c>
      <c r="AP380" s="214">
        <f t="shared" si="80"/>
        <v>0</v>
      </c>
      <c r="AQ380" s="214">
        <f t="shared" si="81"/>
        <v>0</v>
      </c>
      <c r="AR380" s="214">
        <f t="shared" si="82"/>
        <v>0</v>
      </c>
      <c r="AS380" s="214">
        <f t="shared" si="83"/>
        <v>0</v>
      </c>
      <c r="AT380" s="214">
        <f t="shared" si="84"/>
        <v>12069</v>
      </c>
      <c r="AU380" s="214">
        <f t="shared" si="85"/>
        <v>197127</v>
      </c>
      <c r="AV380" s="214">
        <f t="shared" si="86"/>
        <v>0</v>
      </c>
      <c r="AW380" s="215">
        <f t="shared" si="87"/>
        <v>219253.5</v>
      </c>
    </row>
    <row r="381" spans="1:49" ht="15" customHeight="1">
      <c r="A381" s="140" t="s">
        <v>260</v>
      </c>
      <c r="B381" s="211" t="s">
        <v>96</v>
      </c>
      <c r="C381" s="140" t="str">
        <f t="shared" si="75"/>
        <v>Trinity Lutheran School - Mequon-WPCP</v>
      </c>
      <c r="D381" s="140">
        <v>16</v>
      </c>
      <c r="E381" s="140">
        <v>0</v>
      </c>
      <c r="F381" s="140">
        <v>0</v>
      </c>
      <c r="G381" s="140">
        <v>0</v>
      </c>
      <c r="H381" s="140">
        <v>0</v>
      </c>
      <c r="I381" s="140">
        <v>16</v>
      </c>
      <c r="J381" s="140">
        <v>114</v>
      </c>
      <c r="K381" s="140">
        <v>0</v>
      </c>
      <c r="L381" s="140">
        <f t="shared" si="76"/>
        <v>146</v>
      </c>
      <c r="N381" s="140">
        <v>1</v>
      </c>
      <c r="O381" s="140">
        <v>0</v>
      </c>
      <c r="P381" s="140">
        <v>0</v>
      </c>
      <c r="Q381" s="140">
        <v>0</v>
      </c>
      <c r="R381" s="140">
        <v>0</v>
      </c>
      <c r="S381" s="140">
        <v>4</v>
      </c>
      <c r="T381" s="140">
        <v>11</v>
      </c>
      <c r="U381" s="140">
        <v>0</v>
      </c>
      <c r="V381" s="140">
        <f t="shared" si="77"/>
        <v>16</v>
      </c>
      <c r="X381" s="98">
        <v>0</v>
      </c>
      <c r="Y381" s="98">
        <v>0</v>
      </c>
      <c r="Z381" s="98">
        <v>0</v>
      </c>
      <c r="AA381" s="98">
        <v>0</v>
      </c>
      <c r="AB381" s="98">
        <v>0</v>
      </c>
      <c r="AC381" s="98">
        <v>0</v>
      </c>
      <c r="AD381" s="98">
        <v>0</v>
      </c>
      <c r="AE381" s="98">
        <v>0</v>
      </c>
      <c r="AF381" s="98">
        <f t="shared" si="89"/>
        <v>0</v>
      </c>
      <c r="AH381" s="98">
        <v>11</v>
      </c>
      <c r="AJ381" s="98">
        <v>0</v>
      </c>
      <c r="AK381" s="98">
        <v>0</v>
      </c>
      <c r="AL381" s="380">
        <v>0</v>
      </c>
      <c r="AN381" s="214">
        <f t="shared" si="78"/>
        <v>62356.5</v>
      </c>
      <c r="AO381" s="214">
        <f t="shared" si="79"/>
        <v>2011.5</v>
      </c>
      <c r="AP381" s="214">
        <f t="shared" si="80"/>
        <v>0</v>
      </c>
      <c r="AQ381" s="214">
        <f t="shared" si="81"/>
        <v>0</v>
      </c>
      <c r="AR381" s="214">
        <f t="shared" si="82"/>
        <v>0</v>
      </c>
      <c r="AS381" s="214">
        <f t="shared" si="83"/>
        <v>0</v>
      </c>
      <c r="AT381" s="214">
        <f t="shared" si="84"/>
        <v>16092</v>
      </c>
      <c r="AU381" s="214">
        <f t="shared" si="85"/>
        <v>44253</v>
      </c>
      <c r="AV381" s="214">
        <f t="shared" si="86"/>
        <v>0</v>
      </c>
      <c r="AW381" s="215">
        <f t="shared" si="87"/>
        <v>62356.5</v>
      </c>
    </row>
    <row r="382" spans="1:49" ht="15" customHeight="1">
      <c r="A382" s="140" t="s">
        <v>180</v>
      </c>
      <c r="B382" s="211" t="s">
        <v>96</v>
      </c>
      <c r="C382" s="140" t="str">
        <f t="shared" si="75"/>
        <v>Trinity Lutheran School - Merrill-WPCP</v>
      </c>
      <c r="D382" s="140">
        <v>0</v>
      </c>
      <c r="E382" s="140">
        <v>0</v>
      </c>
      <c r="F382" s="140">
        <v>0</v>
      </c>
      <c r="G382" s="140">
        <v>0</v>
      </c>
      <c r="H382" s="140">
        <v>0</v>
      </c>
      <c r="I382" s="140">
        <v>15</v>
      </c>
      <c r="J382" s="140">
        <v>121</v>
      </c>
      <c r="K382" s="140">
        <v>0</v>
      </c>
      <c r="L382" s="140">
        <f t="shared" si="76"/>
        <v>136</v>
      </c>
      <c r="N382" s="140">
        <v>0</v>
      </c>
      <c r="O382" s="140">
        <v>0</v>
      </c>
      <c r="P382" s="140">
        <v>0</v>
      </c>
      <c r="Q382" s="140">
        <v>0</v>
      </c>
      <c r="R382" s="140">
        <v>0</v>
      </c>
      <c r="S382" s="140">
        <v>5</v>
      </c>
      <c r="T382" s="140">
        <v>33</v>
      </c>
      <c r="U382" s="140">
        <v>0</v>
      </c>
      <c r="V382" s="140">
        <f t="shared" si="77"/>
        <v>38</v>
      </c>
      <c r="X382" s="98">
        <v>0</v>
      </c>
      <c r="Y382" s="98">
        <v>0</v>
      </c>
      <c r="Z382" s="98">
        <v>0</v>
      </c>
      <c r="AA382" s="98">
        <v>0</v>
      </c>
      <c r="AB382" s="98">
        <v>0</v>
      </c>
      <c r="AC382" s="98">
        <v>0</v>
      </c>
      <c r="AD382" s="98">
        <v>0</v>
      </c>
      <c r="AE382" s="98">
        <v>0</v>
      </c>
      <c r="AF382" s="98">
        <f t="shared" si="89"/>
        <v>0</v>
      </c>
      <c r="AH382" s="98">
        <v>27</v>
      </c>
      <c r="AJ382" s="98">
        <v>0</v>
      </c>
      <c r="AK382" s="98">
        <v>0</v>
      </c>
      <c r="AL382" s="380">
        <v>0</v>
      </c>
      <c r="AN382" s="214">
        <f t="shared" si="78"/>
        <v>152874</v>
      </c>
      <c r="AO382" s="214">
        <f t="shared" si="79"/>
        <v>0</v>
      </c>
      <c r="AP382" s="214">
        <f t="shared" si="80"/>
        <v>0</v>
      </c>
      <c r="AQ382" s="214">
        <f t="shared" si="81"/>
        <v>0</v>
      </c>
      <c r="AR382" s="214">
        <f t="shared" si="82"/>
        <v>0</v>
      </c>
      <c r="AS382" s="214">
        <f t="shared" si="83"/>
        <v>0</v>
      </c>
      <c r="AT382" s="214">
        <f t="shared" si="84"/>
        <v>20115</v>
      </c>
      <c r="AU382" s="214">
        <f t="shared" si="85"/>
        <v>132759</v>
      </c>
      <c r="AV382" s="214">
        <f t="shared" si="86"/>
        <v>0</v>
      </c>
      <c r="AW382" s="215">
        <f t="shared" si="87"/>
        <v>152874</v>
      </c>
    </row>
    <row r="383" spans="1:49" ht="15" customHeight="1">
      <c r="A383" s="140" t="s">
        <v>359</v>
      </c>
      <c r="B383" s="211" t="s">
        <v>96</v>
      </c>
      <c r="C383" s="140" t="str">
        <f aca="true" t="shared" si="90" ref="C383:C414">A383&amp;"-"&amp;B383</f>
        <v>Trinity Lutheran School - Neenah-WPCP</v>
      </c>
      <c r="D383" s="140">
        <v>11</v>
      </c>
      <c r="E383" s="140">
        <v>0</v>
      </c>
      <c r="F383" s="140">
        <v>2</v>
      </c>
      <c r="G383" s="140">
        <v>0</v>
      </c>
      <c r="H383" s="140">
        <v>0</v>
      </c>
      <c r="I383" s="140">
        <v>5</v>
      </c>
      <c r="J383" s="140">
        <v>88</v>
      </c>
      <c r="K383" s="140">
        <v>0</v>
      </c>
      <c r="L383" s="140">
        <f aca="true" t="shared" si="91" ref="L383:L414">SUM(D383:K383)</f>
        <v>106</v>
      </c>
      <c r="N383" s="140">
        <v>1</v>
      </c>
      <c r="O383" s="140">
        <v>0</v>
      </c>
      <c r="P383" s="140">
        <v>0</v>
      </c>
      <c r="Q383" s="140">
        <v>0</v>
      </c>
      <c r="R383" s="140">
        <v>0</v>
      </c>
      <c r="S383" s="140">
        <v>2</v>
      </c>
      <c r="T383" s="140">
        <v>15</v>
      </c>
      <c r="U383" s="140">
        <v>0</v>
      </c>
      <c r="V383" s="140">
        <f aca="true" t="shared" si="92" ref="V383:V414">SUM(N383:U383)</f>
        <v>18</v>
      </c>
      <c r="X383" s="98">
        <v>0</v>
      </c>
      <c r="Y383" s="98">
        <v>0</v>
      </c>
      <c r="Z383" s="98">
        <v>0</v>
      </c>
      <c r="AA383" s="98">
        <v>0</v>
      </c>
      <c r="AB383" s="98">
        <v>0</v>
      </c>
      <c r="AC383" s="98">
        <v>0</v>
      </c>
      <c r="AD383" s="98">
        <v>0</v>
      </c>
      <c r="AE383" s="98">
        <v>0</v>
      </c>
      <c r="AF383" s="98">
        <f t="shared" si="89"/>
        <v>0</v>
      </c>
      <c r="AH383" s="98">
        <v>13</v>
      </c>
      <c r="AJ383" s="98">
        <v>0</v>
      </c>
      <c r="AK383" s="98">
        <v>0</v>
      </c>
      <c r="AL383" s="380">
        <v>0</v>
      </c>
      <c r="AN383" s="214">
        <f aca="true" t="shared" si="93" ref="AN383:AN414">SUM(AO383:AV383)</f>
        <v>70402.5</v>
      </c>
      <c r="AO383" s="214">
        <f aca="true" t="shared" si="94" ref="AO383:AO414">ROUND(AO$1*AO$2*N383,2)</f>
        <v>2011.5</v>
      </c>
      <c r="AP383" s="214">
        <f aca="true" t="shared" si="95" ref="AP383:AP414">ROUND(AP$1*AP$2*O383,2)</f>
        <v>0</v>
      </c>
      <c r="AQ383" s="214">
        <f aca="true" t="shared" si="96" ref="AQ383:AQ414">ROUND(AQ$1*AQ$2*P383,2)</f>
        <v>0</v>
      </c>
      <c r="AR383" s="214">
        <f aca="true" t="shared" si="97" ref="AR383:AR414">ROUND(AR$1*AR$2*Q383,2)</f>
        <v>0</v>
      </c>
      <c r="AS383" s="214">
        <f aca="true" t="shared" si="98" ref="AS383:AS414">ROUND(AS$1*AS$2*R383,2)</f>
        <v>0</v>
      </c>
      <c r="AT383" s="214">
        <f aca="true" t="shared" si="99" ref="AT383:AT414">ROUND(AT$1*AT$2*S383,2)</f>
        <v>8046</v>
      </c>
      <c r="AU383" s="214">
        <f aca="true" t="shared" si="100" ref="AU383:AU414">ROUND(AU$1*AU$2*T383,2)</f>
        <v>60345</v>
      </c>
      <c r="AV383" s="214">
        <f aca="true" t="shared" si="101" ref="AV383:AV414">ROUND(AV$1*AV$2*U383,2)</f>
        <v>0</v>
      </c>
      <c r="AW383" s="215">
        <f aca="true" t="shared" si="102" ref="AW383:AW414">SUM(AO383:AV383)</f>
        <v>70402.5</v>
      </c>
    </row>
    <row r="384" spans="1:49" ht="15" customHeight="1">
      <c r="A384" s="140" t="s">
        <v>360</v>
      </c>
      <c r="B384" s="211" t="s">
        <v>96</v>
      </c>
      <c r="C384" s="140" t="str">
        <f t="shared" si="90"/>
        <v>Trinity Lutheran School - Oshkosh-WPCP</v>
      </c>
      <c r="D384" s="140">
        <v>5</v>
      </c>
      <c r="E384" s="140">
        <v>0</v>
      </c>
      <c r="F384" s="140">
        <v>0</v>
      </c>
      <c r="G384" s="140">
        <v>0</v>
      </c>
      <c r="H384" s="140">
        <v>0</v>
      </c>
      <c r="I384" s="140">
        <v>0</v>
      </c>
      <c r="J384" s="140">
        <v>36</v>
      </c>
      <c r="K384" s="140">
        <v>0</v>
      </c>
      <c r="L384" s="140">
        <f t="shared" si="91"/>
        <v>41</v>
      </c>
      <c r="N384" s="140">
        <v>5</v>
      </c>
      <c r="O384" s="140">
        <v>0</v>
      </c>
      <c r="P384" s="140">
        <v>0</v>
      </c>
      <c r="Q384" s="140">
        <v>0</v>
      </c>
      <c r="R384" s="140">
        <v>0</v>
      </c>
      <c r="S384" s="140">
        <v>0</v>
      </c>
      <c r="T384" s="140">
        <v>13</v>
      </c>
      <c r="U384" s="140">
        <v>0</v>
      </c>
      <c r="V384" s="140">
        <f t="shared" si="92"/>
        <v>18</v>
      </c>
      <c r="X384" s="98">
        <v>0</v>
      </c>
      <c r="Y384" s="98">
        <v>0</v>
      </c>
      <c r="Z384" s="98">
        <v>0</v>
      </c>
      <c r="AA384" s="98">
        <v>0</v>
      </c>
      <c r="AB384" s="98">
        <v>0</v>
      </c>
      <c r="AC384" s="98">
        <v>0</v>
      </c>
      <c r="AD384" s="98">
        <v>0</v>
      </c>
      <c r="AE384" s="98">
        <v>0</v>
      </c>
      <c r="AF384" s="98">
        <f t="shared" si="89"/>
        <v>0</v>
      </c>
      <c r="AH384" s="98">
        <v>10</v>
      </c>
      <c r="AJ384" s="98">
        <v>0</v>
      </c>
      <c r="AK384" s="98">
        <v>0</v>
      </c>
      <c r="AL384" s="380">
        <v>0</v>
      </c>
      <c r="AN384" s="214">
        <f t="shared" si="93"/>
        <v>62356.5</v>
      </c>
      <c r="AO384" s="214">
        <f t="shared" si="94"/>
        <v>10057.5</v>
      </c>
      <c r="AP384" s="214">
        <f t="shared" si="95"/>
        <v>0</v>
      </c>
      <c r="AQ384" s="214">
        <f t="shared" si="96"/>
        <v>0</v>
      </c>
      <c r="AR384" s="214">
        <f t="shared" si="97"/>
        <v>0</v>
      </c>
      <c r="AS384" s="214">
        <f t="shared" si="98"/>
        <v>0</v>
      </c>
      <c r="AT384" s="214">
        <f t="shared" si="99"/>
        <v>0</v>
      </c>
      <c r="AU384" s="214">
        <f t="shared" si="100"/>
        <v>52299</v>
      </c>
      <c r="AV384" s="214">
        <f t="shared" si="101"/>
        <v>0</v>
      </c>
      <c r="AW384" s="215">
        <f t="shared" si="102"/>
        <v>62356.5</v>
      </c>
    </row>
    <row r="385" spans="1:49" ht="15" customHeight="1">
      <c r="A385" s="140" t="s">
        <v>197</v>
      </c>
      <c r="B385" s="211" t="s">
        <v>188</v>
      </c>
      <c r="C385" s="140" t="str">
        <f t="shared" si="90"/>
        <v>Trinity Lutheran School - Racine-RPCP</v>
      </c>
      <c r="D385" s="140">
        <v>19</v>
      </c>
      <c r="E385" s="140">
        <v>0</v>
      </c>
      <c r="F385" s="140">
        <v>0</v>
      </c>
      <c r="G385" s="140">
        <v>0</v>
      </c>
      <c r="H385" s="140">
        <v>0</v>
      </c>
      <c r="I385" s="140">
        <v>24</v>
      </c>
      <c r="J385" s="140">
        <v>179</v>
      </c>
      <c r="K385" s="140">
        <v>0</v>
      </c>
      <c r="L385" s="140">
        <f t="shared" si="91"/>
        <v>222</v>
      </c>
      <c r="N385" s="140">
        <v>16</v>
      </c>
      <c r="O385" s="140">
        <v>0</v>
      </c>
      <c r="P385" s="140">
        <v>0</v>
      </c>
      <c r="Q385" s="140">
        <v>0</v>
      </c>
      <c r="R385" s="140">
        <v>0</v>
      </c>
      <c r="S385" s="140">
        <v>22</v>
      </c>
      <c r="T385" s="140">
        <v>148</v>
      </c>
      <c r="U385" s="140">
        <v>0</v>
      </c>
      <c r="V385" s="140">
        <f t="shared" si="92"/>
        <v>186</v>
      </c>
      <c r="X385" s="98">
        <v>0</v>
      </c>
      <c r="Y385" s="98">
        <v>0</v>
      </c>
      <c r="Z385" s="98">
        <v>0</v>
      </c>
      <c r="AA385" s="98">
        <v>0</v>
      </c>
      <c r="AB385" s="98">
        <v>0</v>
      </c>
      <c r="AC385" s="98">
        <v>0</v>
      </c>
      <c r="AD385" s="98">
        <v>0</v>
      </c>
      <c r="AE385" s="98">
        <v>0</v>
      </c>
      <c r="AF385" s="98">
        <f t="shared" si="89"/>
        <v>0</v>
      </c>
      <c r="AH385" s="98">
        <v>123</v>
      </c>
      <c r="AJ385" s="98">
        <v>0</v>
      </c>
      <c r="AK385" s="98">
        <v>0</v>
      </c>
      <c r="AL385" s="380">
        <v>0</v>
      </c>
      <c r="AN385" s="214">
        <f t="shared" si="93"/>
        <v>716094</v>
      </c>
      <c r="AO385" s="214">
        <f t="shared" si="94"/>
        <v>32184</v>
      </c>
      <c r="AP385" s="214">
        <f t="shared" si="95"/>
        <v>0</v>
      </c>
      <c r="AQ385" s="214">
        <f t="shared" si="96"/>
        <v>0</v>
      </c>
      <c r="AR385" s="214">
        <f t="shared" si="97"/>
        <v>0</v>
      </c>
      <c r="AS385" s="214">
        <f t="shared" si="98"/>
        <v>0</v>
      </c>
      <c r="AT385" s="214">
        <f t="shared" si="99"/>
        <v>88506</v>
      </c>
      <c r="AU385" s="214">
        <f t="shared" si="100"/>
        <v>595404</v>
      </c>
      <c r="AV385" s="214">
        <f t="shared" si="101"/>
        <v>0</v>
      </c>
      <c r="AW385" s="215">
        <f t="shared" si="102"/>
        <v>716094</v>
      </c>
    </row>
    <row r="386" spans="1:49" ht="15" customHeight="1">
      <c r="A386" s="140" t="s">
        <v>160</v>
      </c>
      <c r="B386" s="211" t="s">
        <v>96</v>
      </c>
      <c r="C386" s="140" t="str">
        <f t="shared" si="90"/>
        <v>Trinity Lutheran School - Sheboygan-WPCP</v>
      </c>
      <c r="D386" s="140">
        <v>6</v>
      </c>
      <c r="E386" s="140">
        <v>0</v>
      </c>
      <c r="F386" s="140">
        <v>0</v>
      </c>
      <c r="G386" s="140">
        <v>0</v>
      </c>
      <c r="H386" s="140">
        <v>0</v>
      </c>
      <c r="I386" s="140">
        <v>5</v>
      </c>
      <c r="J386" s="140">
        <v>30</v>
      </c>
      <c r="K386" s="140">
        <v>0</v>
      </c>
      <c r="L386" s="140">
        <f t="shared" si="91"/>
        <v>41</v>
      </c>
      <c r="N386" s="140">
        <v>6</v>
      </c>
      <c r="O386" s="140">
        <v>0</v>
      </c>
      <c r="P386" s="140">
        <v>0</v>
      </c>
      <c r="Q386" s="140">
        <v>0</v>
      </c>
      <c r="R386" s="140">
        <v>0</v>
      </c>
      <c r="S386" s="140">
        <v>5</v>
      </c>
      <c r="T386" s="140">
        <v>30</v>
      </c>
      <c r="U386" s="140">
        <v>0</v>
      </c>
      <c r="V386" s="140">
        <f t="shared" si="92"/>
        <v>41</v>
      </c>
      <c r="X386" s="98">
        <v>0</v>
      </c>
      <c r="Y386" s="98">
        <v>0</v>
      </c>
      <c r="Z386" s="98">
        <v>0</v>
      </c>
      <c r="AA386" s="98">
        <v>0</v>
      </c>
      <c r="AB386" s="98">
        <v>0</v>
      </c>
      <c r="AC386" s="98">
        <v>0</v>
      </c>
      <c r="AD386" s="98">
        <v>0</v>
      </c>
      <c r="AE386" s="98">
        <v>0</v>
      </c>
      <c r="AF386" s="98">
        <f t="shared" si="89"/>
        <v>0</v>
      </c>
      <c r="AH386" s="98">
        <v>26</v>
      </c>
      <c r="AJ386" s="98">
        <v>0</v>
      </c>
      <c r="AK386" s="98">
        <v>0</v>
      </c>
      <c r="AL386" s="380">
        <v>0</v>
      </c>
      <c r="AN386" s="214">
        <f t="shared" si="93"/>
        <v>152874</v>
      </c>
      <c r="AO386" s="214">
        <f t="shared" si="94"/>
        <v>12069</v>
      </c>
      <c r="AP386" s="214">
        <f t="shared" si="95"/>
        <v>0</v>
      </c>
      <c r="AQ386" s="214">
        <f t="shared" si="96"/>
        <v>0</v>
      </c>
      <c r="AR386" s="214">
        <f t="shared" si="97"/>
        <v>0</v>
      </c>
      <c r="AS386" s="214">
        <f t="shared" si="98"/>
        <v>0</v>
      </c>
      <c r="AT386" s="214">
        <f t="shared" si="99"/>
        <v>20115</v>
      </c>
      <c r="AU386" s="214">
        <f t="shared" si="100"/>
        <v>120690</v>
      </c>
      <c r="AV386" s="214">
        <f t="shared" si="101"/>
        <v>0</v>
      </c>
      <c r="AW386" s="215">
        <f t="shared" si="102"/>
        <v>152874</v>
      </c>
    </row>
    <row r="387" spans="1:49" ht="15" customHeight="1">
      <c r="A387" s="140" t="s">
        <v>486</v>
      </c>
      <c r="B387" s="211" t="s">
        <v>187</v>
      </c>
      <c r="C387" s="140" t="str">
        <f>A387&amp;"-"&amp;B387</f>
        <v>Trinity Lutheran School - Waukesha-MPCP</v>
      </c>
      <c r="D387" s="140">
        <v>19</v>
      </c>
      <c r="E387" s="140">
        <v>0</v>
      </c>
      <c r="F387" s="140">
        <v>0</v>
      </c>
      <c r="G387" s="140">
        <v>0</v>
      </c>
      <c r="H387" s="140">
        <v>0</v>
      </c>
      <c r="I387" s="140">
        <v>15</v>
      </c>
      <c r="J387" s="140">
        <v>125</v>
      </c>
      <c r="K387" s="140">
        <v>0</v>
      </c>
      <c r="L387" s="140">
        <f>SUM(D387:K387)</f>
        <v>159</v>
      </c>
      <c r="N387" s="140">
        <v>0</v>
      </c>
      <c r="O387" s="140">
        <v>0</v>
      </c>
      <c r="P387" s="140">
        <v>0</v>
      </c>
      <c r="Q387" s="140">
        <v>0</v>
      </c>
      <c r="R387" s="140">
        <v>0</v>
      </c>
      <c r="S387" s="140">
        <v>0</v>
      </c>
      <c r="T387" s="140">
        <v>0</v>
      </c>
      <c r="U387" s="140">
        <v>0</v>
      </c>
      <c r="V387" s="140">
        <f>SUM(N387:U387)</f>
        <v>0</v>
      </c>
      <c r="X387" s="98">
        <v>0</v>
      </c>
      <c r="Y387" s="98">
        <v>0</v>
      </c>
      <c r="Z387" s="98">
        <v>0</v>
      </c>
      <c r="AA387" s="98">
        <v>0</v>
      </c>
      <c r="AB387" s="98">
        <v>0</v>
      </c>
      <c r="AC387" s="98">
        <v>0</v>
      </c>
      <c r="AD387" s="98">
        <v>0</v>
      </c>
      <c r="AE387" s="98">
        <v>0</v>
      </c>
      <c r="AF387" s="98">
        <f>SUM(X387:AE387)</f>
        <v>0</v>
      </c>
      <c r="AH387" s="98">
        <v>0</v>
      </c>
      <c r="AJ387" s="98">
        <v>0</v>
      </c>
      <c r="AK387" s="98">
        <v>0</v>
      </c>
      <c r="AL387" s="380">
        <v>0</v>
      </c>
      <c r="AN387" s="214">
        <f>SUM(AO387:AV387)</f>
        <v>0</v>
      </c>
      <c r="AO387" s="214">
        <f aca="true" t="shared" si="103" ref="AO387:AV387">ROUND(AO$1*AO$2*N387,2)</f>
        <v>0</v>
      </c>
      <c r="AP387" s="214">
        <f t="shared" si="103"/>
        <v>0</v>
      </c>
      <c r="AQ387" s="214">
        <f t="shared" si="103"/>
        <v>0</v>
      </c>
      <c r="AR387" s="214">
        <f t="shared" si="103"/>
        <v>0</v>
      </c>
      <c r="AS387" s="214">
        <f t="shared" si="103"/>
        <v>0</v>
      </c>
      <c r="AT387" s="214">
        <f t="shared" si="103"/>
        <v>0</v>
      </c>
      <c r="AU387" s="214">
        <f t="shared" si="103"/>
        <v>0</v>
      </c>
      <c r="AV387" s="214">
        <f t="shared" si="103"/>
        <v>0</v>
      </c>
      <c r="AW387" s="215">
        <f>SUM(AO387:AV387)</f>
        <v>0</v>
      </c>
    </row>
    <row r="388" spans="1:49" ht="15" customHeight="1">
      <c r="A388" s="140" t="s">
        <v>486</v>
      </c>
      <c r="B388" s="211" t="s">
        <v>96</v>
      </c>
      <c r="C388" s="140" t="str">
        <f t="shared" si="90"/>
        <v>Trinity Lutheran School - Waukesha-WPCP</v>
      </c>
      <c r="D388" s="140">
        <v>19</v>
      </c>
      <c r="E388" s="140">
        <v>0</v>
      </c>
      <c r="F388" s="140">
        <v>0</v>
      </c>
      <c r="G388" s="140">
        <v>0</v>
      </c>
      <c r="H388" s="140">
        <v>0</v>
      </c>
      <c r="I388" s="140">
        <v>15</v>
      </c>
      <c r="J388" s="140">
        <v>125</v>
      </c>
      <c r="K388" s="140">
        <v>0</v>
      </c>
      <c r="L388" s="140">
        <f t="shared" si="91"/>
        <v>159</v>
      </c>
      <c r="N388" s="140">
        <v>2</v>
      </c>
      <c r="O388" s="140">
        <v>0</v>
      </c>
      <c r="P388" s="140">
        <v>0</v>
      </c>
      <c r="Q388" s="140">
        <v>0</v>
      </c>
      <c r="R388" s="140">
        <v>0</v>
      </c>
      <c r="S388" s="140">
        <v>6</v>
      </c>
      <c r="T388" s="140">
        <v>4</v>
      </c>
      <c r="U388" s="140">
        <v>0</v>
      </c>
      <c r="V388" s="140">
        <f t="shared" si="92"/>
        <v>12</v>
      </c>
      <c r="X388" s="98">
        <v>0</v>
      </c>
      <c r="Y388" s="98">
        <v>0</v>
      </c>
      <c r="Z388" s="98">
        <v>0</v>
      </c>
      <c r="AA388" s="98">
        <v>0</v>
      </c>
      <c r="AB388" s="98">
        <v>0</v>
      </c>
      <c r="AC388" s="98">
        <v>0</v>
      </c>
      <c r="AD388" s="98">
        <v>0</v>
      </c>
      <c r="AE388" s="98">
        <v>0</v>
      </c>
      <c r="AF388" s="98">
        <f t="shared" si="89"/>
        <v>0</v>
      </c>
      <c r="AH388" s="98">
        <v>9</v>
      </c>
      <c r="AJ388" s="98">
        <v>0</v>
      </c>
      <c r="AK388" s="98">
        <v>0</v>
      </c>
      <c r="AL388" s="380">
        <v>0</v>
      </c>
      <c r="AN388" s="214">
        <f t="shared" si="93"/>
        <v>44253</v>
      </c>
      <c r="AO388" s="214">
        <f t="shared" si="94"/>
        <v>4023</v>
      </c>
      <c r="AP388" s="214">
        <f t="shared" si="95"/>
        <v>0</v>
      </c>
      <c r="AQ388" s="214">
        <f t="shared" si="96"/>
        <v>0</v>
      </c>
      <c r="AR388" s="214">
        <f t="shared" si="97"/>
        <v>0</v>
      </c>
      <c r="AS388" s="214">
        <f t="shared" si="98"/>
        <v>0</v>
      </c>
      <c r="AT388" s="214">
        <f t="shared" si="99"/>
        <v>24138</v>
      </c>
      <c r="AU388" s="214">
        <f t="shared" si="100"/>
        <v>16092</v>
      </c>
      <c r="AV388" s="214">
        <f t="shared" si="101"/>
        <v>0</v>
      </c>
      <c r="AW388" s="215">
        <f t="shared" si="102"/>
        <v>44253</v>
      </c>
    </row>
    <row r="389" spans="1:49" ht="15" customHeight="1">
      <c r="A389" s="140" t="s">
        <v>181</v>
      </c>
      <c r="B389" s="211" t="s">
        <v>96</v>
      </c>
      <c r="C389" s="140" t="str">
        <f t="shared" si="90"/>
        <v>Trinity Lutheran School - Wausau-WPCP</v>
      </c>
      <c r="D389" s="140">
        <v>20</v>
      </c>
      <c r="E389" s="140">
        <v>0</v>
      </c>
      <c r="F389" s="140">
        <v>0</v>
      </c>
      <c r="G389" s="140">
        <v>0</v>
      </c>
      <c r="H389" s="140">
        <v>0</v>
      </c>
      <c r="I389" s="140">
        <v>24</v>
      </c>
      <c r="J389" s="140">
        <v>114</v>
      </c>
      <c r="K389" s="140">
        <v>0</v>
      </c>
      <c r="L389" s="140">
        <f t="shared" si="91"/>
        <v>158</v>
      </c>
      <c r="N389" s="140">
        <v>4</v>
      </c>
      <c r="O389" s="140">
        <v>0</v>
      </c>
      <c r="P389" s="140">
        <v>0</v>
      </c>
      <c r="Q389" s="140">
        <v>0</v>
      </c>
      <c r="R389" s="140">
        <v>0</v>
      </c>
      <c r="S389" s="140">
        <v>8</v>
      </c>
      <c r="T389" s="140">
        <v>35</v>
      </c>
      <c r="U389" s="140">
        <v>0</v>
      </c>
      <c r="V389" s="140">
        <f t="shared" si="92"/>
        <v>47</v>
      </c>
      <c r="X389" s="98">
        <v>0</v>
      </c>
      <c r="Y389" s="98">
        <v>0</v>
      </c>
      <c r="Z389" s="98">
        <v>0</v>
      </c>
      <c r="AA389" s="98">
        <v>0</v>
      </c>
      <c r="AB389" s="98">
        <v>0</v>
      </c>
      <c r="AC389" s="98">
        <v>0</v>
      </c>
      <c r="AD389" s="98">
        <v>0</v>
      </c>
      <c r="AE389" s="98">
        <v>0</v>
      </c>
      <c r="AF389" s="98">
        <f t="shared" si="89"/>
        <v>0</v>
      </c>
      <c r="AH389" s="98">
        <v>32</v>
      </c>
      <c r="AJ389" s="98">
        <v>0</v>
      </c>
      <c r="AK389" s="98">
        <v>0</v>
      </c>
      <c r="AL389" s="380">
        <v>0</v>
      </c>
      <c r="AN389" s="214">
        <f t="shared" si="93"/>
        <v>181035</v>
      </c>
      <c r="AO389" s="214">
        <f t="shared" si="94"/>
        <v>8046</v>
      </c>
      <c r="AP389" s="214">
        <f t="shared" si="95"/>
        <v>0</v>
      </c>
      <c r="AQ389" s="214">
        <f t="shared" si="96"/>
        <v>0</v>
      </c>
      <c r="AR389" s="214">
        <f t="shared" si="97"/>
        <v>0</v>
      </c>
      <c r="AS389" s="214">
        <f t="shared" si="98"/>
        <v>0</v>
      </c>
      <c r="AT389" s="214">
        <f t="shared" si="99"/>
        <v>32184</v>
      </c>
      <c r="AU389" s="214">
        <f t="shared" si="100"/>
        <v>140805</v>
      </c>
      <c r="AV389" s="214">
        <f t="shared" si="101"/>
        <v>0</v>
      </c>
      <c r="AW389" s="215">
        <f t="shared" si="102"/>
        <v>181035</v>
      </c>
    </row>
    <row r="390" spans="1:49" ht="15" customHeight="1">
      <c r="A390" s="140" t="s">
        <v>487</v>
      </c>
      <c r="B390" s="211" t="s">
        <v>96</v>
      </c>
      <c r="C390" s="140" t="str">
        <f t="shared" si="90"/>
        <v>Trinity St. Luke's Lutheran School-WPCP</v>
      </c>
      <c r="D390" s="140">
        <v>0</v>
      </c>
      <c r="E390" s="140">
        <v>0</v>
      </c>
      <c r="F390" s="140">
        <v>0</v>
      </c>
      <c r="G390" s="140">
        <v>0</v>
      </c>
      <c r="H390" s="140">
        <v>0</v>
      </c>
      <c r="I390" s="140">
        <v>11</v>
      </c>
      <c r="J390" s="140">
        <v>127</v>
      </c>
      <c r="K390" s="140">
        <v>0</v>
      </c>
      <c r="L390" s="140">
        <f t="shared" si="91"/>
        <v>138</v>
      </c>
      <c r="N390" s="140">
        <v>0</v>
      </c>
      <c r="O390" s="140">
        <v>0</v>
      </c>
      <c r="P390" s="140">
        <v>0</v>
      </c>
      <c r="Q390" s="140">
        <v>0</v>
      </c>
      <c r="R390" s="140">
        <v>0</v>
      </c>
      <c r="S390" s="140">
        <v>2</v>
      </c>
      <c r="T390" s="140">
        <v>12</v>
      </c>
      <c r="U390" s="140">
        <v>0</v>
      </c>
      <c r="V390" s="140">
        <f t="shared" si="92"/>
        <v>14</v>
      </c>
      <c r="X390" s="98">
        <v>0</v>
      </c>
      <c r="Y390" s="98">
        <v>0</v>
      </c>
      <c r="Z390" s="98">
        <v>0</v>
      </c>
      <c r="AA390" s="98">
        <v>0</v>
      </c>
      <c r="AB390" s="98">
        <v>0</v>
      </c>
      <c r="AC390" s="98">
        <v>1</v>
      </c>
      <c r="AD390" s="98">
        <v>1</v>
      </c>
      <c r="AE390" s="98">
        <v>0</v>
      </c>
      <c r="AF390" s="98">
        <f t="shared" si="89"/>
        <v>2</v>
      </c>
      <c r="AH390" s="98">
        <v>11</v>
      </c>
      <c r="AJ390" s="98">
        <v>0</v>
      </c>
      <c r="AK390" s="98">
        <v>0</v>
      </c>
      <c r="AL390" s="380">
        <v>0</v>
      </c>
      <c r="AN390" s="214">
        <f t="shared" si="93"/>
        <v>56322</v>
      </c>
      <c r="AO390" s="214">
        <f t="shared" si="94"/>
        <v>0</v>
      </c>
      <c r="AP390" s="214">
        <f t="shared" si="95"/>
        <v>0</v>
      </c>
      <c r="AQ390" s="214">
        <f t="shared" si="96"/>
        <v>0</v>
      </c>
      <c r="AR390" s="214">
        <f t="shared" si="97"/>
        <v>0</v>
      </c>
      <c r="AS390" s="214">
        <f t="shared" si="98"/>
        <v>0</v>
      </c>
      <c r="AT390" s="214">
        <f t="shared" si="99"/>
        <v>8046</v>
      </c>
      <c r="AU390" s="214">
        <f t="shared" si="100"/>
        <v>48276</v>
      </c>
      <c r="AV390" s="214">
        <f t="shared" si="101"/>
        <v>0</v>
      </c>
      <c r="AW390" s="215">
        <f t="shared" si="102"/>
        <v>56322</v>
      </c>
    </row>
    <row r="391" spans="1:49" ht="15" customHeight="1">
      <c r="A391" s="140" t="s">
        <v>328</v>
      </c>
      <c r="B391" s="211" t="s">
        <v>96</v>
      </c>
      <c r="C391" s="140" t="str">
        <f t="shared" si="90"/>
        <v>Valley Christian School - Osceola-WPCP</v>
      </c>
      <c r="D391" s="140">
        <v>0</v>
      </c>
      <c r="E391" s="140">
        <v>0</v>
      </c>
      <c r="F391" s="140">
        <v>0</v>
      </c>
      <c r="G391" s="140">
        <v>0</v>
      </c>
      <c r="H391" s="140">
        <v>0</v>
      </c>
      <c r="I391" s="140">
        <v>5</v>
      </c>
      <c r="J391" s="140">
        <v>40</v>
      </c>
      <c r="K391" s="140">
        <v>39</v>
      </c>
      <c r="L391" s="140">
        <f t="shared" si="91"/>
        <v>84</v>
      </c>
      <c r="N391" s="140">
        <v>0</v>
      </c>
      <c r="O391" s="140">
        <v>0</v>
      </c>
      <c r="P391" s="140">
        <v>0</v>
      </c>
      <c r="Q391" s="140">
        <v>0</v>
      </c>
      <c r="R391" s="140">
        <v>0</v>
      </c>
      <c r="S391" s="140">
        <v>4</v>
      </c>
      <c r="T391" s="140">
        <v>21</v>
      </c>
      <c r="U391" s="140">
        <v>18</v>
      </c>
      <c r="V391" s="140">
        <f t="shared" si="92"/>
        <v>43</v>
      </c>
      <c r="X391" s="98">
        <v>0</v>
      </c>
      <c r="Y391" s="98">
        <v>0</v>
      </c>
      <c r="Z391" s="98">
        <v>0</v>
      </c>
      <c r="AA391" s="98">
        <v>0</v>
      </c>
      <c r="AB391" s="98">
        <v>0</v>
      </c>
      <c r="AC391" s="98">
        <v>0</v>
      </c>
      <c r="AD391" s="98">
        <v>0</v>
      </c>
      <c r="AE391" s="98">
        <v>0</v>
      </c>
      <c r="AF391" s="98">
        <f t="shared" si="89"/>
        <v>0</v>
      </c>
      <c r="AH391" s="98">
        <v>25</v>
      </c>
      <c r="AJ391" s="98">
        <v>0</v>
      </c>
      <c r="AK391" s="98">
        <v>0</v>
      </c>
      <c r="AL391" s="380">
        <v>0</v>
      </c>
      <c r="AN391" s="214">
        <f t="shared" si="93"/>
        <v>178803</v>
      </c>
      <c r="AO391" s="214">
        <f t="shared" si="94"/>
        <v>0</v>
      </c>
      <c r="AP391" s="214">
        <f t="shared" si="95"/>
        <v>0</v>
      </c>
      <c r="AQ391" s="214">
        <f t="shared" si="96"/>
        <v>0</v>
      </c>
      <c r="AR391" s="214">
        <f t="shared" si="97"/>
        <v>0</v>
      </c>
      <c r="AS391" s="214">
        <f t="shared" si="98"/>
        <v>0</v>
      </c>
      <c r="AT391" s="214">
        <f t="shared" si="99"/>
        <v>16092</v>
      </c>
      <c r="AU391" s="214">
        <f t="shared" si="100"/>
        <v>84483</v>
      </c>
      <c r="AV391" s="214">
        <f t="shared" si="101"/>
        <v>78228</v>
      </c>
      <c r="AW391" s="215">
        <f t="shared" si="102"/>
        <v>178803</v>
      </c>
    </row>
    <row r="392" spans="1:49" ht="15" customHeight="1">
      <c r="A392" s="140" t="s">
        <v>261</v>
      </c>
      <c r="B392" s="211" t="s">
        <v>96</v>
      </c>
      <c r="C392" s="140" t="str">
        <f t="shared" si="90"/>
        <v>Valley Christian School - Oshkosh-WPCP</v>
      </c>
      <c r="D392" s="140">
        <v>17</v>
      </c>
      <c r="E392" s="140">
        <v>0</v>
      </c>
      <c r="F392" s="140">
        <v>0</v>
      </c>
      <c r="G392" s="140">
        <v>0</v>
      </c>
      <c r="H392" s="140">
        <v>0</v>
      </c>
      <c r="I392" s="140">
        <v>40</v>
      </c>
      <c r="J392" s="140">
        <v>221</v>
      </c>
      <c r="K392" s="140">
        <v>74</v>
      </c>
      <c r="L392" s="140">
        <f t="shared" si="91"/>
        <v>352</v>
      </c>
      <c r="N392" s="140">
        <v>0</v>
      </c>
      <c r="O392" s="140">
        <v>0</v>
      </c>
      <c r="P392" s="140">
        <v>0</v>
      </c>
      <c r="Q392" s="140">
        <v>0</v>
      </c>
      <c r="R392" s="140">
        <v>0</v>
      </c>
      <c r="S392" s="140">
        <v>34</v>
      </c>
      <c r="T392" s="140">
        <v>116</v>
      </c>
      <c r="U392" s="140">
        <v>32</v>
      </c>
      <c r="V392" s="140">
        <f t="shared" si="92"/>
        <v>182</v>
      </c>
      <c r="X392" s="98">
        <v>0</v>
      </c>
      <c r="Y392" s="98">
        <v>0</v>
      </c>
      <c r="Z392" s="98">
        <v>0</v>
      </c>
      <c r="AA392" s="98">
        <v>0</v>
      </c>
      <c r="AB392" s="98">
        <v>0</v>
      </c>
      <c r="AC392" s="98">
        <v>0</v>
      </c>
      <c r="AD392" s="98">
        <v>0</v>
      </c>
      <c r="AE392" s="98">
        <v>0</v>
      </c>
      <c r="AF392" s="98">
        <f t="shared" si="89"/>
        <v>0</v>
      </c>
      <c r="AH392" s="98">
        <v>104</v>
      </c>
      <c r="AJ392" s="98">
        <v>0</v>
      </c>
      <c r="AK392" s="98">
        <v>0</v>
      </c>
      <c r="AL392" s="380">
        <v>0</v>
      </c>
      <c r="AN392" s="214">
        <f t="shared" si="93"/>
        <v>742522</v>
      </c>
      <c r="AO392" s="214">
        <f t="shared" si="94"/>
        <v>0</v>
      </c>
      <c r="AP392" s="214">
        <f t="shared" si="95"/>
        <v>0</v>
      </c>
      <c r="AQ392" s="214">
        <f t="shared" si="96"/>
        <v>0</v>
      </c>
      <c r="AR392" s="214">
        <f t="shared" si="97"/>
        <v>0</v>
      </c>
      <c r="AS392" s="214">
        <f t="shared" si="98"/>
        <v>0</v>
      </c>
      <c r="AT392" s="214">
        <f t="shared" si="99"/>
        <v>136782</v>
      </c>
      <c r="AU392" s="214">
        <f t="shared" si="100"/>
        <v>466668</v>
      </c>
      <c r="AV392" s="214">
        <f t="shared" si="101"/>
        <v>139072</v>
      </c>
      <c r="AW392" s="215">
        <f t="shared" si="102"/>
        <v>742522</v>
      </c>
    </row>
    <row r="393" spans="1:49" ht="15" customHeight="1">
      <c r="A393" s="140" t="s">
        <v>161</v>
      </c>
      <c r="B393" s="211" t="s">
        <v>187</v>
      </c>
      <c r="C393" s="140" t="str">
        <f t="shared" si="90"/>
        <v>Victory Christian Academy-MPCP</v>
      </c>
      <c r="D393" s="140">
        <v>0</v>
      </c>
      <c r="E393" s="140">
        <v>17</v>
      </c>
      <c r="F393" s="140">
        <v>0</v>
      </c>
      <c r="G393" s="140">
        <v>0</v>
      </c>
      <c r="H393" s="140">
        <v>0</v>
      </c>
      <c r="I393" s="140">
        <v>17</v>
      </c>
      <c r="J393" s="140">
        <v>218</v>
      </c>
      <c r="K393" s="140">
        <v>6</v>
      </c>
      <c r="L393" s="140">
        <f t="shared" si="91"/>
        <v>258</v>
      </c>
      <c r="N393" s="140">
        <v>0</v>
      </c>
      <c r="O393" s="140">
        <v>14</v>
      </c>
      <c r="P393" s="140">
        <v>0</v>
      </c>
      <c r="Q393" s="140">
        <v>0</v>
      </c>
      <c r="R393" s="140">
        <v>0</v>
      </c>
      <c r="S393" s="140">
        <v>12</v>
      </c>
      <c r="T393" s="140">
        <v>181</v>
      </c>
      <c r="U393" s="140">
        <v>4</v>
      </c>
      <c r="V393" s="140">
        <f t="shared" si="92"/>
        <v>211</v>
      </c>
      <c r="X393" s="98">
        <v>0</v>
      </c>
      <c r="Y393" s="98">
        <v>0</v>
      </c>
      <c r="Z393" s="98">
        <v>0</v>
      </c>
      <c r="AA393" s="98">
        <v>0</v>
      </c>
      <c r="AB393" s="98">
        <v>0</v>
      </c>
      <c r="AC393" s="98">
        <v>0</v>
      </c>
      <c r="AD393" s="98">
        <v>0</v>
      </c>
      <c r="AE393" s="98">
        <v>0</v>
      </c>
      <c r="AF393" s="98">
        <f t="shared" si="89"/>
        <v>0</v>
      </c>
      <c r="AH393" s="98">
        <v>123</v>
      </c>
      <c r="AJ393" s="98">
        <v>0</v>
      </c>
      <c r="AK393" s="98">
        <v>0</v>
      </c>
      <c r="AL393" s="380">
        <v>0</v>
      </c>
      <c r="AN393" s="214">
        <f t="shared" si="93"/>
        <v>827616.2</v>
      </c>
      <c r="AO393" s="214">
        <f t="shared" si="94"/>
        <v>0</v>
      </c>
      <c r="AP393" s="214">
        <f t="shared" si="95"/>
        <v>33793.2</v>
      </c>
      <c r="AQ393" s="214">
        <f t="shared" si="96"/>
        <v>0</v>
      </c>
      <c r="AR393" s="214">
        <f t="shared" si="97"/>
        <v>0</v>
      </c>
      <c r="AS393" s="214">
        <f t="shared" si="98"/>
        <v>0</v>
      </c>
      <c r="AT393" s="214">
        <f t="shared" si="99"/>
        <v>48276</v>
      </c>
      <c r="AU393" s="214">
        <f t="shared" si="100"/>
        <v>728163</v>
      </c>
      <c r="AV393" s="214">
        <f t="shared" si="101"/>
        <v>17384</v>
      </c>
      <c r="AW393" s="215">
        <f t="shared" si="102"/>
        <v>827616.2</v>
      </c>
    </row>
    <row r="394" spans="1:49" ht="15" customHeight="1">
      <c r="A394" s="140" t="s">
        <v>161</v>
      </c>
      <c r="B394" s="211" t="s">
        <v>188</v>
      </c>
      <c r="C394" s="140" t="str">
        <f t="shared" si="90"/>
        <v>Victory Christian Academy-RPCP</v>
      </c>
      <c r="D394" s="140">
        <v>0</v>
      </c>
      <c r="E394" s="140">
        <v>17</v>
      </c>
      <c r="F394" s="140">
        <v>0</v>
      </c>
      <c r="G394" s="140">
        <v>0</v>
      </c>
      <c r="H394" s="140">
        <v>0</v>
      </c>
      <c r="I394" s="140">
        <v>17</v>
      </c>
      <c r="J394" s="140">
        <v>218</v>
      </c>
      <c r="K394" s="140">
        <v>6</v>
      </c>
      <c r="L394" s="140">
        <f t="shared" si="91"/>
        <v>258</v>
      </c>
      <c r="N394" s="140">
        <v>0</v>
      </c>
      <c r="O394" s="140">
        <v>0</v>
      </c>
      <c r="P394" s="140">
        <v>0</v>
      </c>
      <c r="Q394" s="140">
        <v>0</v>
      </c>
      <c r="R394" s="140">
        <v>0</v>
      </c>
      <c r="S394" s="140">
        <v>0</v>
      </c>
      <c r="T394" s="140">
        <v>0</v>
      </c>
      <c r="U394" s="140">
        <v>1</v>
      </c>
      <c r="V394" s="140">
        <f t="shared" si="92"/>
        <v>1</v>
      </c>
      <c r="X394" s="98">
        <v>0</v>
      </c>
      <c r="Y394" s="98">
        <v>0</v>
      </c>
      <c r="Z394" s="98">
        <v>0</v>
      </c>
      <c r="AA394" s="98">
        <v>0</v>
      </c>
      <c r="AB394" s="98">
        <v>0</v>
      </c>
      <c r="AC394" s="98">
        <v>0</v>
      </c>
      <c r="AD394" s="98">
        <v>0</v>
      </c>
      <c r="AE394" s="98">
        <v>0</v>
      </c>
      <c r="AF394" s="98">
        <f t="shared" si="89"/>
        <v>0</v>
      </c>
      <c r="AH394" s="98">
        <v>1</v>
      </c>
      <c r="AJ394" s="98">
        <v>0</v>
      </c>
      <c r="AK394" s="98">
        <v>0</v>
      </c>
      <c r="AL394" s="380">
        <v>0</v>
      </c>
      <c r="AN394" s="214">
        <f t="shared" si="93"/>
        <v>4346</v>
      </c>
      <c r="AO394" s="214">
        <f t="shared" si="94"/>
        <v>0</v>
      </c>
      <c r="AP394" s="214">
        <f t="shared" si="95"/>
        <v>0</v>
      </c>
      <c r="AQ394" s="214">
        <f t="shared" si="96"/>
        <v>0</v>
      </c>
      <c r="AR394" s="214">
        <f t="shared" si="97"/>
        <v>0</v>
      </c>
      <c r="AS394" s="214">
        <f t="shared" si="98"/>
        <v>0</v>
      </c>
      <c r="AT394" s="214">
        <f t="shared" si="99"/>
        <v>0</v>
      </c>
      <c r="AU394" s="214">
        <f t="shared" si="100"/>
        <v>0</v>
      </c>
      <c r="AV394" s="214">
        <f t="shared" si="101"/>
        <v>4346</v>
      </c>
      <c r="AW394" s="215">
        <f t="shared" si="102"/>
        <v>4346</v>
      </c>
    </row>
    <row r="395" spans="1:49" ht="15" customHeight="1">
      <c r="A395" s="140" t="s">
        <v>161</v>
      </c>
      <c r="B395" s="211" t="s">
        <v>96</v>
      </c>
      <c r="C395" s="140" t="str">
        <f t="shared" si="90"/>
        <v>Victory Christian Academy-WPCP</v>
      </c>
      <c r="D395" s="140">
        <v>0</v>
      </c>
      <c r="E395" s="140">
        <v>17</v>
      </c>
      <c r="F395" s="140">
        <v>0</v>
      </c>
      <c r="G395" s="140">
        <v>0</v>
      </c>
      <c r="H395" s="140">
        <v>0</v>
      </c>
      <c r="I395" s="140">
        <v>17</v>
      </c>
      <c r="J395" s="140">
        <v>218</v>
      </c>
      <c r="K395" s="140">
        <v>6</v>
      </c>
      <c r="L395" s="140">
        <f t="shared" si="91"/>
        <v>258</v>
      </c>
      <c r="N395" s="140">
        <v>0</v>
      </c>
      <c r="O395" s="140">
        <v>3</v>
      </c>
      <c r="P395" s="140">
        <v>0</v>
      </c>
      <c r="Q395" s="140">
        <v>0</v>
      </c>
      <c r="R395" s="140">
        <v>0</v>
      </c>
      <c r="S395" s="140">
        <v>4</v>
      </c>
      <c r="T395" s="140">
        <v>33</v>
      </c>
      <c r="U395" s="140">
        <v>1</v>
      </c>
      <c r="V395" s="140">
        <f t="shared" si="92"/>
        <v>41</v>
      </c>
      <c r="X395" s="98">
        <v>0</v>
      </c>
      <c r="Y395" s="98">
        <v>0</v>
      </c>
      <c r="Z395" s="98">
        <v>0</v>
      </c>
      <c r="AA395" s="98">
        <v>0</v>
      </c>
      <c r="AB395" s="98">
        <v>0</v>
      </c>
      <c r="AC395" s="98">
        <v>1</v>
      </c>
      <c r="AD395" s="98">
        <v>1</v>
      </c>
      <c r="AE395" s="98">
        <v>0</v>
      </c>
      <c r="AF395" s="98">
        <f t="shared" si="89"/>
        <v>2</v>
      </c>
      <c r="AH395" s="98">
        <v>24</v>
      </c>
      <c r="AJ395" s="98">
        <v>0</v>
      </c>
      <c r="AK395" s="98">
        <v>0</v>
      </c>
      <c r="AL395" s="380">
        <v>0</v>
      </c>
      <c r="AN395" s="214">
        <f t="shared" si="93"/>
        <v>160438.4</v>
      </c>
      <c r="AO395" s="214">
        <f t="shared" si="94"/>
        <v>0</v>
      </c>
      <c r="AP395" s="214">
        <f t="shared" si="95"/>
        <v>7241.4</v>
      </c>
      <c r="AQ395" s="214">
        <f t="shared" si="96"/>
        <v>0</v>
      </c>
      <c r="AR395" s="214">
        <f t="shared" si="97"/>
        <v>0</v>
      </c>
      <c r="AS395" s="214">
        <f t="shared" si="98"/>
        <v>0</v>
      </c>
      <c r="AT395" s="214">
        <f t="shared" si="99"/>
        <v>16092</v>
      </c>
      <c r="AU395" s="214">
        <f t="shared" si="100"/>
        <v>132759</v>
      </c>
      <c r="AV395" s="214">
        <f t="shared" si="101"/>
        <v>4346</v>
      </c>
      <c r="AW395" s="215">
        <f t="shared" si="102"/>
        <v>160438.4</v>
      </c>
    </row>
    <row r="396" spans="1:49" ht="15" customHeight="1">
      <c r="A396" s="140" t="s">
        <v>262</v>
      </c>
      <c r="B396" s="211" t="s">
        <v>96</v>
      </c>
      <c r="C396" s="140" t="str">
        <f t="shared" si="90"/>
        <v>Waukesha Catholic School System-WPCP</v>
      </c>
      <c r="D396" s="140">
        <v>40</v>
      </c>
      <c r="E396" s="140">
        <v>0</v>
      </c>
      <c r="F396" s="140">
        <v>0</v>
      </c>
      <c r="G396" s="140">
        <v>0</v>
      </c>
      <c r="H396" s="140">
        <v>0</v>
      </c>
      <c r="I396" s="140">
        <v>34</v>
      </c>
      <c r="J396" s="140">
        <v>352</v>
      </c>
      <c r="K396" s="140">
        <v>0</v>
      </c>
      <c r="L396" s="140">
        <f t="shared" si="91"/>
        <v>426</v>
      </c>
      <c r="N396" s="140">
        <v>11</v>
      </c>
      <c r="O396" s="140">
        <v>0</v>
      </c>
      <c r="P396" s="140">
        <v>0</v>
      </c>
      <c r="Q396" s="140">
        <v>0</v>
      </c>
      <c r="R396" s="140">
        <v>0</v>
      </c>
      <c r="S396" s="140">
        <v>11</v>
      </c>
      <c r="T396" s="140">
        <v>75</v>
      </c>
      <c r="U396" s="140">
        <v>0</v>
      </c>
      <c r="V396" s="140">
        <f t="shared" si="92"/>
        <v>97</v>
      </c>
      <c r="X396" s="98">
        <v>0</v>
      </c>
      <c r="Y396" s="98">
        <v>0</v>
      </c>
      <c r="Z396" s="98">
        <v>0</v>
      </c>
      <c r="AA396" s="98">
        <v>0</v>
      </c>
      <c r="AB396" s="98">
        <v>0</v>
      </c>
      <c r="AC396" s="98">
        <v>0</v>
      </c>
      <c r="AD396" s="98">
        <v>7</v>
      </c>
      <c r="AE396" s="98">
        <v>0</v>
      </c>
      <c r="AF396" s="98">
        <f t="shared" si="89"/>
        <v>7</v>
      </c>
      <c r="AH396" s="98">
        <v>59</v>
      </c>
      <c r="AJ396" s="98">
        <v>0</v>
      </c>
      <c r="AK396" s="98">
        <v>0</v>
      </c>
      <c r="AL396" s="380">
        <v>0</v>
      </c>
      <c r="AN396" s="214">
        <f t="shared" si="93"/>
        <v>368104.5</v>
      </c>
      <c r="AO396" s="214">
        <f t="shared" si="94"/>
        <v>22126.5</v>
      </c>
      <c r="AP396" s="214">
        <f t="shared" si="95"/>
        <v>0</v>
      </c>
      <c r="AQ396" s="214">
        <f t="shared" si="96"/>
        <v>0</v>
      </c>
      <c r="AR396" s="214">
        <f t="shared" si="97"/>
        <v>0</v>
      </c>
      <c r="AS396" s="214">
        <f t="shared" si="98"/>
        <v>0</v>
      </c>
      <c r="AT396" s="214">
        <f t="shared" si="99"/>
        <v>44253</v>
      </c>
      <c r="AU396" s="214">
        <f t="shared" si="100"/>
        <v>301725</v>
      </c>
      <c r="AV396" s="214">
        <f t="shared" si="101"/>
        <v>0</v>
      </c>
      <c r="AW396" s="215">
        <f t="shared" si="102"/>
        <v>368104.5</v>
      </c>
    </row>
    <row r="397" spans="1:49" ht="15" customHeight="1">
      <c r="A397" s="140" t="s">
        <v>488</v>
      </c>
      <c r="B397" s="211" t="s">
        <v>96</v>
      </c>
      <c r="C397" s="140" t="str">
        <f t="shared" si="90"/>
        <v>Waupaca Christian Academy-WPCP</v>
      </c>
      <c r="D397" s="140">
        <v>8</v>
      </c>
      <c r="E397" s="140">
        <v>0</v>
      </c>
      <c r="F397" s="140">
        <v>0</v>
      </c>
      <c r="G397" s="140">
        <v>0</v>
      </c>
      <c r="H397" s="140">
        <v>0</v>
      </c>
      <c r="I397" s="140">
        <v>12</v>
      </c>
      <c r="J397" s="140">
        <v>60</v>
      </c>
      <c r="K397" s="140">
        <v>20</v>
      </c>
      <c r="L397" s="140">
        <f t="shared" si="91"/>
        <v>100</v>
      </c>
      <c r="N397" s="140">
        <v>5</v>
      </c>
      <c r="O397" s="140">
        <v>0</v>
      </c>
      <c r="P397" s="140">
        <v>0</v>
      </c>
      <c r="Q397" s="140">
        <v>0</v>
      </c>
      <c r="R397" s="140">
        <v>0</v>
      </c>
      <c r="S397" s="140">
        <v>7</v>
      </c>
      <c r="T397" s="140">
        <v>34</v>
      </c>
      <c r="U397" s="140">
        <v>8</v>
      </c>
      <c r="V397" s="140">
        <f t="shared" si="92"/>
        <v>54</v>
      </c>
      <c r="X397" s="98">
        <v>0</v>
      </c>
      <c r="Y397" s="98">
        <v>0</v>
      </c>
      <c r="Z397" s="98">
        <v>0</v>
      </c>
      <c r="AA397" s="98">
        <v>0</v>
      </c>
      <c r="AB397" s="98">
        <v>0</v>
      </c>
      <c r="AC397" s="98">
        <v>0</v>
      </c>
      <c r="AD397" s="98">
        <v>0</v>
      </c>
      <c r="AE397" s="98">
        <v>0</v>
      </c>
      <c r="AF397" s="98">
        <f t="shared" si="89"/>
        <v>0</v>
      </c>
      <c r="AH397" s="98">
        <v>30</v>
      </c>
      <c r="AJ397" s="98">
        <v>0</v>
      </c>
      <c r="AK397" s="98">
        <v>0</v>
      </c>
      <c r="AL397" s="380">
        <v>0</v>
      </c>
      <c r="AN397" s="214">
        <f t="shared" si="93"/>
        <v>209768.5</v>
      </c>
      <c r="AO397" s="214">
        <f t="shared" si="94"/>
        <v>10057.5</v>
      </c>
      <c r="AP397" s="214">
        <f t="shared" si="95"/>
        <v>0</v>
      </c>
      <c r="AQ397" s="214">
        <f t="shared" si="96"/>
        <v>0</v>
      </c>
      <c r="AR397" s="214">
        <f t="shared" si="97"/>
        <v>0</v>
      </c>
      <c r="AS397" s="214">
        <f t="shared" si="98"/>
        <v>0</v>
      </c>
      <c r="AT397" s="214">
        <f t="shared" si="99"/>
        <v>28161</v>
      </c>
      <c r="AU397" s="214">
        <f t="shared" si="100"/>
        <v>136782</v>
      </c>
      <c r="AV397" s="214">
        <f t="shared" si="101"/>
        <v>34768</v>
      </c>
      <c r="AW397" s="215">
        <f t="shared" si="102"/>
        <v>209768.5</v>
      </c>
    </row>
    <row r="398" spans="1:49" ht="15" customHeight="1">
      <c r="A398" s="140" t="s">
        <v>162</v>
      </c>
      <c r="B398" s="211" t="s">
        <v>187</v>
      </c>
      <c r="C398" s="140" t="str">
        <f t="shared" si="90"/>
        <v>Wells Street Academy-MPCP</v>
      </c>
      <c r="D398" s="140">
        <v>1</v>
      </c>
      <c r="E398" s="140">
        <v>0</v>
      </c>
      <c r="F398" s="140">
        <v>0</v>
      </c>
      <c r="G398" s="140">
        <v>0</v>
      </c>
      <c r="H398" s="140">
        <v>0</v>
      </c>
      <c r="I398" s="140">
        <v>4</v>
      </c>
      <c r="J398" s="140">
        <v>12</v>
      </c>
      <c r="K398" s="140">
        <v>3</v>
      </c>
      <c r="L398" s="140">
        <f t="shared" si="91"/>
        <v>20</v>
      </c>
      <c r="N398" s="140">
        <v>0</v>
      </c>
      <c r="O398" s="140">
        <v>0</v>
      </c>
      <c r="P398" s="140">
        <v>0</v>
      </c>
      <c r="Q398" s="140">
        <v>0</v>
      </c>
      <c r="R398" s="140">
        <v>0</v>
      </c>
      <c r="S398" s="140">
        <v>2</v>
      </c>
      <c r="T398" s="140">
        <v>2</v>
      </c>
      <c r="U398" s="140">
        <v>1</v>
      </c>
      <c r="V398" s="140">
        <f t="shared" si="92"/>
        <v>5</v>
      </c>
      <c r="X398" s="98">
        <v>0</v>
      </c>
      <c r="Y398" s="98">
        <v>0</v>
      </c>
      <c r="Z398" s="98">
        <v>0</v>
      </c>
      <c r="AA398" s="98">
        <v>0</v>
      </c>
      <c r="AB398" s="98">
        <v>0</v>
      </c>
      <c r="AC398" s="98">
        <v>0</v>
      </c>
      <c r="AD398" s="98">
        <v>0</v>
      </c>
      <c r="AE398" s="98">
        <v>0</v>
      </c>
      <c r="AF398" s="98">
        <f t="shared" si="89"/>
        <v>0</v>
      </c>
      <c r="AH398" s="98">
        <v>5</v>
      </c>
      <c r="AJ398" s="98">
        <v>0</v>
      </c>
      <c r="AK398" s="98">
        <v>0</v>
      </c>
      <c r="AL398" s="380">
        <v>0</v>
      </c>
      <c r="AN398" s="214">
        <f t="shared" si="93"/>
        <v>20438</v>
      </c>
      <c r="AO398" s="214">
        <f t="shared" si="94"/>
        <v>0</v>
      </c>
      <c r="AP398" s="214">
        <f t="shared" si="95"/>
        <v>0</v>
      </c>
      <c r="AQ398" s="214">
        <f t="shared" si="96"/>
        <v>0</v>
      </c>
      <c r="AR398" s="214">
        <f t="shared" si="97"/>
        <v>0</v>
      </c>
      <c r="AS398" s="214">
        <f t="shared" si="98"/>
        <v>0</v>
      </c>
      <c r="AT398" s="214">
        <f t="shared" si="99"/>
        <v>8046</v>
      </c>
      <c r="AU398" s="214">
        <f t="shared" si="100"/>
        <v>8046</v>
      </c>
      <c r="AV398" s="214">
        <f t="shared" si="101"/>
        <v>4346</v>
      </c>
      <c r="AW398" s="215">
        <f t="shared" si="102"/>
        <v>20438</v>
      </c>
    </row>
    <row r="399" spans="1:49" ht="15" customHeight="1">
      <c r="A399" s="140" t="s">
        <v>605</v>
      </c>
      <c r="B399" s="211" t="s">
        <v>96</v>
      </c>
      <c r="C399" s="140" t="str">
        <f t="shared" si="90"/>
        <v>Westside Christian School-WPCP</v>
      </c>
      <c r="D399" s="140">
        <v>17</v>
      </c>
      <c r="E399" s="140">
        <v>0</v>
      </c>
      <c r="F399" s="140">
        <v>0</v>
      </c>
      <c r="G399" s="140">
        <v>0</v>
      </c>
      <c r="H399" s="140">
        <v>0</v>
      </c>
      <c r="I399" s="140">
        <v>12</v>
      </c>
      <c r="J399" s="140">
        <v>101</v>
      </c>
      <c r="K399" s="140">
        <v>0</v>
      </c>
      <c r="L399" s="140">
        <f t="shared" si="91"/>
        <v>130</v>
      </c>
      <c r="N399" s="140">
        <v>10</v>
      </c>
      <c r="O399" s="140">
        <v>0</v>
      </c>
      <c r="P399" s="140">
        <v>0</v>
      </c>
      <c r="Q399" s="140">
        <v>0</v>
      </c>
      <c r="R399" s="140">
        <v>0</v>
      </c>
      <c r="S399" s="140">
        <v>4</v>
      </c>
      <c r="T399" s="140">
        <v>36</v>
      </c>
      <c r="U399" s="140">
        <v>0</v>
      </c>
      <c r="V399" s="140">
        <f t="shared" si="92"/>
        <v>50</v>
      </c>
      <c r="X399" s="98">
        <v>0</v>
      </c>
      <c r="Y399" s="98">
        <v>0</v>
      </c>
      <c r="Z399" s="98">
        <v>0</v>
      </c>
      <c r="AA399" s="98">
        <v>0</v>
      </c>
      <c r="AB399" s="98">
        <v>0</v>
      </c>
      <c r="AC399" s="98">
        <v>0</v>
      </c>
      <c r="AD399" s="98">
        <v>0</v>
      </c>
      <c r="AE399" s="98">
        <v>0</v>
      </c>
      <c r="AF399" s="98">
        <f t="shared" si="89"/>
        <v>0</v>
      </c>
      <c r="AH399" s="98">
        <v>27</v>
      </c>
      <c r="AJ399" s="98">
        <v>0</v>
      </c>
      <c r="AK399" s="98">
        <v>0</v>
      </c>
      <c r="AL399" s="380">
        <v>0</v>
      </c>
      <c r="AN399" s="214">
        <f t="shared" si="93"/>
        <v>181035</v>
      </c>
      <c r="AO399" s="214">
        <f t="shared" si="94"/>
        <v>20115</v>
      </c>
      <c r="AP399" s="214">
        <f t="shared" si="95"/>
        <v>0</v>
      </c>
      <c r="AQ399" s="214">
        <f t="shared" si="96"/>
        <v>0</v>
      </c>
      <c r="AR399" s="214">
        <f t="shared" si="97"/>
        <v>0</v>
      </c>
      <c r="AS399" s="214">
        <f t="shared" si="98"/>
        <v>0</v>
      </c>
      <c r="AT399" s="214">
        <f t="shared" si="99"/>
        <v>16092</v>
      </c>
      <c r="AU399" s="214">
        <f t="shared" si="100"/>
        <v>144828</v>
      </c>
      <c r="AV399" s="214">
        <f t="shared" si="101"/>
        <v>0</v>
      </c>
      <c r="AW399" s="215">
        <f t="shared" si="102"/>
        <v>181035</v>
      </c>
    </row>
    <row r="400" spans="1:49" ht="15" customHeight="1">
      <c r="A400" s="140" t="s">
        <v>163</v>
      </c>
      <c r="B400" s="211" t="s">
        <v>96</v>
      </c>
      <c r="C400" s="140" t="str">
        <f t="shared" si="90"/>
        <v>Winnebago Lutheran Academy-WPCP</v>
      </c>
      <c r="D400" s="140">
        <v>0</v>
      </c>
      <c r="E400" s="140">
        <v>0</v>
      </c>
      <c r="F400" s="140">
        <v>0</v>
      </c>
      <c r="G400" s="140">
        <v>0</v>
      </c>
      <c r="H400" s="140">
        <v>0</v>
      </c>
      <c r="I400" s="140">
        <v>0</v>
      </c>
      <c r="J400" s="140">
        <v>0</v>
      </c>
      <c r="K400" s="140">
        <v>279</v>
      </c>
      <c r="L400" s="140">
        <f t="shared" si="91"/>
        <v>279</v>
      </c>
      <c r="N400" s="140">
        <v>0</v>
      </c>
      <c r="O400" s="140">
        <v>0</v>
      </c>
      <c r="P400" s="140">
        <v>0</v>
      </c>
      <c r="Q400" s="140">
        <v>0</v>
      </c>
      <c r="R400" s="140">
        <v>0</v>
      </c>
      <c r="S400" s="140">
        <v>0</v>
      </c>
      <c r="T400" s="140">
        <v>0</v>
      </c>
      <c r="U400" s="140">
        <v>75</v>
      </c>
      <c r="V400" s="140">
        <f t="shared" si="92"/>
        <v>75</v>
      </c>
      <c r="X400" s="98">
        <v>0</v>
      </c>
      <c r="Y400" s="98">
        <v>0</v>
      </c>
      <c r="Z400" s="98">
        <v>0</v>
      </c>
      <c r="AA400" s="98">
        <v>0</v>
      </c>
      <c r="AB400" s="98">
        <v>0</v>
      </c>
      <c r="AC400" s="98">
        <v>0</v>
      </c>
      <c r="AD400" s="98">
        <v>0</v>
      </c>
      <c r="AE400" s="98">
        <v>0</v>
      </c>
      <c r="AF400" s="98">
        <f t="shared" si="89"/>
        <v>0</v>
      </c>
      <c r="AH400" s="98">
        <v>62</v>
      </c>
      <c r="AJ400" s="98">
        <v>0</v>
      </c>
      <c r="AK400" s="98">
        <v>0</v>
      </c>
      <c r="AL400" s="380">
        <v>0</v>
      </c>
      <c r="AN400" s="214">
        <f t="shared" si="93"/>
        <v>325950</v>
      </c>
      <c r="AO400" s="214">
        <f t="shared" si="94"/>
        <v>0</v>
      </c>
      <c r="AP400" s="214">
        <f t="shared" si="95"/>
        <v>0</v>
      </c>
      <c r="AQ400" s="214">
        <f t="shared" si="96"/>
        <v>0</v>
      </c>
      <c r="AR400" s="214">
        <f t="shared" si="97"/>
        <v>0</v>
      </c>
      <c r="AS400" s="214">
        <f t="shared" si="98"/>
        <v>0</v>
      </c>
      <c r="AT400" s="214">
        <f t="shared" si="99"/>
        <v>0</v>
      </c>
      <c r="AU400" s="214">
        <f t="shared" si="100"/>
        <v>0</v>
      </c>
      <c r="AV400" s="214">
        <f t="shared" si="101"/>
        <v>325950</v>
      </c>
      <c r="AW400" s="215">
        <f t="shared" si="102"/>
        <v>325950</v>
      </c>
    </row>
    <row r="401" spans="1:49" ht="15" customHeight="1">
      <c r="A401" s="140" t="s">
        <v>164</v>
      </c>
      <c r="B401" s="211" t="s">
        <v>187</v>
      </c>
      <c r="C401" s="140" t="str">
        <f t="shared" si="90"/>
        <v>Wisconsin Academy-MPCP</v>
      </c>
      <c r="D401" s="140">
        <v>0</v>
      </c>
      <c r="E401" s="140">
        <v>0</v>
      </c>
      <c r="F401" s="140">
        <v>0</v>
      </c>
      <c r="G401" s="140">
        <v>0</v>
      </c>
      <c r="H401" s="140">
        <v>0</v>
      </c>
      <c r="I401" s="140">
        <v>0</v>
      </c>
      <c r="J401" s="140">
        <v>0</v>
      </c>
      <c r="K401" s="140">
        <v>87</v>
      </c>
      <c r="L401" s="140">
        <f t="shared" si="91"/>
        <v>87</v>
      </c>
      <c r="N401" s="140">
        <v>0</v>
      </c>
      <c r="O401" s="140">
        <v>0</v>
      </c>
      <c r="P401" s="140">
        <v>0</v>
      </c>
      <c r="Q401" s="140">
        <v>0</v>
      </c>
      <c r="R401" s="140">
        <v>0</v>
      </c>
      <c r="S401" s="140">
        <v>0</v>
      </c>
      <c r="T401" s="140">
        <v>0</v>
      </c>
      <c r="U401" s="140">
        <v>23</v>
      </c>
      <c r="V401" s="140">
        <f t="shared" si="92"/>
        <v>23</v>
      </c>
      <c r="X401" s="98">
        <v>0</v>
      </c>
      <c r="Y401" s="98">
        <v>0</v>
      </c>
      <c r="Z401" s="98">
        <v>0</v>
      </c>
      <c r="AA401" s="98">
        <v>0</v>
      </c>
      <c r="AB401" s="98">
        <v>0</v>
      </c>
      <c r="AC401" s="98">
        <v>0</v>
      </c>
      <c r="AD401" s="98">
        <v>0</v>
      </c>
      <c r="AE401" s="98">
        <v>0</v>
      </c>
      <c r="AF401" s="98">
        <f t="shared" si="89"/>
        <v>0</v>
      </c>
      <c r="AH401" s="98">
        <v>21</v>
      </c>
      <c r="AJ401" s="98">
        <v>0</v>
      </c>
      <c r="AK401" s="98">
        <v>0</v>
      </c>
      <c r="AL401" s="380">
        <v>0</v>
      </c>
      <c r="AN401" s="214">
        <f t="shared" si="93"/>
        <v>99958</v>
      </c>
      <c r="AO401" s="214">
        <f t="shared" si="94"/>
        <v>0</v>
      </c>
      <c r="AP401" s="214">
        <f t="shared" si="95"/>
        <v>0</v>
      </c>
      <c r="AQ401" s="214">
        <f t="shared" si="96"/>
        <v>0</v>
      </c>
      <c r="AR401" s="214">
        <f t="shared" si="97"/>
        <v>0</v>
      </c>
      <c r="AS401" s="214">
        <f t="shared" si="98"/>
        <v>0</v>
      </c>
      <c r="AT401" s="214">
        <f t="shared" si="99"/>
        <v>0</v>
      </c>
      <c r="AU401" s="214">
        <f t="shared" si="100"/>
        <v>0</v>
      </c>
      <c r="AV401" s="214">
        <f t="shared" si="101"/>
        <v>99958</v>
      </c>
      <c r="AW401" s="215">
        <f t="shared" si="102"/>
        <v>99958</v>
      </c>
    </row>
    <row r="402" spans="1:49" ht="15" customHeight="1">
      <c r="A402" s="140" t="s">
        <v>164</v>
      </c>
      <c r="B402" s="211" t="s">
        <v>96</v>
      </c>
      <c r="C402" s="140" t="str">
        <f t="shared" si="90"/>
        <v>Wisconsin Academy-WPCP</v>
      </c>
      <c r="D402" s="140">
        <v>0</v>
      </c>
      <c r="E402" s="140">
        <v>0</v>
      </c>
      <c r="F402" s="140">
        <v>0</v>
      </c>
      <c r="G402" s="140">
        <v>0</v>
      </c>
      <c r="H402" s="140">
        <v>0</v>
      </c>
      <c r="I402" s="140">
        <v>0</v>
      </c>
      <c r="J402" s="140">
        <v>0</v>
      </c>
      <c r="K402" s="140">
        <v>87</v>
      </c>
      <c r="L402" s="140">
        <f t="shared" si="91"/>
        <v>87</v>
      </c>
      <c r="N402" s="140">
        <v>0</v>
      </c>
      <c r="O402" s="140">
        <v>0</v>
      </c>
      <c r="P402" s="140">
        <v>0</v>
      </c>
      <c r="Q402" s="140">
        <v>0</v>
      </c>
      <c r="R402" s="140">
        <v>0</v>
      </c>
      <c r="S402" s="140">
        <v>0</v>
      </c>
      <c r="T402" s="140">
        <v>0</v>
      </c>
      <c r="U402" s="140">
        <v>16</v>
      </c>
      <c r="V402" s="140">
        <f t="shared" si="92"/>
        <v>16</v>
      </c>
      <c r="X402" s="98">
        <v>0</v>
      </c>
      <c r="Y402" s="98">
        <v>0</v>
      </c>
      <c r="Z402" s="98">
        <v>0</v>
      </c>
      <c r="AA402" s="98">
        <v>0</v>
      </c>
      <c r="AB402" s="98">
        <v>0</v>
      </c>
      <c r="AC402" s="98">
        <v>0</v>
      </c>
      <c r="AD402" s="98">
        <v>0</v>
      </c>
      <c r="AE402" s="98">
        <v>0</v>
      </c>
      <c r="AF402" s="98">
        <f t="shared" si="89"/>
        <v>0</v>
      </c>
      <c r="AH402" s="98">
        <v>14</v>
      </c>
      <c r="AJ402" s="98">
        <v>0</v>
      </c>
      <c r="AK402" s="98">
        <v>0</v>
      </c>
      <c r="AL402" s="380">
        <v>0</v>
      </c>
      <c r="AN402" s="214">
        <f t="shared" si="93"/>
        <v>69536</v>
      </c>
      <c r="AO402" s="214">
        <f t="shared" si="94"/>
        <v>0</v>
      </c>
      <c r="AP402" s="214">
        <f t="shared" si="95"/>
        <v>0</v>
      </c>
      <c r="AQ402" s="214">
        <f t="shared" si="96"/>
        <v>0</v>
      </c>
      <c r="AR402" s="214">
        <f t="shared" si="97"/>
        <v>0</v>
      </c>
      <c r="AS402" s="214">
        <f t="shared" si="98"/>
        <v>0</v>
      </c>
      <c r="AT402" s="214">
        <f t="shared" si="99"/>
        <v>0</v>
      </c>
      <c r="AU402" s="214">
        <f t="shared" si="100"/>
        <v>0</v>
      </c>
      <c r="AV402" s="214">
        <f t="shared" si="101"/>
        <v>69536</v>
      </c>
      <c r="AW402" s="215">
        <f t="shared" si="102"/>
        <v>69536</v>
      </c>
    </row>
    <row r="403" spans="1:49" ht="15" customHeight="1">
      <c r="A403" s="140" t="s">
        <v>545</v>
      </c>
      <c r="B403" s="211" t="s">
        <v>187</v>
      </c>
      <c r="C403" s="140" t="str">
        <f t="shared" si="90"/>
        <v>Wisconsin Lutheran High School - Milwaukee-MPCP</v>
      </c>
      <c r="D403" s="140">
        <v>0</v>
      </c>
      <c r="E403" s="140">
        <v>0</v>
      </c>
      <c r="F403" s="140">
        <v>0</v>
      </c>
      <c r="G403" s="140">
        <v>0</v>
      </c>
      <c r="H403" s="140">
        <v>0</v>
      </c>
      <c r="I403" s="140">
        <v>0</v>
      </c>
      <c r="J403" s="140">
        <v>0</v>
      </c>
      <c r="K403" s="140">
        <v>829</v>
      </c>
      <c r="L403" s="140">
        <f t="shared" si="91"/>
        <v>829</v>
      </c>
      <c r="N403" s="140">
        <v>0</v>
      </c>
      <c r="O403" s="140">
        <v>0</v>
      </c>
      <c r="P403" s="140">
        <v>0</v>
      </c>
      <c r="Q403" s="140">
        <v>0</v>
      </c>
      <c r="R403" s="140">
        <v>0</v>
      </c>
      <c r="S403" s="140">
        <v>0</v>
      </c>
      <c r="T403" s="140">
        <v>0</v>
      </c>
      <c r="U403" s="140">
        <v>399</v>
      </c>
      <c r="V403" s="140">
        <f t="shared" si="92"/>
        <v>399</v>
      </c>
      <c r="X403" s="98">
        <v>0</v>
      </c>
      <c r="Y403" s="98">
        <v>0</v>
      </c>
      <c r="Z403" s="98">
        <v>0</v>
      </c>
      <c r="AA403" s="98">
        <v>0</v>
      </c>
      <c r="AB403" s="98">
        <v>0</v>
      </c>
      <c r="AC403" s="98">
        <v>0</v>
      </c>
      <c r="AD403" s="98">
        <v>0</v>
      </c>
      <c r="AE403" s="98">
        <v>74</v>
      </c>
      <c r="AF403" s="98">
        <f t="shared" si="89"/>
        <v>74</v>
      </c>
      <c r="AH403" s="98">
        <v>345</v>
      </c>
      <c r="AJ403" s="98">
        <v>0</v>
      </c>
      <c r="AK403" s="98">
        <v>53</v>
      </c>
      <c r="AL403" s="380">
        <v>21812</v>
      </c>
      <c r="AN403" s="214">
        <f t="shared" si="93"/>
        <v>1734054</v>
      </c>
      <c r="AO403" s="214">
        <f t="shared" si="94"/>
        <v>0</v>
      </c>
      <c r="AP403" s="214">
        <f t="shared" si="95"/>
        <v>0</v>
      </c>
      <c r="AQ403" s="214">
        <f t="shared" si="96"/>
        <v>0</v>
      </c>
      <c r="AR403" s="214">
        <f t="shared" si="97"/>
        <v>0</v>
      </c>
      <c r="AS403" s="214">
        <f t="shared" si="98"/>
        <v>0</v>
      </c>
      <c r="AT403" s="214">
        <f t="shared" si="99"/>
        <v>0</v>
      </c>
      <c r="AU403" s="214">
        <f t="shared" si="100"/>
        <v>0</v>
      </c>
      <c r="AV403" s="214">
        <f t="shared" si="101"/>
        <v>1734054</v>
      </c>
      <c r="AW403" s="215">
        <f t="shared" si="102"/>
        <v>1734054</v>
      </c>
    </row>
    <row r="404" spans="1:49" ht="15" customHeight="1">
      <c r="A404" s="140" t="s">
        <v>545</v>
      </c>
      <c r="B404" s="211" t="s">
        <v>96</v>
      </c>
      <c r="C404" s="140" t="str">
        <f t="shared" si="90"/>
        <v>Wisconsin Lutheran High School - Milwaukee-WPCP</v>
      </c>
      <c r="D404" s="140">
        <v>0</v>
      </c>
      <c r="E404" s="140">
        <v>0</v>
      </c>
      <c r="F404" s="140">
        <v>0</v>
      </c>
      <c r="G404" s="140">
        <v>0</v>
      </c>
      <c r="H404" s="140">
        <v>0</v>
      </c>
      <c r="I404" s="140">
        <v>0</v>
      </c>
      <c r="J404" s="140">
        <v>0</v>
      </c>
      <c r="K404" s="140">
        <v>829</v>
      </c>
      <c r="L404" s="140">
        <f t="shared" si="91"/>
        <v>829</v>
      </c>
      <c r="N404" s="140">
        <v>0</v>
      </c>
      <c r="O404" s="140">
        <v>0</v>
      </c>
      <c r="P404" s="140">
        <v>0</v>
      </c>
      <c r="Q404" s="140">
        <v>0</v>
      </c>
      <c r="R404" s="140">
        <v>0</v>
      </c>
      <c r="S404" s="140">
        <v>0</v>
      </c>
      <c r="T404" s="140">
        <v>0</v>
      </c>
      <c r="U404" s="140">
        <v>79</v>
      </c>
      <c r="V404" s="140">
        <f t="shared" si="92"/>
        <v>79</v>
      </c>
      <c r="X404" s="98">
        <v>0</v>
      </c>
      <c r="Y404" s="98">
        <v>0</v>
      </c>
      <c r="Z404" s="98">
        <v>0</v>
      </c>
      <c r="AA404" s="98">
        <v>0</v>
      </c>
      <c r="AB404" s="98">
        <v>0</v>
      </c>
      <c r="AC404" s="98">
        <v>0</v>
      </c>
      <c r="AD404" s="98">
        <v>0</v>
      </c>
      <c r="AE404" s="98">
        <v>5</v>
      </c>
      <c r="AF404" s="98">
        <f t="shared" si="89"/>
        <v>5</v>
      </c>
      <c r="AH404" s="98">
        <v>64</v>
      </c>
      <c r="AJ404" s="98">
        <v>0</v>
      </c>
      <c r="AK404" s="98">
        <v>2</v>
      </c>
      <c r="AL404" s="380">
        <v>840</v>
      </c>
      <c r="AN404" s="214">
        <f t="shared" si="93"/>
        <v>343334</v>
      </c>
      <c r="AO404" s="214">
        <f t="shared" si="94"/>
        <v>0</v>
      </c>
      <c r="AP404" s="214">
        <f t="shared" si="95"/>
        <v>0</v>
      </c>
      <c r="AQ404" s="214">
        <f t="shared" si="96"/>
        <v>0</v>
      </c>
      <c r="AR404" s="214">
        <f t="shared" si="97"/>
        <v>0</v>
      </c>
      <c r="AS404" s="214">
        <f t="shared" si="98"/>
        <v>0</v>
      </c>
      <c r="AT404" s="214">
        <f t="shared" si="99"/>
        <v>0</v>
      </c>
      <c r="AU404" s="214">
        <f t="shared" si="100"/>
        <v>0</v>
      </c>
      <c r="AV404" s="214">
        <f t="shared" si="101"/>
        <v>343334</v>
      </c>
      <c r="AW404" s="215">
        <f t="shared" si="102"/>
        <v>343334</v>
      </c>
    </row>
    <row r="405" spans="1:49" ht="15" customHeight="1">
      <c r="A405" s="140" t="s">
        <v>546</v>
      </c>
      <c r="B405" s="211" t="s">
        <v>188</v>
      </c>
      <c r="C405" s="140" t="str">
        <f t="shared" si="90"/>
        <v>Wisconsin Lutheran School - Racine-RPCP</v>
      </c>
      <c r="D405" s="140">
        <v>13</v>
      </c>
      <c r="E405" s="140">
        <v>0</v>
      </c>
      <c r="F405" s="140">
        <v>0</v>
      </c>
      <c r="G405" s="140">
        <v>0</v>
      </c>
      <c r="H405" s="140">
        <v>0</v>
      </c>
      <c r="I405" s="140">
        <v>14</v>
      </c>
      <c r="J405" s="140">
        <v>154</v>
      </c>
      <c r="K405" s="140">
        <v>0</v>
      </c>
      <c r="L405" s="140">
        <f t="shared" si="91"/>
        <v>181</v>
      </c>
      <c r="N405" s="140">
        <v>11</v>
      </c>
      <c r="O405" s="140">
        <v>0</v>
      </c>
      <c r="P405" s="140">
        <v>0</v>
      </c>
      <c r="Q405" s="140">
        <v>0</v>
      </c>
      <c r="R405" s="140">
        <v>0</v>
      </c>
      <c r="S405" s="140">
        <v>11</v>
      </c>
      <c r="T405" s="140">
        <v>126</v>
      </c>
      <c r="U405" s="140">
        <v>0</v>
      </c>
      <c r="V405" s="140">
        <f t="shared" si="92"/>
        <v>148</v>
      </c>
      <c r="X405" s="98">
        <v>0</v>
      </c>
      <c r="Y405" s="98">
        <v>0</v>
      </c>
      <c r="Z405" s="98">
        <v>0</v>
      </c>
      <c r="AA405" s="98">
        <v>0</v>
      </c>
      <c r="AB405" s="98">
        <v>0</v>
      </c>
      <c r="AC405" s="98">
        <v>0</v>
      </c>
      <c r="AD405" s="98">
        <v>4</v>
      </c>
      <c r="AE405" s="98">
        <v>0</v>
      </c>
      <c r="AF405" s="98">
        <f t="shared" si="89"/>
        <v>4</v>
      </c>
      <c r="AH405" s="98">
        <v>95</v>
      </c>
      <c r="AJ405" s="98">
        <v>0</v>
      </c>
      <c r="AK405" s="98">
        <v>0</v>
      </c>
      <c r="AL405" s="380">
        <v>0</v>
      </c>
      <c r="AN405" s="214">
        <f t="shared" si="93"/>
        <v>573277.5</v>
      </c>
      <c r="AO405" s="214">
        <f t="shared" si="94"/>
        <v>22126.5</v>
      </c>
      <c r="AP405" s="214">
        <f t="shared" si="95"/>
        <v>0</v>
      </c>
      <c r="AQ405" s="214">
        <f t="shared" si="96"/>
        <v>0</v>
      </c>
      <c r="AR405" s="214">
        <f t="shared" si="97"/>
        <v>0</v>
      </c>
      <c r="AS405" s="214">
        <f t="shared" si="98"/>
        <v>0</v>
      </c>
      <c r="AT405" s="214">
        <f t="shared" si="99"/>
        <v>44253</v>
      </c>
      <c r="AU405" s="214">
        <f t="shared" si="100"/>
        <v>506898</v>
      </c>
      <c r="AV405" s="214">
        <f t="shared" si="101"/>
        <v>0</v>
      </c>
      <c r="AW405" s="215">
        <f t="shared" si="102"/>
        <v>573277.5</v>
      </c>
    </row>
    <row r="406" spans="1:49" ht="15" customHeight="1">
      <c r="A406" s="140" t="s">
        <v>489</v>
      </c>
      <c r="B406" s="211" t="s">
        <v>96</v>
      </c>
      <c r="C406" s="140" t="str">
        <f t="shared" si="90"/>
        <v>Wolf River Lutheran High School-WPCP</v>
      </c>
      <c r="D406" s="140">
        <v>0</v>
      </c>
      <c r="E406" s="140">
        <v>0</v>
      </c>
      <c r="F406" s="140">
        <v>0</v>
      </c>
      <c r="G406" s="140">
        <v>0</v>
      </c>
      <c r="H406" s="140">
        <v>0</v>
      </c>
      <c r="I406" s="140">
        <v>0</v>
      </c>
      <c r="J406" s="140">
        <v>0</v>
      </c>
      <c r="K406" s="140">
        <v>23</v>
      </c>
      <c r="L406" s="140">
        <f t="shared" si="91"/>
        <v>23</v>
      </c>
      <c r="N406" s="140">
        <v>0</v>
      </c>
      <c r="O406" s="140">
        <v>0</v>
      </c>
      <c r="P406" s="140">
        <v>0</v>
      </c>
      <c r="Q406" s="140">
        <v>0</v>
      </c>
      <c r="R406" s="140">
        <v>0</v>
      </c>
      <c r="S406" s="140">
        <v>0</v>
      </c>
      <c r="T406" s="140">
        <v>0</v>
      </c>
      <c r="U406" s="140">
        <v>6</v>
      </c>
      <c r="V406" s="140">
        <f t="shared" si="92"/>
        <v>6</v>
      </c>
      <c r="X406" s="98">
        <v>0</v>
      </c>
      <c r="Y406" s="98">
        <v>0</v>
      </c>
      <c r="Z406" s="98">
        <v>0</v>
      </c>
      <c r="AA406" s="98">
        <v>0</v>
      </c>
      <c r="AB406" s="98">
        <v>0</v>
      </c>
      <c r="AC406" s="98">
        <v>0</v>
      </c>
      <c r="AD406" s="98">
        <v>0</v>
      </c>
      <c r="AE406" s="98">
        <v>0</v>
      </c>
      <c r="AF406" s="98">
        <f t="shared" si="89"/>
        <v>0</v>
      </c>
      <c r="AH406" s="98">
        <v>6</v>
      </c>
      <c r="AJ406" s="98">
        <v>0</v>
      </c>
      <c r="AK406" s="98">
        <v>0</v>
      </c>
      <c r="AL406" s="380">
        <v>0</v>
      </c>
      <c r="AN406" s="214">
        <f t="shared" si="93"/>
        <v>26076</v>
      </c>
      <c r="AO406" s="214">
        <f t="shared" si="94"/>
        <v>0</v>
      </c>
      <c r="AP406" s="214">
        <f t="shared" si="95"/>
        <v>0</v>
      </c>
      <c r="AQ406" s="214">
        <f t="shared" si="96"/>
        <v>0</v>
      </c>
      <c r="AR406" s="214">
        <f t="shared" si="97"/>
        <v>0</v>
      </c>
      <c r="AS406" s="214">
        <f t="shared" si="98"/>
        <v>0</v>
      </c>
      <c r="AT406" s="214">
        <f t="shared" si="99"/>
        <v>0</v>
      </c>
      <c r="AU406" s="214">
        <f t="shared" si="100"/>
        <v>0</v>
      </c>
      <c r="AV406" s="214">
        <f t="shared" si="101"/>
        <v>26076</v>
      </c>
      <c r="AW406" s="215">
        <f t="shared" si="102"/>
        <v>26076</v>
      </c>
    </row>
    <row r="407" spans="1:49" ht="15" customHeight="1">
      <c r="A407" s="140" t="s">
        <v>263</v>
      </c>
      <c r="B407" s="211" t="s">
        <v>187</v>
      </c>
      <c r="C407" s="140" t="str">
        <f t="shared" si="90"/>
        <v>Word of Life Evangelical Lutheran School-MPCP</v>
      </c>
      <c r="D407" s="140">
        <v>5</v>
      </c>
      <c r="E407" s="140">
        <v>0</v>
      </c>
      <c r="F407" s="140">
        <v>0</v>
      </c>
      <c r="G407" s="140">
        <v>0</v>
      </c>
      <c r="H407" s="140">
        <v>0</v>
      </c>
      <c r="I407" s="140">
        <v>4</v>
      </c>
      <c r="J407" s="140">
        <v>66</v>
      </c>
      <c r="K407" s="140">
        <v>0</v>
      </c>
      <c r="L407" s="140">
        <f t="shared" si="91"/>
        <v>75</v>
      </c>
      <c r="N407" s="140">
        <v>4</v>
      </c>
      <c r="O407" s="140">
        <v>0</v>
      </c>
      <c r="P407" s="140">
        <v>0</v>
      </c>
      <c r="Q407" s="140">
        <v>0</v>
      </c>
      <c r="R407" s="140">
        <v>0</v>
      </c>
      <c r="S407" s="140">
        <v>4</v>
      </c>
      <c r="T407" s="140">
        <v>62</v>
      </c>
      <c r="U407" s="140">
        <v>0</v>
      </c>
      <c r="V407" s="140">
        <f t="shared" si="92"/>
        <v>70</v>
      </c>
      <c r="X407" s="98">
        <v>0</v>
      </c>
      <c r="Y407" s="98">
        <v>0</v>
      </c>
      <c r="Z407" s="98">
        <v>0</v>
      </c>
      <c r="AA407" s="98">
        <v>0</v>
      </c>
      <c r="AB407" s="98">
        <v>0</v>
      </c>
      <c r="AC407" s="98">
        <v>0</v>
      </c>
      <c r="AD407" s="98">
        <v>0</v>
      </c>
      <c r="AE407" s="98">
        <v>0</v>
      </c>
      <c r="AF407" s="98">
        <f t="shared" si="89"/>
        <v>0</v>
      </c>
      <c r="AH407" s="98">
        <v>44</v>
      </c>
      <c r="AJ407" s="98">
        <v>0</v>
      </c>
      <c r="AK407" s="98">
        <v>0</v>
      </c>
      <c r="AL407" s="380">
        <v>0</v>
      </c>
      <c r="AN407" s="214">
        <f t="shared" si="93"/>
        <v>273564</v>
      </c>
      <c r="AO407" s="214">
        <f t="shared" si="94"/>
        <v>8046</v>
      </c>
      <c r="AP407" s="214">
        <f t="shared" si="95"/>
        <v>0</v>
      </c>
      <c r="AQ407" s="214">
        <f t="shared" si="96"/>
        <v>0</v>
      </c>
      <c r="AR407" s="214">
        <f t="shared" si="97"/>
        <v>0</v>
      </c>
      <c r="AS407" s="214">
        <f t="shared" si="98"/>
        <v>0</v>
      </c>
      <c r="AT407" s="214">
        <f t="shared" si="99"/>
        <v>16092</v>
      </c>
      <c r="AU407" s="214">
        <f t="shared" si="100"/>
        <v>249426</v>
      </c>
      <c r="AV407" s="214">
        <f t="shared" si="101"/>
        <v>0</v>
      </c>
      <c r="AW407" s="215">
        <f t="shared" si="102"/>
        <v>273564</v>
      </c>
    </row>
    <row r="408" spans="1:49" ht="15" customHeight="1">
      <c r="A408" s="140" t="s">
        <v>263</v>
      </c>
      <c r="B408" s="211" t="s">
        <v>188</v>
      </c>
      <c r="C408" s="140" t="str">
        <f t="shared" si="90"/>
        <v>Word of Life Evangelical Lutheran School-RPCP</v>
      </c>
      <c r="D408" s="140">
        <v>5</v>
      </c>
      <c r="E408" s="140">
        <v>0</v>
      </c>
      <c r="F408" s="140">
        <v>0</v>
      </c>
      <c r="G408" s="140">
        <v>0</v>
      </c>
      <c r="H408" s="140">
        <v>0</v>
      </c>
      <c r="I408" s="140">
        <v>4</v>
      </c>
      <c r="J408" s="140">
        <v>66</v>
      </c>
      <c r="K408" s="140">
        <v>0</v>
      </c>
      <c r="L408" s="140">
        <f t="shared" si="91"/>
        <v>75</v>
      </c>
      <c r="N408" s="140">
        <v>0</v>
      </c>
      <c r="O408" s="140">
        <v>0</v>
      </c>
      <c r="P408" s="140">
        <v>0</v>
      </c>
      <c r="Q408" s="140">
        <v>0</v>
      </c>
      <c r="R408" s="140">
        <v>0</v>
      </c>
      <c r="S408" s="140">
        <v>0</v>
      </c>
      <c r="T408" s="140">
        <v>0</v>
      </c>
      <c r="U408" s="140">
        <v>0</v>
      </c>
      <c r="V408" s="140">
        <f t="shared" si="92"/>
        <v>0</v>
      </c>
      <c r="X408" s="98">
        <v>0</v>
      </c>
      <c r="Y408" s="98">
        <v>0</v>
      </c>
      <c r="Z408" s="98">
        <v>0</v>
      </c>
      <c r="AA408" s="98">
        <v>0</v>
      </c>
      <c r="AB408" s="98">
        <v>0</v>
      </c>
      <c r="AC408" s="98">
        <v>0</v>
      </c>
      <c r="AD408" s="98">
        <v>0</v>
      </c>
      <c r="AE408" s="98">
        <v>0</v>
      </c>
      <c r="AF408" s="98">
        <f t="shared" si="89"/>
        <v>0</v>
      </c>
      <c r="AH408" s="98">
        <v>0</v>
      </c>
      <c r="AJ408" s="98">
        <v>0</v>
      </c>
      <c r="AK408" s="98">
        <v>0</v>
      </c>
      <c r="AL408" s="380">
        <v>0</v>
      </c>
      <c r="AN408" s="214">
        <f t="shared" si="93"/>
        <v>0</v>
      </c>
      <c r="AO408" s="214">
        <f t="shared" si="94"/>
        <v>0</v>
      </c>
      <c r="AP408" s="214">
        <f t="shared" si="95"/>
        <v>0</v>
      </c>
      <c r="AQ408" s="214">
        <f t="shared" si="96"/>
        <v>0</v>
      </c>
      <c r="AR408" s="214">
        <f t="shared" si="97"/>
        <v>0</v>
      </c>
      <c r="AS408" s="214">
        <f t="shared" si="98"/>
        <v>0</v>
      </c>
      <c r="AT408" s="214">
        <f t="shared" si="99"/>
        <v>0</v>
      </c>
      <c r="AU408" s="214">
        <f t="shared" si="100"/>
        <v>0</v>
      </c>
      <c r="AV408" s="214">
        <f t="shared" si="101"/>
        <v>0</v>
      </c>
      <c r="AW408" s="215">
        <f t="shared" si="102"/>
        <v>0</v>
      </c>
    </row>
    <row r="409" spans="1:49" ht="15" customHeight="1">
      <c r="A409" s="140" t="s">
        <v>263</v>
      </c>
      <c r="B409" s="211" t="s">
        <v>96</v>
      </c>
      <c r="C409" s="140" t="str">
        <f t="shared" si="90"/>
        <v>Word of Life Evangelical Lutheran School-WPCP</v>
      </c>
      <c r="D409" s="140">
        <v>5</v>
      </c>
      <c r="E409" s="140">
        <v>0</v>
      </c>
      <c r="F409" s="140">
        <v>0</v>
      </c>
      <c r="G409" s="140">
        <v>0</v>
      </c>
      <c r="H409" s="140">
        <v>0</v>
      </c>
      <c r="I409" s="140">
        <v>4</v>
      </c>
      <c r="J409" s="140">
        <v>66</v>
      </c>
      <c r="K409" s="140">
        <v>0</v>
      </c>
      <c r="L409" s="140">
        <f t="shared" si="91"/>
        <v>75</v>
      </c>
      <c r="N409" s="140">
        <v>1</v>
      </c>
      <c r="O409" s="140">
        <v>0</v>
      </c>
      <c r="P409" s="140">
        <v>0</v>
      </c>
      <c r="Q409" s="140">
        <v>0</v>
      </c>
      <c r="R409" s="140">
        <v>0</v>
      </c>
      <c r="S409" s="140">
        <v>0</v>
      </c>
      <c r="T409" s="140">
        <v>1</v>
      </c>
      <c r="U409" s="140">
        <v>0</v>
      </c>
      <c r="V409" s="140">
        <f t="shared" si="92"/>
        <v>2</v>
      </c>
      <c r="X409" s="98">
        <v>0</v>
      </c>
      <c r="Y409" s="98">
        <v>0</v>
      </c>
      <c r="Z409" s="98">
        <v>0</v>
      </c>
      <c r="AA409" s="98">
        <v>0</v>
      </c>
      <c r="AB409" s="98">
        <v>0</v>
      </c>
      <c r="AC409" s="98">
        <v>0</v>
      </c>
      <c r="AD409" s="98">
        <v>0</v>
      </c>
      <c r="AE409" s="98">
        <v>0</v>
      </c>
      <c r="AF409" s="98">
        <f t="shared" si="89"/>
        <v>0</v>
      </c>
      <c r="AH409" s="98">
        <v>1</v>
      </c>
      <c r="AJ409" s="98">
        <v>0</v>
      </c>
      <c r="AK409" s="98">
        <v>0</v>
      </c>
      <c r="AL409" s="380">
        <v>0</v>
      </c>
      <c r="AN409" s="214">
        <f t="shared" si="93"/>
        <v>6034.5</v>
      </c>
      <c r="AO409" s="214">
        <f t="shared" si="94"/>
        <v>2011.5</v>
      </c>
      <c r="AP409" s="214">
        <f t="shared" si="95"/>
        <v>0</v>
      </c>
      <c r="AQ409" s="214">
        <f t="shared" si="96"/>
        <v>0</v>
      </c>
      <c r="AR409" s="214">
        <f t="shared" si="97"/>
        <v>0</v>
      </c>
      <c r="AS409" s="214">
        <f t="shared" si="98"/>
        <v>0</v>
      </c>
      <c r="AT409" s="214">
        <f t="shared" si="99"/>
        <v>0</v>
      </c>
      <c r="AU409" s="214">
        <f t="shared" si="100"/>
        <v>4023</v>
      </c>
      <c r="AV409" s="214">
        <f t="shared" si="101"/>
        <v>0</v>
      </c>
      <c r="AW409" s="215">
        <f t="shared" si="102"/>
        <v>6034.5</v>
      </c>
    </row>
    <row r="410" spans="1:49" ht="14.25">
      <c r="A410" s="140" t="s">
        <v>165</v>
      </c>
      <c r="B410" s="211" t="s">
        <v>187</v>
      </c>
      <c r="C410" s="140" t="str">
        <f t="shared" si="90"/>
        <v>Yeshiva Elementary School-MPCP</v>
      </c>
      <c r="D410" s="140">
        <v>0</v>
      </c>
      <c r="E410" s="140">
        <v>20</v>
      </c>
      <c r="F410" s="140">
        <v>0</v>
      </c>
      <c r="G410" s="140">
        <v>0</v>
      </c>
      <c r="H410" s="140">
        <v>0</v>
      </c>
      <c r="I410" s="140">
        <v>18</v>
      </c>
      <c r="J410" s="140">
        <v>184</v>
      </c>
      <c r="K410" s="140">
        <v>0</v>
      </c>
      <c r="L410" s="140">
        <f t="shared" si="91"/>
        <v>222</v>
      </c>
      <c r="N410" s="140">
        <v>0</v>
      </c>
      <c r="O410" s="140">
        <v>19</v>
      </c>
      <c r="P410" s="140">
        <v>0</v>
      </c>
      <c r="Q410" s="140">
        <v>0</v>
      </c>
      <c r="R410" s="140">
        <v>0</v>
      </c>
      <c r="S410" s="140">
        <v>17</v>
      </c>
      <c r="T410" s="140">
        <v>167</v>
      </c>
      <c r="U410" s="140">
        <v>0</v>
      </c>
      <c r="V410" s="140">
        <f t="shared" si="92"/>
        <v>203</v>
      </c>
      <c r="X410" s="98">
        <v>0</v>
      </c>
      <c r="Y410" s="98">
        <v>0</v>
      </c>
      <c r="Z410" s="98">
        <v>0</v>
      </c>
      <c r="AA410" s="98">
        <v>0</v>
      </c>
      <c r="AB410" s="98">
        <v>0</v>
      </c>
      <c r="AC410" s="98">
        <v>0</v>
      </c>
      <c r="AD410" s="98">
        <v>0</v>
      </c>
      <c r="AE410" s="98">
        <v>0</v>
      </c>
      <c r="AF410" s="98">
        <f t="shared" si="89"/>
        <v>0</v>
      </c>
      <c r="AH410" s="98">
        <v>74</v>
      </c>
      <c r="AJ410" s="98">
        <v>0</v>
      </c>
      <c r="AK410" s="98">
        <v>0</v>
      </c>
      <c r="AL410" s="380">
        <v>0</v>
      </c>
      <c r="AN410" s="214">
        <f t="shared" si="93"/>
        <v>786094.2</v>
      </c>
      <c r="AO410" s="214">
        <f t="shared" si="94"/>
        <v>0</v>
      </c>
      <c r="AP410" s="214">
        <f t="shared" si="95"/>
        <v>45862.2</v>
      </c>
      <c r="AQ410" s="214">
        <f t="shared" si="96"/>
        <v>0</v>
      </c>
      <c r="AR410" s="214">
        <f t="shared" si="97"/>
        <v>0</v>
      </c>
      <c r="AS410" s="214">
        <f t="shared" si="98"/>
        <v>0</v>
      </c>
      <c r="AT410" s="214">
        <f t="shared" si="99"/>
        <v>68391</v>
      </c>
      <c r="AU410" s="214">
        <f t="shared" si="100"/>
        <v>671841</v>
      </c>
      <c r="AV410" s="214">
        <f t="shared" si="101"/>
        <v>0</v>
      </c>
      <c r="AW410" s="215">
        <f t="shared" si="102"/>
        <v>786094.2</v>
      </c>
    </row>
    <row r="411" spans="1:49" ht="15" customHeight="1">
      <c r="A411" s="140" t="s">
        <v>606</v>
      </c>
      <c r="B411" s="211" t="s">
        <v>96</v>
      </c>
      <c r="C411" s="140" t="str">
        <f t="shared" si="90"/>
        <v>Zion Lutheran School - Hartland-WPCP</v>
      </c>
      <c r="D411" s="140">
        <v>0</v>
      </c>
      <c r="E411" s="140">
        <v>0</v>
      </c>
      <c r="F411" s="140">
        <v>0</v>
      </c>
      <c r="G411" s="140">
        <v>0</v>
      </c>
      <c r="H411" s="140">
        <v>0</v>
      </c>
      <c r="I411" s="140">
        <v>3</v>
      </c>
      <c r="J411" s="140">
        <v>24</v>
      </c>
      <c r="K411" s="140">
        <v>0</v>
      </c>
      <c r="L411" s="140">
        <f t="shared" si="91"/>
        <v>27</v>
      </c>
      <c r="N411" s="140">
        <v>0</v>
      </c>
      <c r="O411" s="140">
        <v>0</v>
      </c>
      <c r="P411" s="140">
        <v>0</v>
      </c>
      <c r="Q411" s="140">
        <v>0</v>
      </c>
      <c r="R411" s="140">
        <v>0</v>
      </c>
      <c r="S411" s="140">
        <v>1</v>
      </c>
      <c r="T411" s="140">
        <v>3</v>
      </c>
      <c r="U411" s="140">
        <v>0</v>
      </c>
      <c r="V411" s="140">
        <f t="shared" si="92"/>
        <v>4</v>
      </c>
      <c r="X411" s="98">
        <v>0</v>
      </c>
      <c r="Y411" s="98">
        <v>0</v>
      </c>
      <c r="Z411" s="98">
        <v>0</v>
      </c>
      <c r="AA411" s="98">
        <v>0</v>
      </c>
      <c r="AB411" s="98">
        <v>0</v>
      </c>
      <c r="AC411" s="98">
        <v>0</v>
      </c>
      <c r="AD411" s="98">
        <v>0</v>
      </c>
      <c r="AE411" s="98">
        <v>0</v>
      </c>
      <c r="AF411" s="98">
        <f t="shared" si="89"/>
        <v>0</v>
      </c>
      <c r="AH411" s="98">
        <v>2</v>
      </c>
      <c r="AJ411" s="98">
        <v>0</v>
      </c>
      <c r="AK411" s="98">
        <v>0</v>
      </c>
      <c r="AL411" s="380">
        <v>0</v>
      </c>
      <c r="AN411" s="214">
        <f t="shared" si="93"/>
        <v>16092</v>
      </c>
      <c r="AO411" s="214">
        <f t="shared" si="94"/>
        <v>0</v>
      </c>
      <c r="AP411" s="214">
        <f t="shared" si="95"/>
        <v>0</v>
      </c>
      <c r="AQ411" s="214">
        <f t="shared" si="96"/>
        <v>0</v>
      </c>
      <c r="AR411" s="214">
        <f t="shared" si="97"/>
        <v>0</v>
      </c>
      <c r="AS411" s="214">
        <f t="shared" si="98"/>
        <v>0</v>
      </c>
      <c r="AT411" s="214">
        <f t="shared" si="99"/>
        <v>4023</v>
      </c>
      <c r="AU411" s="214">
        <f t="shared" si="100"/>
        <v>12069</v>
      </c>
      <c r="AV411" s="214">
        <f t="shared" si="101"/>
        <v>0</v>
      </c>
      <c r="AW411" s="215">
        <f t="shared" si="102"/>
        <v>16092</v>
      </c>
    </row>
    <row r="412" spans="1:49" ht="15" customHeight="1">
      <c r="A412" s="140" t="s">
        <v>379</v>
      </c>
      <c r="B412" s="211" t="s">
        <v>187</v>
      </c>
      <c r="C412" s="140" t="str">
        <f t="shared" si="90"/>
        <v>Zion Lutheran School - Menomonee Falls-MPCP</v>
      </c>
      <c r="D412" s="140">
        <v>15</v>
      </c>
      <c r="E412" s="140">
        <v>0</v>
      </c>
      <c r="F412" s="140">
        <v>0</v>
      </c>
      <c r="G412" s="140">
        <v>0</v>
      </c>
      <c r="H412" s="140">
        <v>0</v>
      </c>
      <c r="I412" s="140">
        <v>12</v>
      </c>
      <c r="J412" s="140">
        <v>67</v>
      </c>
      <c r="K412" s="140">
        <v>0</v>
      </c>
      <c r="L412" s="140">
        <f t="shared" si="91"/>
        <v>94</v>
      </c>
      <c r="N412" s="140">
        <v>2</v>
      </c>
      <c r="O412" s="140">
        <v>0</v>
      </c>
      <c r="P412" s="140">
        <v>0</v>
      </c>
      <c r="Q412" s="140">
        <v>0</v>
      </c>
      <c r="R412" s="140">
        <v>0</v>
      </c>
      <c r="S412" s="140">
        <v>4</v>
      </c>
      <c r="T412" s="140">
        <v>28</v>
      </c>
      <c r="U412" s="140">
        <v>0</v>
      </c>
      <c r="V412" s="140">
        <f t="shared" si="92"/>
        <v>34</v>
      </c>
      <c r="X412" s="98">
        <v>0</v>
      </c>
      <c r="Y412" s="98">
        <v>0</v>
      </c>
      <c r="Z412" s="98">
        <v>0</v>
      </c>
      <c r="AA412" s="98">
        <v>0</v>
      </c>
      <c r="AB412" s="98">
        <v>0</v>
      </c>
      <c r="AC412" s="98">
        <v>0</v>
      </c>
      <c r="AD412" s="98">
        <v>0</v>
      </c>
      <c r="AE412" s="98">
        <v>0</v>
      </c>
      <c r="AF412" s="98">
        <f t="shared" si="89"/>
        <v>0</v>
      </c>
      <c r="AH412" s="98">
        <v>20</v>
      </c>
      <c r="AJ412" s="98">
        <v>0</v>
      </c>
      <c r="AK412" s="98">
        <v>0</v>
      </c>
      <c r="AL412" s="380">
        <v>0</v>
      </c>
      <c r="AN412" s="214">
        <f t="shared" si="93"/>
        <v>132759</v>
      </c>
      <c r="AO412" s="214">
        <f t="shared" si="94"/>
        <v>4023</v>
      </c>
      <c r="AP412" s="214">
        <f t="shared" si="95"/>
        <v>0</v>
      </c>
      <c r="AQ412" s="214">
        <f t="shared" si="96"/>
        <v>0</v>
      </c>
      <c r="AR412" s="214">
        <f t="shared" si="97"/>
        <v>0</v>
      </c>
      <c r="AS412" s="214">
        <f t="shared" si="98"/>
        <v>0</v>
      </c>
      <c r="AT412" s="214">
        <f t="shared" si="99"/>
        <v>16092</v>
      </c>
      <c r="AU412" s="214">
        <f t="shared" si="100"/>
        <v>112644</v>
      </c>
      <c r="AV412" s="214">
        <f t="shared" si="101"/>
        <v>0</v>
      </c>
      <c r="AW412" s="215">
        <f t="shared" si="102"/>
        <v>132759</v>
      </c>
    </row>
    <row r="413" spans="1:49" ht="15" customHeight="1">
      <c r="A413" s="140" t="s">
        <v>379</v>
      </c>
      <c r="B413" s="211" t="s">
        <v>96</v>
      </c>
      <c r="C413" s="140" t="str">
        <f t="shared" si="90"/>
        <v>Zion Lutheran School - Menomonee Falls-WPCP</v>
      </c>
      <c r="D413" s="140">
        <v>15</v>
      </c>
      <c r="E413" s="140">
        <v>0</v>
      </c>
      <c r="F413" s="140">
        <v>0</v>
      </c>
      <c r="G413" s="140">
        <v>0</v>
      </c>
      <c r="H413" s="140">
        <v>0</v>
      </c>
      <c r="I413" s="140">
        <v>12</v>
      </c>
      <c r="J413" s="140">
        <v>67</v>
      </c>
      <c r="K413" s="140">
        <v>0</v>
      </c>
      <c r="L413" s="140">
        <f t="shared" si="91"/>
        <v>94</v>
      </c>
      <c r="N413" s="140">
        <v>0</v>
      </c>
      <c r="O413" s="140">
        <v>0</v>
      </c>
      <c r="P413" s="140">
        <v>0</v>
      </c>
      <c r="Q413" s="140">
        <v>0</v>
      </c>
      <c r="R413" s="140">
        <v>0</v>
      </c>
      <c r="S413" s="140">
        <v>1</v>
      </c>
      <c r="T413" s="140">
        <v>11</v>
      </c>
      <c r="U413" s="140">
        <v>0</v>
      </c>
      <c r="V413" s="140">
        <f t="shared" si="92"/>
        <v>12</v>
      </c>
      <c r="X413" s="98">
        <v>0</v>
      </c>
      <c r="Y413" s="98">
        <v>0</v>
      </c>
      <c r="Z413" s="98">
        <v>0</v>
      </c>
      <c r="AA413" s="98">
        <v>0</v>
      </c>
      <c r="AB413" s="98">
        <v>0</v>
      </c>
      <c r="AC413" s="98">
        <v>0</v>
      </c>
      <c r="AD413" s="98">
        <v>0</v>
      </c>
      <c r="AE413" s="98">
        <v>0</v>
      </c>
      <c r="AF413" s="98">
        <f t="shared" si="89"/>
        <v>0</v>
      </c>
      <c r="AH413" s="98">
        <v>8</v>
      </c>
      <c r="AJ413" s="98">
        <v>0</v>
      </c>
      <c r="AK413" s="98">
        <v>0</v>
      </c>
      <c r="AL413" s="380">
        <v>0</v>
      </c>
      <c r="AN413" s="214">
        <f t="shared" si="93"/>
        <v>48276</v>
      </c>
      <c r="AO413" s="214">
        <f t="shared" si="94"/>
        <v>0</v>
      </c>
      <c r="AP413" s="214">
        <f t="shared" si="95"/>
        <v>0</v>
      </c>
      <c r="AQ413" s="214">
        <f t="shared" si="96"/>
        <v>0</v>
      </c>
      <c r="AR413" s="214">
        <f t="shared" si="97"/>
        <v>0</v>
      </c>
      <c r="AS413" s="214">
        <f t="shared" si="98"/>
        <v>0</v>
      </c>
      <c r="AT413" s="214">
        <f t="shared" si="99"/>
        <v>4023</v>
      </c>
      <c r="AU413" s="214">
        <f t="shared" si="100"/>
        <v>44253</v>
      </c>
      <c r="AV413" s="214">
        <f t="shared" si="101"/>
        <v>0</v>
      </c>
      <c r="AW413" s="215">
        <f t="shared" si="102"/>
        <v>48276</v>
      </c>
    </row>
    <row r="414" spans="1:49" ht="15" customHeight="1">
      <c r="A414" s="140" t="s">
        <v>490</v>
      </c>
      <c r="B414" s="211" t="s">
        <v>96</v>
      </c>
      <c r="C414" s="140" t="str">
        <f t="shared" si="90"/>
        <v>Zion Lutheran School - Wayside-WPCP</v>
      </c>
      <c r="D414" s="140">
        <v>0</v>
      </c>
      <c r="E414" s="140">
        <v>0</v>
      </c>
      <c r="F414" s="140">
        <v>0</v>
      </c>
      <c r="G414" s="140">
        <v>0</v>
      </c>
      <c r="H414" s="140">
        <v>0</v>
      </c>
      <c r="I414" s="140">
        <v>9</v>
      </c>
      <c r="J414" s="140">
        <v>72</v>
      </c>
      <c r="K414" s="140">
        <v>0</v>
      </c>
      <c r="L414" s="140">
        <f t="shared" si="91"/>
        <v>81</v>
      </c>
      <c r="N414" s="140">
        <v>0</v>
      </c>
      <c r="O414" s="140">
        <v>0</v>
      </c>
      <c r="P414" s="140">
        <v>0</v>
      </c>
      <c r="Q414" s="140">
        <v>0</v>
      </c>
      <c r="R414" s="140">
        <v>0</v>
      </c>
      <c r="S414" s="140">
        <v>1</v>
      </c>
      <c r="T414" s="140">
        <v>8</v>
      </c>
      <c r="U414" s="140">
        <v>0</v>
      </c>
      <c r="V414" s="140">
        <f t="shared" si="92"/>
        <v>9</v>
      </c>
      <c r="X414" s="98">
        <v>0</v>
      </c>
      <c r="Y414" s="98">
        <v>0</v>
      </c>
      <c r="Z414" s="98">
        <v>0</v>
      </c>
      <c r="AA414" s="98">
        <v>0</v>
      </c>
      <c r="AB414" s="98">
        <v>0</v>
      </c>
      <c r="AC414" s="98">
        <v>0</v>
      </c>
      <c r="AD414" s="98">
        <v>0</v>
      </c>
      <c r="AE414" s="98">
        <v>0</v>
      </c>
      <c r="AF414" s="98">
        <f t="shared" si="89"/>
        <v>0</v>
      </c>
      <c r="AH414" s="98">
        <v>7</v>
      </c>
      <c r="AJ414" s="98">
        <v>0</v>
      </c>
      <c r="AK414" s="98">
        <v>0</v>
      </c>
      <c r="AL414" s="380">
        <v>0</v>
      </c>
      <c r="AN414" s="214">
        <f t="shared" si="93"/>
        <v>36207</v>
      </c>
      <c r="AO414" s="214">
        <f t="shared" si="94"/>
        <v>0</v>
      </c>
      <c r="AP414" s="214">
        <f t="shared" si="95"/>
        <v>0</v>
      </c>
      <c r="AQ414" s="214">
        <f t="shared" si="96"/>
        <v>0</v>
      </c>
      <c r="AR414" s="214">
        <f t="shared" si="97"/>
        <v>0</v>
      </c>
      <c r="AS414" s="214">
        <f t="shared" si="98"/>
        <v>0</v>
      </c>
      <c r="AT414" s="214">
        <f t="shared" si="99"/>
        <v>4023</v>
      </c>
      <c r="AU414" s="214">
        <f t="shared" si="100"/>
        <v>32184</v>
      </c>
      <c r="AV414" s="214">
        <f t="shared" si="101"/>
        <v>0</v>
      </c>
      <c r="AW414" s="215">
        <f t="shared" si="102"/>
        <v>36207</v>
      </c>
    </row>
    <row r="415" spans="1:49" ht="15" thickBot="1">
      <c r="A415" s="154"/>
      <c r="B415" s="154"/>
      <c r="C415" s="154"/>
      <c r="D415" s="212">
        <f aca="true" t="shared" si="104" ref="D415:L415">SUM(D4:D414)</f>
        <v>3687</v>
      </c>
      <c r="E415" s="212">
        <f t="shared" si="104"/>
        <v>2842</v>
      </c>
      <c r="F415" s="212">
        <f t="shared" si="104"/>
        <v>124</v>
      </c>
      <c r="G415" s="212">
        <f t="shared" si="104"/>
        <v>32</v>
      </c>
      <c r="H415" s="212">
        <f t="shared" si="104"/>
        <v>0</v>
      </c>
      <c r="I415" s="212">
        <f t="shared" si="104"/>
        <v>7564</v>
      </c>
      <c r="J415" s="212">
        <f t="shared" si="104"/>
        <v>61215</v>
      </c>
      <c r="K415" s="212">
        <f t="shared" si="104"/>
        <v>29559</v>
      </c>
      <c r="L415" s="212">
        <f t="shared" si="104"/>
        <v>105023</v>
      </c>
      <c r="M415" s="154"/>
      <c r="N415" s="154">
        <f aca="true" t="shared" si="105" ref="N415:V415">SUM(N4:N414)</f>
        <v>1172</v>
      </c>
      <c r="O415" s="154">
        <f t="shared" si="105"/>
        <v>1617</v>
      </c>
      <c r="P415" s="154">
        <f t="shared" si="105"/>
        <v>61</v>
      </c>
      <c r="Q415" s="154">
        <f t="shared" si="105"/>
        <v>11</v>
      </c>
      <c r="R415" s="154">
        <f t="shared" si="105"/>
        <v>0</v>
      </c>
      <c r="S415" s="154">
        <f t="shared" si="105"/>
        <v>3514</v>
      </c>
      <c r="T415" s="154">
        <f t="shared" si="105"/>
        <v>26658</v>
      </c>
      <c r="U415" s="154">
        <f t="shared" si="105"/>
        <v>9359</v>
      </c>
      <c r="V415" s="154">
        <f t="shared" si="105"/>
        <v>42392</v>
      </c>
      <c r="W415" s="154"/>
      <c r="X415" s="154">
        <f aca="true" t="shared" si="106" ref="X415:AF415">SUM(X4:X414)</f>
        <v>17</v>
      </c>
      <c r="Y415" s="154">
        <f t="shared" si="106"/>
        <v>67</v>
      </c>
      <c r="Z415" s="154">
        <f t="shared" si="106"/>
        <v>4</v>
      </c>
      <c r="AA415" s="154">
        <f t="shared" si="106"/>
        <v>0</v>
      </c>
      <c r="AB415" s="154">
        <f t="shared" si="106"/>
        <v>0</v>
      </c>
      <c r="AC415" s="154">
        <f t="shared" si="106"/>
        <v>64</v>
      </c>
      <c r="AD415" s="154">
        <f t="shared" si="106"/>
        <v>558</v>
      </c>
      <c r="AE415" s="154">
        <f t="shared" si="106"/>
        <v>703</v>
      </c>
      <c r="AF415" s="154">
        <f t="shared" si="106"/>
        <v>1413</v>
      </c>
      <c r="AG415" s="154"/>
      <c r="AH415" s="154">
        <f>SUM(AH4:AH414)</f>
        <v>28289</v>
      </c>
      <c r="AJ415" s="154">
        <f>SUM(AJ4:AJ414)</f>
        <v>2763</v>
      </c>
      <c r="AK415" s="154">
        <f>SUM(AK4:AK414)</f>
        <v>755</v>
      </c>
      <c r="AL415" s="163">
        <f>SUM(AL4:AL414)</f>
        <v>1216028.3399999992</v>
      </c>
      <c r="AN415" s="163">
        <f aca="true" t="shared" si="107" ref="AN415:AW415">SUM(AN4:AN414)</f>
        <v>168468027.39999995</v>
      </c>
      <c r="AO415" s="163">
        <f t="shared" si="107"/>
        <v>2357478</v>
      </c>
      <c r="AP415" s="163">
        <f t="shared" si="107"/>
        <v>3903114.5999999996</v>
      </c>
      <c r="AQ415" s="163">
        <f t="shared" si="107"/>
        <v>122701.5</v>
      </c>
      <c r="AR415" s="163">
        <f t="shared" si="107"/>
        <v>26551.8</v>
      </c>
      <c r="AS415" s="163">
        <f t="shared" si="107"/>
        <v>0</v>
      </c>
      <c r="AT415" s="163">
        <f t="shared" si="107"/>
        <v>14136822</v>
      </c>
      <c r="AU415" s="163">
        <f t="shared" si="107"/>
        <v>107245134</v>
      </c>
      <c r="AV415" s="163">
        <f t="shared" si="107"/>
        <v>40674214</v>
      </c>
      <c r="AW415" s="163">
        <f t="shared" si="107"/>
        <v>168466015.89999995</v>
      </c>
    </row>
    <row r="416" ht="15" thickTop="1"/>
    <row r="417" spans="1:40" ht="14.25">
      <c r="A417" s="98">
        <v>1</v>
      </c>
      <c r="B417" s="98">
        <v>2</v>
      </c>
      <c r="C417" s="98">
        <v>3</v>
      </c>
      <c r="D417" s="98">
        <v>4</v>
      </c>
      <c r="E417" s="98">
        <v>5</v>
      </c>
      <c r="F417" s="98">
        <v>6</v>
      </c>
      <c r="G417" s="98">
        <v>7</v>
      </c>
      <c r="H417" s="98">
        <v>8</v>
      </c>
      <c r="I417" s="98">
        <v>9</v>
      </c>
      <c r="J417" s="98">
        <v>10</v>
      </c>
      <c r="K417" s="98">
        <v>11</v>
      </c>
      <c r="L417" s="98">
        <v>12</v>
      </c>
      <c r="M417" s="98">
        <v>13</v>
      </c>
      <c r="N417" s="98">
        <v>14</v>
      </c>
      <c r="O417" s="98">
        <v>15</v>
      </c>
      <c r="P417" s="98">
        <v>16</v>
      </c>
      <c r="Q417" s="98">
        <v>17</v>
      </c>
      <c r="R417" s="98">
        <v>18</v>
      </c>
      <c r="S417" s="98">
        <v>19</v>
      </c>
      <c r="T417" s="98">
        <v>20</v>
      </c>
      <c r="U417" s="98">
        <v>21</v>
      </c>
      <c r="V417" s="98">
        <v>22</v>
      </c>
      <c r="W417" s="98">
        <v>23</v>
      </c>
      <c r="X417" s="98">
        <v>24</v>
      </c>
      <c r="Y417" s="98">
        <v>25</v>
      </c>
      <c r="Z417" s="98">
        <v>26</v>
      </c>
      <c r="AA417" s="98">
        <v>27</v>
      </c>
      <c r="AB417" s="98">
        <v>28</v>
      </c>
      <c r="AC417" s="98">
        <v>29</v>
      </c>
      <c r="AD417" s="98">
        <v>30</v>
      </c>
      <c r="AE417" s="98">
        <v>31</v>
      </c>
      <c r="AF417" s="98">
        <v>32</v>
      </c>
      <c r="AG417" s="98">
        <v>33</v>
      </c>
      <c r="AH417" s="98">
        <v>34</v>
      </c>
      <c r="AI417" s="98">
        <v>35</v>
      </c>
      <c r="AJ417" s="98">
        <v>36</v>
      </c>
      <c r="AK417" s="98">
        <v>37</v>
      </c>
      <c r="AL417" s="98">
        <v>38</v>
      </c>
      <c r="AM417" s="98">
        <v>39</v>
      </c>
      <c r="AN417" s="98">
        <v>40</v>
      </c>
    </row>
    <row r="418" spans="3:40" ht="14.25">
      <c r="C418" s="98">
        <v>1</v>
      </c>
      <c r="D418" s="98">
        <v>2</v>
      </c>
      <c r="E418" s="98">
        <v>3</v>
      </c>
      <c r="F418" s="98">
        <v>4</v>
      </c>
      <c r="G418" s="98">
        <v>5</v>
      </c>
      <c r="H418" s="98">
        <v>6</v>
      </c>
      <c r="I418" s="98">
        <v>7</v>
      </c>
      <c r="J418" s="98">
        <v>8</v>
      </c>
      <c r="K418" s="98">
        <v>9</v>
      </c>
      <c r="L418" s="98">
        <v>10</v>
      </c>
      <c r="M418" s="98">
        <v>11</v>
      </c>
      <c r="N418" s="98">
        <v>12</v>
      </c>
      <c r="O418" s="98">
        <v>13</v>
      </c>
      <c r="P418" s="98">
        <v>14</v>
      </c>
      <c r="Q418" s="98">
        <v>15</v>
      </c>
      <c r="R418" s="98">
        <v>16</v>
      </c>
      <c r="S418" s="98">
        <v>17</v>
      </c>
      <c r="T418" s="98">
        <v>18</v>
      </c>
      <c r="U418" s="98">
        <v>19</v>
      </c>
      <c r="V418" s="98">
        <v>20</v>
      </c>
      <c r="W418" s="98">
        <v>21</v>
      </c>
      <c r="X418" s="98">
        <v>22</v>
      </c>
      <c r="Y418" s="98">
        <v>23</v>
      </c>
      <c r="Z418" s="98">
        <v>24</v>
      </c>
      <c r="AA418" s="98">
        <v>25</v>
      </c>
      <c r="AB418" s="98">
        <v>26</v>
      </c>
      <c r="AC418" s="98">
        <v>27</v>
      </c>
      <c r="AD418" s="98">
        <v>28</v>
      </c>
      <c r="AE418" s="98">
        <v>29</v>
      </c>
      <c r="AF418" s="98">
        <v>30</v>
      </c>
      <c r="AG418" s="98">
        <v>31</v>
      </c>
      <c r="AH418" s="98">
        <v>32</v>
      </c>
      <c r="AI418" s="98">
        <v>33</v>
      </c>
      <c r="AJ418" s="98">
        <v>34</v>
      </c>
      <c r="AK418" s="98">
        <v>35</v>
      </c>
      <c r="AL418" s="98">
        <v>36</v>
      </c>
      <c r="AM418" s="98">
        <v>37</v>
      </c>
      <c r="AN418" s="98">
        <v>38</v>
      </c>
    </row>
    <row r="420" ht="14.25" hidden="1"/>
    <row r="421" ht="14.25" hidden="1">
      <c r="A421" s="375" t="s">
        <v>625</v>
      </c>
    </row>
    <row r="422" spans="1:49" ht="14.25" hidden="1">
      <c r="A422" s="98">
        <f>COUNTIF($B$4:$B$414,B422)</f>
        <v>130</v>
      </c>
      <c r="B422" s="98" t="s">
        <v>187</v>
      </c>
      <c r="D422" s="376">
        <f aca="true" t="shared" si="108" ref="D422:L424">SUMIF($B$4:$B$414,$B422,D$4:D$414)</f>
        <v>939</v>
      </c>
      <c r="E422" s="376">
        <f t="shared" si="108"/>
        <v>1593</v>
      </c>
      <c r="F422" s="376">
        <f t="shared" si="108"/>
        <v>10</v>
      </c>
      <c r="G422" s="376">
        <f t="shared" si="108"/>
        <v>0</v>
      </c>
      <c r="H422" s="376">
        <f t="shared" si="108"/>
        <v>0</v>
      </c>
      <c r="I422" s="376">
        <f t="shared" si="108"/>
        <v>2764</v>
      </c>
      <c r="J422" s="376">
        <f t="shared" si="108"/>
        <v>22575</v>
      </c>
      <c r="K422" s="376">
        <f t="shared" si="108"/>
        <v>11236</v>
      </c>
      <c r="L422" s="376">
        <f t="shared" si="108"/>
        <v>39117</v>
      </c>
      <c r="M422" s="376"/>
      <c r="N422" s="376">
        <f aca="true" t="shared" si="109" ref="N422:V424">SUMIF($B$4:$B$414,$B422,N$4:N$414)</f>
        <v>523</v>
      </c>
      <c r="O422" s="376">
        <f t="shared" si="109"/>
        <v>1415</v>
      </c>
      <c r="P422" s="376">
        <f t="shared" si="109"/>
        <v>7</v>
      </c>
      <c r="Q422" s="376">
        <f t="shared" si="109"/>
        <v>0</v>
      </c>
      <c r="R422" s="376">
        <f t="shared" si="109"/>
        <v>0</v>
      </c>
      <c r="S422" s="376">
        <f t="shared" si="109"/>
        <v>2175</v>
      </c>
      <c r="T422" s="376">
        <f t="shared" si="109"/>
        <v>18468</v>
      </c>
      <c r="U422" s="376">
        <f t="shared" si="109"/>
        <v>6390</v>
      </c>
      <c r="V422" s="376">
        <f t="shared" si="109"/>
        <v>28978</v>
      </c>
      <c r="W422" s="376"/>
      <c r="X422" s="376">
        <f aca="true" t="shared" si="110" ref="X422:AF424">SUMIF($B$4:$B$414,$B422,X$4:X$414)</f>
        <v>1</v>
      </c>
      <c r="Y422" s="376">
        <f t="shared" si="110"/>
        <v>47</v>
      </c>
      <c r="Z422" s="376">
        <f t="shared" si="110"/>
        <v>1</v>
      </c>
      <c r="AA422" s="376">
        <f t="shared" si="110"/>
        <v>0</v>
      </c>
      <c r="AB422" s="376">
        <f t="shared" si="110"/>
        <v>0</v>
      </c>
      <c r="AC422" s="376">
        <f t="shared" si="110"/>
        <v>33</v>
      </c>
      <c r="AD422" s="376">
        <f t="shared" si="110"/>
        <v>394</v>
      </c>
      <c r="AE422" s="376">
        <f t="shared" si="110"/>
        <v>642</v>
      </c>
      <c r="AF422" s="376">
        <f t="shared" si="110"/>
        <v>1118</v>
      </c>
      <c r="AG422" s="376"/>
      <c r="AH422" s="376">
        <f>SUMIF($B$4:$B$414,$B422,AH$4:AH$414)</f>
        <v>19535</v>
      </c>
      <c r="AI422" s="376"/>
      <c r="AJ422" s="376">
        <f aca="true" t="shared" si="111" ref="AJ422:AL424">SUMIF($B$4:$B$414,$B422,AJ$4:AJ$414)</f>
        <v>2308</v>
      </c>
      <c r="AK422" s="376">
        <f t="shared" si="111"/>
        <v>736</v>
      </c>
      <c r="AL422" s="377">
        <f t="shared" si="111"/>
        <v>1057441.9999999995</v>
      </c>
      <c r="AM422" s="377"/>
      <c r="AN422" s="377">
        <f aca="true" t="shared" si="112" ref="AN422:AW424">SUMIF($B$4:$B$414,$B422,AN$4:AN$414)</f>
        <v>115299350.99999999</v>
      </c>
      <c r="AO422" s="377">
        <f t="shared" si="112"/>
        <v>1052014.5</v>
      </c>
      <c r="AP422" s="377">
        <f t="shared" si="112"/>
        <v>3415527.000000001</v>
      </c>
      <c r="AQ422" s="377">
        <f t="shared" si="112"/>
        <v>14080.5</v>
      </c>
      <c r="AR422" s="377">
        <f t="shared" si="112"/>
        <v>0</v>
      </c>
      <c r="AS422" s="377">
        <f t="shared" si="112"/>
        <v>0</v>
      </c>
      <c r="AT422" s="377">
        <f t="shared" si="112"/>
        <v>8750025</v>
      </c>
      <c r="AU422" s="377">
        <f t="shared" si="112"/>
        <v>74296764</v>
      </c>
      <c r="AV422" s="377">
        <f t="shared" si="112"/>
        <v>27770940</v>
      </c>
      <c r="AW422" s="377">
        <f t="shared" si="112"/>
        <v>115299350.99999999</v>
      </c>
    </row>
    <row r="423" spans="1:49" ht="14.25" hidden="1">
      <c r="A423" s="98">
        <f>COUNTIF($B$4:$B$414,B423)</f>
        <v>27</v>
      </c>
      <c r="B423" s="98" t="s">
        <v>188</v>
      </c>
      <c r="D423" s="376">
        <f t="shared" si="108"/>
        <v>179</v>
      </c>
      <c r="E423" s="376">
        <f t="shared" si="108"/>
        <v>234</v>
      </c>
      <c r="F423" s="376">
        <f t="shared" si="108"/>
        <v>1</v>
      </c>
      <c r="G423" s="376">
        <f t="shared" si="108"/>
        <v>0</v>
      </c>
      <c r="H423" s="376">
        <f t="shared" si="108"/>
        <v>0</v>
      </c>
      <c r="I423" s="376">
        <f t="shared" si="108"/>
        <v>526</v>
      </c>
      <c r="J423" s="376">
        <f t="shared" si="108"/>
        <v>4505</v>
      </c>
      <c r="K423" s="376">
        <f t="shared" si="108"/>
        <v>2867</v>
      </c>
      <c r="L423" s="376">
        <f t="shared" si="108"/>
        <v>8312</v>
      </c>
      <c r="M423" s="376"/>
      <c r="N423" s="376">
        <f t="shared" si="109"/>
        <v>100</v>
      </c>
      <c r="O423" s="376">
        <f t="shared" si="109"/>
        <v>105</v>
      </c>
      <c r="P423" s="376">
        <f t="shared" si="109"/>
        <v>0</v>
      </c>
      <c r="Q423" s="376">
        <f t="shared" si="109"/>
        <v>0</v>
      </c>
      <c r="R423" s="376">
        <f t="shared" si="109"/>
        <v>0</v>
      </c>
      <c r="S423" s="376">
        <f t="shared" si="109"/>
        <v>290</v>
      </c>
      <c r="T423" s="376">
        <f t="shared" si="109"/>
        <v>2445</v>
      </c>
      <c r="U423" s="376">
        <f t="shared" si="109"/>
        <v>710</v>
      </c>
      <c r="V423" s="376">
        <f t="shared" si="109"/>
        <v>3650</v>
      </c>
      <c r="W423" s="376"/>
      <c r="X423" s="376">
        <f t="shared" si="110"/>
        <v>4</v>
      </c>
      <c r="Y423" s="376">
        <f t="shared" si="110"/>
        <v>6</v>
      </c>
      <c r="Z423" s="376">
        <f t="shared" si="110"/>
        <v>0</v>
      </c>
      <c r="AA423" s="376">
        <f t="shared" si="110"/>
        <v>0</v>
      </c>
      <c r="AB423" s="376">
        <f t="shared" si="110"/>
        <v>0</v>
      </c>
      <c r="AC423" s="376">
        <f t="shared" si="110"/>
        <v>4</v>
      </c>
      <c r="AD423" s="376">
        <f t="shared" si="110"/>
        <v>80</v>
      </c>
      <c r="AE423" s="376">
        <f t="shared" si="110"/>
        <v>24</v>
      </c>
      <c r="AF423" s="376">
        <f t="shared" si="110"/>
        <v>118</v>
      </c>
      <c r="AG423" s="376"/>
      <c r="AH423" s="376">
        <f>SUMIF($B$4:$B$414,$B423,AH$4:AH$414)</f>
        <v>2468</v>
      </c>
      <c r="AI423" s="376"/>
      <c r="AJ423" s="376">
        <f t="shared" si="111"/>
        <v>269</v>
      </c>
      <c r="AK423" s="376">
        <f t="shared" si="111"/>
        <v>0</v>
      </c>
      <c r="AL423" s="377">
        <f t="shared" si="111"/>
        <v>89093.39999999992</v>
      </c>
      <c r="AM423" s="377"/>
      <c r="AN423" s="377">
        <f t="shared" si="112"/>
        <v>14543164</v>
      </c>
      <c r="AO423" s="377">
        <f t="shared" si="112"/>
        <v>201150</v>
      </c>
      <c r="AP423" s="377">
        <f t="shared" si="112"/>
        <v>253449</v>
      </c>
      <c r="AQ423" s="377">
        <f t="shared" si="112"/>
        <v>0</v>
      </c>
      <c r="AR423" s="377">
        <f t="shared" si="112"/>
        <v>0</v>
      </c>
      <c r="AS423" s="377">
        <f t="shared" si="112"/>
        <v>0</v>
      </c>
      <c r="AT423" s="377">
        <f t="shared" si="112"/>
        <v>1166670</v>
      </c>
      <c r="AU423" s="377">
        <f t="shared" si="112"/>
        <v>9836235</v>
      </c>
      <c r="AV423" s="377">
        <f t="shared" si="112"/>
        <v>3085660</v>
      </c>
      <c r="AW423" s="377">
        <f t="shared" si="112"/>
        <v>14543164</v>
      </c>
    </row>
    <row r="424" spans="1:49" ht="14.25" hidden="1">
      <c r="A424" s="98">
        <f>COUNTIF($B$4:$B$414,B424)</f>
        <v>254</v>
      </c>
      <c r="B424" s="98" t="s">
        <v>96</v>
      </c>
      <c r="D424" s="376">
        <f t="shared" si="108"/>
        <v>2569</v>
      </c>
      <c r="E424" s="376">
        <f t="shared" si="108"/>
        <v>1015</v>
      </c>
      <c r="F424" s="376">
        <f t="shared" si="108"/>
        <v>113</v>
      </c>
      <c r="G424" s="376">
        <f t="shared" si="108"/>
        <v>32</v>
      </c>
      <c r="H424" s="376">
        <f t="shared" si="108"/>
        <v>0</v>
      </c>
      <c r="I424" s="376">
        <f t="shared" si="108"/>
        <v>4274</v>
      </c>
      <c r="J424" s="376">
        <f t="shared" si="108"/>
        <v>34135</v>
      </c>
      <c r="K424" s="376">
        <f t="shared" si="108"/>
        <v>15456</v>
      </c>
      <c r="L424" s="376">
        <f t="shared" si="108"/>
        <v>57594</v>
      </c>
      <c r="M424" s="376"/>
      <c r="N424" s="376">
        <f t="shared" si="109"/>
        <v>549</v>
      </c>
      <c r="O424" s="376">
        <f t="shared" si="109"/>
        <v>97</v>
      </c>
      <c r="P424" s="376">
        <f t="shared" si="109"/>
        <v>54</v>
      </c>
      <c r="Q424" s="376">
        <f t="shared" si="109"/>
        <v>11</v>
      </c>
      <c r="R424" s="376">
        <f t="shared" si="109"/>
        <v>0</v>
      </c>
      <c r="S424" s="376">
        <f t="shared" si="109"/>
        <v>1049</v>
      </c>
      <c r="T424" s="376">
        <f t="shared" si="109"/>
        <v>5745</v>
      </c>
      <c r="U424" s="376">
        <f t="shared" si="109"/>
        <v>2259</v>
      </c>
      <c r="V424" s="376">
        <f t="shared" si="109"/>
        <v>9764</v>
      </c>
      <c r="W424" s="376"/>
      <c r="X424" s="376">
        <f t="shared" si="110"/>
        <v>12</v>
      </c>
      <c r="Y424" s="376">
        <f t="shared" si="110"/>
        <v>14</v>
      </c>
      <c r="Z424" s="376">
        <f t="shared" si="110"/>
        <v>3</v>
      </c>
      <c r="AA424" s="376">
        <f t="shared" si="110"/>
        <v>0</v>
      </c>
      <c r="AB424" s="376">
        <f t="shared" si="110"/>
        <v>0</v>
      </c>
      <c r="AC424" s="376">
        <f t="shared" si="110"/>
        <v>27</v>
      </c>
      <c r="AD424" s="376">
        <f t="shared" si="110"/>
        <v>84</v>
      </c>
      <c r="AE424" s="376">
        <f t="shared" si="110"/>
        <v>37</v>
      </c>
      <c r="AF424" s="376">
        <f t="shared" si="110"/>
        <v>177</v>
      </c>
      <c r="AG424" s="376"/>
      <c r="AH424" s="376">
        <f>SUMIF($B$4:$B$414,$B424,AH$4:AH$414)</f>
        <v>6286</v>
      </c>
      <c r="AI424" s="376"/>
      <c r="AJ424" s="376">
        <f t="shared" si="111"/>
        <v>186</v>
      </c>
      <c r="AK424" s="376">
        <f t="shared" si="111"/>
        <v>19</v>
      </c>
      <c r="AL424" s="377">
        <f t="shared" si="111"/>
        <v>69492.94</v>
      </c>
      <c r="AM424" s="377"/>
      <c r="AN424" s="377">
        <f t="shared" si="112"/>
        <v>38625512.4</v>
      </c>
      <c r="AO424" s="377">
        <f t="shared" si="112"/>
        <v>1104313.5</v>
      </c>
      <c r="AP424" s="377">
        <f t="shared" si="112"/>
        <v>234138.59999999992</v>
      </c>
      <c r="AQ424" s="377">
        <f t="shared" si="112"/>
        <v>108621</v>
      </c>
      <c r="AR424" s="377">
        <f t="shared" si="112"/>
        <v>26551.8</v>
      </c>
      <c r="AS424" s="377">
        <f t="shared" si="112"/>
        <v>0</v>
      </c>
      <c r="AT424" s="377">
        <f t="shared" si="112"/>
        <v>4220127</v>
      </c>
      <c r="AU424" s="377">
        <f t="shared" si="112"/>
        <v>23112135</v>
      </c>
      <c r="AV424" s="377">
        <f t="shared" si="112"/>
        <v>9817614</v>
      </c>
      <c r="AW424" s="377">
        <f t="shared" si="112"/>
        <v>38623500.9</v>
      </c>
    </row>
    <row r="425" spans="4:49" ht="15" hidden="1" thickBot="1">
      <c r="D425" s="378">
        <f aca="true" t="shared" si="113" ref="D425:K425">SUM(D422:D424)</f>
        <v>3687</v>
      </c>
      <c r="E425" s="378">
        <f t="shared" si="113"/>
        <v>2842</v>
      </c>
      <c r="F425" s="378">
        <f t="shared" si="113"/>
        <v>124</v>
      </c>
      <c r="G425" s="378">
        <f t="shared" si="113"/>
        <v>32</v>
      </c>
      <c r="H425" s="378">
        <f t="shared" si="113"/>
        <v>0</v>
      </c>
      <c r="I425" s="378">
        <f t="shared" si="113"/>
        <v>7564</v>
      </c>
      <c r="J425" s="378">
        <f t="shared" si="113"/>
        <v>61215</v>
      </c>
      <c r="K425" s="378">
        <f t="shared" si="113"/>
        <v>29559</v>
      </c>
      <c r="L425" s="378">
        <f>SUM(L422:L424)</f>
        <v>105023</v>
      </c>
      <c r="M425" s="378"/>
      <c r="N425" s="378">
        <f aca="true" t="shared" si="114" ref="N425:V425">SUM(N422:N424)</f>
        <v>1172</v>
      </c>
      <c r="O425" s="378">
        <f t="shared" si="114"/>
        <v>1617</v>
      </c>
      <c r="P425" s="378">
        <f t="shared" si="114"/>
        <v>61</v>
      </c>
      <c r="Q425" s="378">
        <f t="shared" si="114"/>
        <v>11</v>
      </c>
      <c r="R425" s="378">
        <f t="shared" si="114"/>
        <v>0</v>
      </c>
      <c r="S425" s="378">
        <f t="shared" si="114"/>
        <v>3514</v>
      </c>
      <c r="T425" s="378">
        <f t="shared" si="114"/>
        <v>26658</v>
      </c>
      <c r="U425" s="378">
        <f t="shared" si="114"/>
        <v>9359</v>
      </c>
      <c r="V425" s="378">
        <f t="shared" si="114"/>
        <v>42392</v>
      </c>
      <c r="W425" s="378"/>
      <c r="X425" s="378">
        <f aca="true" t="shared" si="115" ref="X425:AF425">SUM(X422:X424)</f>
        <v>17</v>
      </c>
      <c r="Y425" s="378">
        <f t="shared" si="115"/>
        <v>67</v>
      </c>
      <c r="Z425" s="378">
        <f t="shared" si="115"/>
        <v>4</v>
      </c>
      <c r="AA425" s="378">
        <f t="shared" si="115"/>
        <v>0</v>
      </c>
      <c r="AB425" s="378">
        <f t="shared" si="115"/>
        <v>0</v>
      </c>
      <c r="AC425" s="378">
        <f t="shared" si="115"/>
        <v>64</v>
      </c>
      <c r="AD425" s="378">
        <f t="shared" si="115"/>
        <v>558</v>
      </c>
      <c r="AE425" s="378">
        <f t="shared" si="115"/>
        <v>703</v>
      </c>
      <c r="AF425" s="378">
        <f t="shared" si="115"/>
        <v>1413</v>
      </c>
      <c r="AG425" s="378"/>
      <c r="AH425" s="378">
        <f>SUM(AH422:AH424)</f>
        <v>28289</v>
      </c>
      <c r="AI425" s="378"/>
      <c r="AJ425" s="378">
        <f>SUM(AJ422:AJ424)</f>
        <v>2763</v>
      </c>
      <c r="AK425" s="378">
        <f>SUM(AK422:AK424)</f>
        <v>755</v>
      </c>
      <c r="AL425" s="379">
        <f>SUM(AL422:AL424)</f>
        <v>1216028.3399999994</v>
      </c>
      <c r="AM425" s="379"/>
      <c r="AN425" s="379">
        <f aca="true" t="shared" si="116" ref="AN425:AW425">SUM(AN422:AN424)</f>
        <v>168468027.39999998</v>
      </c>
      <c r="AO425" s="379">
        <f t="shared" si="116"/>
        <v>2357478</v>
      </c>
      <c r="AP425" s="379">
        <f t="shared" si="116"/>
        <v>3903114.600000001</v>
      </c>
      <c r="AQ425" s="379">
        <f t="shared" si="116"/>
        <v>122701.5</v>
      </c>
      <c r="AR425" s="379">
        <f t="shared" si="116"/>
        <v>26551.8</v>
      </c>
      <c r="AS425" s="379">
        <f t="shared" si="116"/>
        <v>0</v>
      </c>
      <c r="AT425" s="379">
        <f t="shared" si="116"/>
        <v>14136822</v>
      </c>
      <c r="AU425" s="379">
        <f t="shared" si="116"/>
        <v>107245134</v>
      </c>
      <c r="AV425" s="379">
        <f t="shared" si="116"/>
        <v>40674214</v>
      </c>
      <c r="AW425" s="379">
        <f t="shared" si="116"/>
        <v>168466015.89999998</v>
      </c>
    </row>
    <row r="426" ht="15" hidden="1" thickTop="1"/>
    <row r="427" ht="14.25" hidden="1"/>
  </sheetData>
  <sheetProtection password="F443" sheet="1" autoFilter="0"/>
  <autoFilter ref="A3:AW415"/>
  <mergeCells count="1">
    <mergeCell ref="AJ2:AL2"/>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C7"/>
  <sheetViews>
    <sheetView zoomScalePageLayoutView="0" workbookViewId="0" topLeftCell="A1">
      <selection activeCell="J13" sqref="J13"/>
    </sheetView>
  </sheetViews>
  <sheetFormatPr defaultColWidth="9.140625" defaultRowHeight="15"/>
  <cols>
    <col min="1" max="1" width="11.421875" style="0" bestFit="1" customWidth="1"/>
    <col min="2" max="2" width="12.421875" style="0" customWidth="1"/>
  </cols>
  <sheetData>
    <row r="1" ht="28.5">
      <c r="B1" s="372" t="s">
        <v>619</v>
      </c>
    </row>
    <row r="2" spans="1:2" ht="14.25">
      <c r="A2" t="s">
        <v>553</v>
      </c>
      <c r="B2" s="363">
        <v>8046</v>
      </c>
    </row>
    <row r="3" spans="1:2" ht="14.25">
      <c r="A3" t="s">
        <v>554</v>
      </c>
      <c r="B3" s="363">
        <v>8692</v>
      </c>
    </row>
    <row r="5" spans="2:3" ht="28.5">
      <c r="B5" s="372" t="s">
        <v>620</v>
      </c>
      <c r="C5" t="s">
        <v>618</v>
      </c>
    </row>
    <row r="6" spans="1:2" ht="14.25">
      <c r="A6" t="s">
        <v>553</v>
      </c>
      <c r="B6" s="363">
        <v>7754</v>
      </c>
    </row>
    <row r="7" spans="1:2" ht="14.25">
      <c r="A7" t="s">
        <v>554</v>
      </c>
      <c r="B7" s="363">
        <v>8400</v>
      </c>
    </row>
  </sheetData>
  <sheetProtection password="F443" sheet="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L27"/>
  <sheetViews>
    <sheetView showGridLines="0" workbookViewId="0" topLeftCell="A1">
      <pane xSplit="4" ySplit="5" topLeftCell="E6" activePane="bottomRight" state="frozen"/>
      <selection pane="topLeft" activeCell="I11" sqref="I11"/>
      <selection pane="topRight" activeCell="I11" sqref="I11"/>
      <selection pane="bottomLeft" activeCell="I11" sqref="I11"/>
      <selection pane="bottomRight" activeCell="I11" sqref="I11"/>
    </sheetView>
  </sheetViews>
  <sheetFormatPr defaultColWidth="9.140625" defaultRowHeight="15"/>
  <cols>
    <col min="1" max="1" width="3.140625" style="123" customWidth="1"/>
    <col min="2" max="2" width="21.57421875" style="9" customWidth="1"/>
    <col min="3" max="3" width="9.8515625" style="9" customWidth="1"/>
    <col min="4" max="4" width="25.57421875" style="9" customWidth="1"/>
    <col min="5" max="12" width="11.7109375" style="9" customWidth="1"/>
    <col min="13" max="16384" width="9.140625" style="9" customWidth="1"/>
  </cols>
  <sheetData>
    <row r="1" spans="1:12" s="42" customFormat="1" ht="15" customHeight="1">
      <c r="A1" s="458" t="str">
        <f>IF(ISBLANK('Cover Page'!A4),"School Name",'Cover Page'!A4)</f>
        <v>School Name</v>
      </c>
      <c r="B1" s="458"/>
      <c r="C1" s="458"/>
      <c r="D1" s="458"/>
      <c r="E1" s="458"/>
      <c r="F1" s="458"/>
      <c r="G1" s="458"/>
      <c r="H1" s="458"/>
      <c r="I1" s="458"/>
      <c r="J1" s="458"/>
      <c r="K1" s="458"/>
      <c r="L1" s="458"/>
    </row>
    <row r="2" spans="1:12" ht="15" customHeight="1">
      <c r="A2" s="454" t="str">
        <f>'Error Report'!A3</f>
        <v>September 20, 2019 Choice Enrollment Audit</v>
      </c>
      <c r="B2" s="454"/>
      <c r="C2" s="454"/>
      <c r="D2" s="454"/>
      <c r="E2" s="454"/>
      <c r="F2" s="454"/>
      <c r="G2" s="454"/>
      <c r="H2" s="454"/>
      <c r="I2" s="454"/>
      <c r="J2" s="454"/>
      <c r="K2" s="454"/>
      <c r="L2" s="454"/>
    </row>
    <row r="3" spans="1:12" ht="15" customHeight="1" thickBot="1">
      <c r="A3" s="504" t="s">
        <v>390</v>
      </c>
      <c r="B3" s="504"/>
      <c r="C3" s="504"/>
      <c r="D3" s="504"/>
      <c r="E3" s="504"/>
      <c r="F3" s="504"/>
      <c r="G3" s="504"/>
      <c r="H3" s="504"/>
      <c r="I3" s="504"/>
      <c r="J3" s="504"/>
      <c r="K3" s="504"/>
      <c r="L3" s="504"/>
    </row>
    <row r="4" spans="1:12" ht="22.5" customHeight="1" thickBot="1" thickTop="1">
      <c r="A4" s="82"/>
      <c r="B4" s="74"/>
      <c r="C4" s="74"/>
      <c r="D4" s="74"/>
      <c r="E4" s="527" t="s">
        <v>269</v>
      </c>
      <c r="F4" s="527"/>
      <c r="G4" s="527"/>
      <c r="H4" s="527"/>
      <c r="I4" s="527"/>
      <c r="J4" s="74"/>
      <c r="K4" s="74"/>
      <c r="L4" s="74"/>
    </row>
    <row r="5" spans="1:12" s="22" customFormat="1" ht="19.5" customHeight="1">
      <c r="A5" s="131"/>
      <c r="B5" s="132"/>
      <c r="C5" s="132"/>
      <c r="D5" s="132"/>
      <c r="E5" s="528" t="s">
        <v>187</v>
      </c>
      <c r="F5" s="529"/>
      <c r="G5" s="528" t="s">
        <v>188</v>
      </c>
      <c r="H5" s="529"/>
      <c r="I5" s="528" t="s">
        <v>96</v>
      </c>
      <c r="J5" s="530"/>
      <c r="K5" s="528" t="s">
        <v>268</v>
      </c>
      <c r="L5" s="530"/>
    </row>
    <row r="6" spans="1:12" s="78" customFormat="1" ht="19.5" customHeight="1">
      <c r="A6" s="148" t="s">
        <v>287</v>
      </c>
      <c r="B6" s="417" t="s">
        <v>52</v>
      </c>
      <c r="C6" s="418"/>
      <c r="D6" s="418"/>
      <c r="E6" s="103" t="s">
        <v>281</v>
      </c>
      <c r="F6" s="104" t="s">
        <v>282</v>
      </c>
      <c r="G6" s="103" t="s">
        <v>281</v>
      </c>
      <c r="H6" s="104" t="s">
        <v>282</v>
      </c>
      <c r="I6" s="103" t="s">
        <v>281</v>
      </c>
      <c r="J6" s="104" t="s">
        <v>282</v>
      </c>
      <c r="K6" s="103" t="s">
        <v>281</v>
      </c>
      <c r="L6" s="231" t="s">
        <v>282</v>
      </c>
    </row>
    <row r="7" spans="1:12" s="22" customFormat="1" ht="19.5" customHeight="1">
      <c r="A7" s="24">
        <v>1</v>
      </c>
      <c r="B7" s="428" t="s">
        <v>270</v>
      </c>
      <c r="C7" s="455"/>
      <c r="D7" s="455"/>
      <c r="E7" s="105">
        <f>'Schedule 1-2'!E8</f>
        <v>0</v>
      </c>
      <c r="F7" s="106">
        <f>+E7*0.5</f>
        <v>0</v>
      </c>
      <c r="G7" s="105">
        <f>'Schedule 1-2'!E20</f>
        <v>0</v>
      </c>
      <c r="H7" s="106">
        <f>+G7*0.5</f>
        <v>0</v>
      </c>
      <c r="I7" s="105">
        <f>'Schedule 1-2'!E32</f>
        <v>0</v>
      </c>
      <c r="J7" s="49">
        <f>+I7*0.5</f>
        <v>0</v>
      </c>
      <c r="K7" s="105">
        <f>E7+G7+I7</f>
        <v>0</v>
      </c>
      <c r="L7" s="49">
        <f>+K7*0.5</f>
        <v>0</v>
      </c>
    </row>
    <row r="8" spans="1:12" s="22" customFormat="1" ht="19.5" customHeight="1">
      <c r="A8" s="24">
        <v>2</v>
      </c>
      <c r="B8" s="419" t="s">
        <v>271</v>
      </c>
      <c r="C8" s="519"/>
      <c r="D8" s="519"/>
      <c r="E8" s="105">
        <f>'Schedule 1-2'!E9</f>
        <v>0</v>
      </c>
      <c r="F8" s="106">
        <f>+E8*0.6</f>
        <v>0</v>
      </c>
      <c r="G8" s="105">
        <f>'Schedule 1-2'!E21</f>
        <v>0</v>
      </c>
      <c r="H8" s="106">
        <f>+G8*0.6</f>
        <v>0</v>
      </c>
      <c r="I8" s="105">
        <f>'Schedule 1-2'!E33</f>
        <v>0</v>
      </c>
      <c r="J8" s="49">
        <f>+I8*0.6</f>
        <v>0</v>
      </c>
      <c r="K8" s="105">
        <f aca="true" t="shared" si="0" ref="K8:K13">E8+G8+I8</f>
        <v>0</v>
      </c>
      <c r="L8" s="49">
        <f>+K8*0.6</f>
        <v>0</v>
      </c>
    </row>
    <row r="9" spans="1:12" s="22" customFormat="1" ht="19.5" customHeight="1">
      <c r="A9" s="24">
        <v>3</v>
      </c>
      <c r="B9" s="419" t="s">
        <v>272</v>
      </c>
      <c r="C9" s="519"/>
      <c r="D9" s="519"/>
      <c r="E9" s="105">
        <f>'Schedule 1-2'!E10</f>
        <v>0</v>
      </c>
      <c r="F9" s="106">
        <f>+E9*0.5</f>
        <v>0</v>
      </c>
      <c r="G9" s="105">
        <f>'Schedule 1-2'!E22</f>
        <v>0</v>
      </c>
      <c r="H9" s="106">
        <f>+G9*0.5</f>
        <v>0</v>
      </c>
      <c r="I9" s="105">
        <f>'Schedule 1-2'!E34</f>
        <v>0</v>
      </c>
      <c r="J9" s="49">
        <f>+I9*0.5</f>
        <v>0</v>
      </c>
      <c r="K9" s="105">
        <f t="shared" si="0"/>
        <v>0</v>
      </c>
      <c r="L9" s="49">
        <f>+K9*0.5</f>
        <v>0</v>
      </c>
    </row>
    <row r="10" spans="1:12" s="22" customFormat="1" ht="19.5" customHeight="1">
      <c r="A10" s="24">
        <v>4</v>
      </c>
      <c r="B10" s="419" t="s">
        <v>273</v>
      </c>
      <c r="C10" s="519"/>
      <c r="D10" s="519"/>
      <c r="E10" s="105">
        <f>'Schedule 1-2'!E11</f>
        <v>0</v>
      </c>
      <c r="F10" s="106">
        <f>+E10*0.6</f>
        <v>0</v>
      </c>
      <c r="G10" s="105">
        <f>'Schedule 1-2'!E23</f>
        <v>0</v>
      </c>
      <c r="H10" s="106">
        <f>+G10*0.6</f>
        <v>0</v>
      </c>
      <c r="I10" s="105">
        <f>'Schedule 1-2'!E35</f>
        <v>0</v>
      </c>
      <c r="J10" s="49">
        <f>+I10*0.6</f>
        <v>0</v>
      </c>
      <c r="K10" s="105">
        <f t="shared" si="0"/>
        <v>0</v>
      </c>
      <c r="L10" s="49">
        <f>+K10*0.6</f>
        <v>0</v>
      </c>
    </row>
    <row r="11" spans="1:12" s="22" customFormat="1" ht="19.5" customHeight="1">
      <c r="A11" s="24">
        <v>5</v>
      </c>
      <c r="B11" s="419" t="s">
        <v>274</v>
      </c>
      <c r="C11" s="519"/>
      <c r="D11" s="519"/>
      <c r="E11" s="105">
        <f>'Schedule 1-2'!E12</f>
        <v>0</v>
      </c>
      <c r="F11" s="106">
        <f>+E11*0.8</f>
        <v>0</v>
      </c>
      <c r="G11" s="105">
        <f>'Schedule 1-2'!E24</f>
        <v>0</v>
      </c>
      <c r="H11" s="106">
        <f>+G11*0.8</f>
        <v>0</v>
      </c>
      <c r="I11" s="105">
        <f>'Schedule 1-2'!E36</f>
        <v>0</v>
      </c>
      <c r="J11" s="49">
        <f>+I11*0.8</f>
        <v>0</v>
      </c>
      <c r="K11" s="105">
        <f t="shared" si="0"/>
        <v>0</v>
      </c>
      <c r="L11" s="49">
        <f>+K11*0.8</f>
        <v>0</v>
      </c>
    </row>
    <row r="12" spans="1:12" s="22" customFormat="1" ht="19.5" customHeight="1">
      <c r="A12" s="24">
        <v>6</v>
      </c>
      <c r="B12" s="419" t="s">
        <v>275</v>
      </c>
      <c r="C12" s="519"/>
      <c r="D12" s="519"/>
      <c r="E12" s="105">
        <f>'Schedule 1-2'!E13</f>
        <v>0</v>
      </c>
      <c r="F12" s="106">
        <f>+E12*1</f>
        <v>0</v>
      </c>
      <c r="G12" s="105">
        <f>'Schedule 1-2'!E25</f>
        <v>0</v>
      </c>
      <c r="H12" s="106">
        <f>+G12*1</f>
        <v>0</v>
      </c>
      <c r="I12" s="105">
        <f>'Schedule 1-2'!E37</f>
        <v>0</v>
      </c>
      <c r="J12" s="49">
        <f>+I12*1</f>
        <v>0</v>
      </c>
      <c r="K12" s="105">
        <f t="shared" si="0"/>
        <v>0</v>
      </c>
      <c r="L12" s="49">
        <f>+K12*1</f>
        <v>0</v>
      </c>
    </row>
    <row r="13" spans="1:12" s="22" customFormat="1" ht="19.5" customHeight="1" thickBot="1">
      <c r="A13" s="43">
        <v>7</v>
      </c>
      <c r="B13" s="442" t="s">
        <v>276</v>
      </c>
      <c r="C13" s="526"/>
      <c r="D13" s="526"/>
      <c r="E13" s="105">
        <f>'Schedule 1-2'!E14</f>
        <v>0</v>
      </c>
      <c r="F13" s="107">
        <f>+E13*1</f>
        <v>0</v>
      </c>
      <c r="G13" s="105">
        <f>'Schedule 1-2'!E26</f>
        <v>0</v>
      </c>
      <c r="H13" s="107">
        <f>+G13*1</f>
        <v>0</v>
      </c>
      <c r="I13" s="105">
        <f>'Schedule 1-2'!E38</f>
        <v>0</v>
      </c>
      <c r="J13" s="48">
        <f>+I13*1</f>
        <v>0</v>
      </c>
      <c r="K13" s="105">
        <f t="shared" si="0"/>
        <v>0</v>
      </c>
      <c r="L13" s="48">
        <f>+K13*1</f>
        <v>0</v>
      </c>
    </row>
    <row r="14" spans="1:12" s="78" customFormat="1" ht="19.5" customHeight="1" thickBot="1">
      <c r="A14" s="44">
        <v>8</v>
      </c>
      <c r="B14" s="520" t="s">
        <v>510</v>
      </c>
      <c r="C14" s="521"/>
      <c r="D14" s="521"/>
      <c r="E14" s="108">
        <f aca="true" t="shared" si="1" ref="E14:L14">SUM(E7:E13)</f>
        <v>0</v>
      </c>
      <c r="F14" s="109">
        <f t="shared" si="1"/>
        <v>0</v>
      </c>
      <c r="G14" s="108">
        <f t="shared" si="1"/>
        <v>0</v>
      </c>
      <c r="H14" s="109">
        <f t="shared" si="1"/>
        <v>0</v>
      </c>
      <c r="I14" s="108">
        <f t="shared" si="1"/>
        <v>0</v>
      </c>
      <c r="J14" s="81">
        <f t="shared" si="1"/>
        <v>0</v>
      </c>
      <c r="K14" s="108">
        <f t="shared" si="1"/>
        <v>0</v>
      </c>
      <c r="L14" s="81">
        <f t="shared" si="1"/>
        <v>0</v>
      </c>
    </row>
    <row r="15" spans="1:12" s="22" customFormat="1" ht="19.5" customHeight="1" thickBot="1">
      <c r="A15" s="44">
        <v>9</v>
      </c>
      <c r="B15" s="522" t="s">
        <v>404</v>
      </c>
      <c r="C15" s="523"/>
      <c r="D15" s="523"/>
      <c r="E15" s="113"/>
      <c r="F15" s="110">
        <f>7754/2</f>
        <v>3877</v>
      </c>
      <c r="G15" s="113"/>
      <c r="H15" s="110">
        <f>7754/2</f>
        <v>3877</v>
      </c>
      <c r="I15" s="113"/>
      <c r="J15" s="110">
        <f>7754/2</f>
        <v>3877</v>
      </c>
      <c r="K15" s="113"/>
      <c r="L15" s="91">
        <f>7754/2</f>
        <v>3877</v>
      </c>
    </row>
    <row r="16" spans="1:12" s="78" customFormat="1" ht="19.5" customHeight="1" thickBot="1">
      <c r="A16" s="44">
        <v>10</v>
      </c>
      <c r="B16" s="524" t="s">
        <v>284</v>
      </c>
      <c r="C16" s="525"/>
      <c r="D16" s="525"/>
      <c r="E16" s="114"/>
      <c r="F16" s="111">
        <f>F14*F15</f>
        <v>0</v>
      </c>
      <c r="G16" s="114"/>
      <c r="H16" s="111">
        <f>H14*H15</f>
        <v>0</v>
      </c>
      <c r="I16" s="114"/>
      <c r="J16" s="80">
        <f>J14*J15</f>
        <v>0</v>
      </c>
      <c r="K16" s="114"/>
      <c r="L16" s="80">
        <f>L14*L15</f>
        <v>0</v>
      </c>
    </row>
    <row r="17" spans="1:12" ht="19.5" customHeight="1" thickTop="1">
      <c r="A17" s="82"/>
      <c r="B17" s="74"/>
      <c r="C17" s="74"/>
      <c r="D17" s="74"/>
      <c r="E17" s="441" t="s">
        <v>77</v>
      </c>
      <c r="F17" s="441"/>
      <c r="G17" s="441"/>
      <c r="H17" s="441"/>
      <c r="I17" s="441"/>
      <c r="J17" s="74"/>
      <c r="K17" s="74"/>
      <c r="L17" s="74"/>
    </row>
    <row r="18" spans="1:12" s="22" customFormat="1" ht="19.5" customHeight="1" thickBot="1">
      <c r="A18" s="43">
        <v>11</v>
      </c>
      <c r="B18" s="442" t="s">
        <v>277</v>
      </c>
      <c r="C18" s="526"/>
      <c r="D18" s="526"/>
      <c r="E18" s="112">
        <f>'Schedule 1-2'!E15</f>
        <v>0</v>
      </c>
      <c r="F18" s="107">
        <f>+E18*1</f>
        <v>0</v>
      </c>
      <c r="G18" s="112">
        <f>'Schedule 1-2'!E27</f>
        <v>0</v>
      </c>
      <c r="H18" s="107">
        <f>+G18*1</f>
        <v>0</v>
      </c>
      <c r="I18" s="112">
        <f>'Schedule 1-2'!E39</f>
        <v>0</v>
      </c>
      <c r="J18" s="349">
        <f>+I18*1</f>
        <v>0</v>
      </c>
      <c r="K18" s="350">
        <f>SUM(E18,G18,I18)</f>
        <v>0</v>
      </c>
      <c r="L18" s="49">
        <f>SUM(F18,H18,J18)</f>
        <v>0</v>
      </c>
    </row>
    <row r="19" spans="1:12" s="22" customFormat="1" ht="19.5" customHeight="1" thickBot="1">
      <c r="A19" s="44">
        <v>12</v>
      </c>
      <c r="B19" s="522" t="s">
        <v>405</v>
      </c>
      <c r="C19" s="523"/>
      <c r="D19" s="523"/>
      <c r="E19" s="113"/>
      <c r="F19" s="110">
        <f>8400/2</f>
        <v>4200</v>
      </c>
      <c r="G19" s="113"/>
      <c r="H19" s="110">
        <f>8400/2</f>
        <v>4200</v>
      </c>
      <c r="I19" s="113"/>
      <c r="J19" s="110">
        <f>8400/2</f>
        <v>4200</v>
      </c>
      <c r="K19" s="113"/>
      <c r="L19" s="91">
        <f>8400/2</f>
        <v>4200</v>
      </c>
    </row>
    <row r="20" spans="1:12" s="22" customFormat="1" ht="19.5" customHeight="1" thickBot="1">
      <c r="A20" s="44">
        <v>13</v>
      </c>
      <c r="B20" s="524" t="s">
        <v>285</v>
      </c>
      <c r="C20" s="525"/>
      <c r="D20" s="525"/>
      <c r="E20" s="114"/>
      <c r="F20" s="111">
        <f>F18*F19</f>
        <v>0</v>
      </c>
      <c r="G20" s="114"/>
      <c r="H20" s="111">
        <f>H18*H19</f>
        <v>0</v>
      </c>
      <c r="I20" s="114"/>
      <c r="J20" s="80">
        <f>J18*J19</f>
        <v>0</v>
      </c>
      <c r="K20" s="114"/>
      <c r="L20" s="80">
        <f>L18*L19</f>
        <v>0</v>
      </c>
    </row>
    <row r="21" spans="1:12" ht="22.5" customHeight="1" thickTop="1">
      <c r="A21" s="82"/>
      <c r="B21" s="74"/>
      <c r="C21" s="74"/>
      <c r="D21" s="74"/>
      <c r="E21" s="441" t="s">
        <v>528</v>
      </c>
      <c r="F21" s="441"/>
      <c r="G21" s="441"/>
      <c r="H21" s="441"/>
      <c r="I21" s="441"/>
      <c r="J21" s="74"/>
      <c r="K21" s="74"/>
      <c r="L21" s="74"/>
    </row>
    <row r="22" spans="1:12" s="22" customFormat="1" ht="19.5" customHeight="1" thickBot="1">
      <c r="A22" s="24">
        <v>14</v>
      </c>
      <c r="B22" s="419" t="s">
        <v>505</v>
      </c>
      <c r="C22" s="519"/>
      <c r="D22" s="519"/>
      <c r="E22" s="105">
        <f aca="true" t="shared" si="2" ref="E22:J22">E14+E18</f>
        <v>0</v>
      </c>
      <c r="F22" s="106">
        <f t="shared" si="2"/>
        <v>0</v>
      </c>
      <c r="G22" s="105">
        <f t="shared" si="2"/>
        <v>0</v>
      </c>
      <c r="H22" s="106">
        <f t="shared" si="2"/>
        <v>0</v>
      </c>
      <c r="I22" s="105">
        <f t="shared" si="2"/>
        <v>0</v>
      </c>
      <c r="J22" s="106">
        <f t="shared" si="2"/>
        <v>0</v>
      </c>
      <c r="K22" s="49">
        <f>SUM(E22,G22,I22)</f>
        <v>0</v>
      </c>
      <c r="L22" s="49">
        <f>SUM(F22,H22,J22)</f>
        <v>0</v>
      </c>
    </row>
    <row r="23" spans="1:12" ht="22.5" customHeight="1" thickTop="1">
      <c r="A23" s="82"/>
      <c r="B23" s="74"/>
      <c r="C23" s="74"/>
      <c r="D23" s="74"/>
      <c r="E23" s="441" t="s">
        <v>286</v>
      </c>
      <c r="F23" s="441"/>
      <c r="G23" s="441"/>
      <c r="H23" s="441"/>
      <c r="I23" s="441"/>
      <c r="J23" s="74"/>
      <c r="K23" s="74"/>
      <c r="L23" s="74"/>
    </row>
    <row r="24" spans="1:12" s="22" customFormat="1" ht="19.5" customHeight="1">
      <c r="A24" s="24">
        <v>15</v>
      </c>
      <c r="B24" s="428" t="s">
        <v>529</v>
      </c>
      <c r="C24" s="455"/>
      <c r="D24" s="556"/>
      <c r="E24" s="164"/>
      <c r="F24" s="84">
        <f>SUM(F16,F20)</f>
        <v>0</v>
      </c>
      <c r="G24" s="164"/>
      <c r="H24" s="84">
        <f>SUM(H16,H20)</f>
        <v>0</v>
      </c>
      <c r="I24" s="164"/>
      <c r="J24" s="84">
        <f>SUM(J16,J20)</f>
        <v>0</v>
      </c>
      <c r="K24" s="164"/>
      <c r="L24" s="84">
        <f>SUM(L16,L20)</f>
        <v>0</v>
      </c>
    </row>
    <row r="25" spans="1:12" s="22" customFormat="1" ht="19.5" customHeight="1" thickBot="1">
      <c r="A25" s="128">
        <v>16</v>
      </c>
      <c r="B25" s="557" t="s">
        <v>530</v>
      </c>
      <c r="C25" s="558"/>
      <c r="D25" s="559"/>
      <c r="E25" s="165"/>
      <c r="F25" s="85">
        <f>SUMPRODUCT((Counts!$A$4:$A$414='Cover Page'!$A$4)*(Counts!$B$4:$B$414='Schedule 5 Jan Only'!E$5)*(Counts!$AN$4:$AN$414))</f>
        <v>0</v>
      </c>
      <c r="G25" s="165"/>
      <c r="H25" s="85">
        <f>SUMPRODUCT((Counts!$A$4:$A$414='Cover Page'!$A$4)*(Counts!$B$4:$B$414='Schedule 5 Jan Only'!G$5)*(Counts!$AN$4:$AN$414))</f>
        <v>0</v>
      </c>
      <c r="I25" s="165"/>
      <c r="J25" s="85">
        <f>SUMPRODUCT((Counts!$A$4:$A$414='Cover Page'!$A$4)*(Counts!$B$4:$B$414='Schedule 5 Jan Only'!I$5)*(Counts!$AN$4:$AN$414))</f>
        <v>0</v>
      </c>
      <c r="K25" s="165"/>
      <c r="L25" s="85">
        <f>SUMPRODUCT((Counts!$A$4:$A$414='Cover Page'!$A$4)*(Counts!$AN$4:$AN$414))</f>
        <v>0</v>
      </c>
    </row>
    <row r="26" spans="1:12" s="22" customFormat="1" ht="19.5" customHeight="1" thickBot="1">
      <c r="A26" s="129">
        <v>17</v>
      </c>
      <c r="B26" s="554" t="s">
        <v>531</v>
      </c>
      <c r="C26" s="555"/>
      <c r="D26" s="555"/>
      <c r="E26" s="114"/>
      <c r="F26" s="130">
        <f>F24-F25</f>
        <v>0</v>
      </c>
      <c r="G26" s="114"/>
      <c r="H26" s="130">
        <f>H24-H25</f>
        <v>0</v>
      </c>
      <c r="I26" s="114"/>
      <c r="J26" s="130">
        <f>J24-J25</f>
        <v>0</v>
      </c>
      <c r="K26" s="114"/>
      <c r="L26" s="130">
        <f>L24-L25</f>
        <v>0</v>
      </c>
    </row>
    <row r="27" spans="1:12" ht="19.5" customHeight="1" thickBot="1" thickTop="1">
      <c r="A27" s="504" t="s">
        <v>420</v>
      </c>
      <c r="B27" s="504"/>
      <c r="C27" s="504"/>
      <c r="D27" s="504"/>
      <c r="E27" s="504"/>
      <c r="F27" s="504"/>
      <c r="G27" s="504"/>
      <c r="H27" s="504"/>
      <c r="I27" s="504"/>
      <c r="J27" s="504"/>
      <c r="K27" s="504"/>
      <c r="L27" s="504"/>
    </row>
    <row r="28" ht="10.5" thickTop="1"/>
  </sheetData>
  <sheetProtection password="F443" sheet="1"/>
  <mergeCells count="30">
    <mergeCell ref="A1:L1"/>
    <mergeCell ref="A2:L2"/>
    <mergeCell ref="A3:L3"/>
    <mergeCell ref="E4:I4"/>
    <mergeCell ref="E5:F5"/>
    <mergeCell ref="G5:H5"/>
    <mergeCell ref="I5:J5"/>
    <mergeCell ref="K5:L5"/>
    <mergeCell ref="B6:D6"/>
    <mergeCell ref="B7:D7"/>
    <mergeCell ref="B8:D8"/>
    <mergeCell ref="B9:D9"/>
    <mergeCell ref="B10:D10"/>
    <mergeCell ref="B11:D11"/>
    <mergeCell ref="B12:D12"/>
    <mergeCell ref="B13:D13"/>
    <mergeCell ref="B14:D14"/>
    <mergeCell ref="B15:D15"/>
    <mergeCell ref="B16:D16"/>
    <mergeCell ref="E17:I17"/>
    <mergeCell ref="B26:D26"/>
    <mergeCell ref="A27:L27"/>
    <mergeCell ref="E23:I23"/>
    <mergeCell ref="B24:D24"/>
    <mergeCell ref="B25:D25"/>
    <mergeCell ref="B18:D18"/>
    <mergeCell ref="B19:D19"/>
    <mergeCell ref="B20:D20"/>
    <mergeCell ref="B22:D22"/>
    <mergeCell ref="E21:I21"/>
  </mergeCells>
  <printOptions/>
  <pageMargins left="0.52" right="0.45" top="0.5" bottom="0.44" header="0.3" footer="0.3"/>
  <pageSetup fitToHeight="1" fitToWidth="1" horizontalDpi="600" verticalDpi="600" orientation="landscape" scale="83" r:id="rId1"/>
  <headerFooter>
    <oddHeader>&amp;L&amp;"Arial,Regular"&amp;8Page 7&amp;RPI-PCP-106 (70 Lines)</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62"/>
  <sheetViews>
    <sheetView showGridLines="0" workbookViewId="0" topLeftCell="A1">
      <pane xSplit="4" ySplit="5" topLeftCell="E6" activePane="bottomRight" state="frozen"/>
      <selection pane="topLeft" activeCell="I11" sqref="I11"/>
      <selection pane="topRight" activeCell="I11" sqref="I11"/>
      <selection pane="bottomLeft" activeCell="I11" sqref="I11"/>
      <selection pane="bottomRight" activeCell="I11" sqref="I11"/>
    </sheetView>
  </sheetViews>
  <sheetFormatPr defaultColWidth="9.140625" defaultRowHeight="15"/>
  <cols>
    <col min="1" max="1" width="3.140625" style="123" customWidth="1"/>
    <col min="2" max="2" width="21.57421875" style="9" customWidth="1"/>
    <col min="3" max="3" width="9.8515625" style="9" customWidth="1"/>
    <col min="4" max="4" width="25.57421875" style="9" customWidth="1"/>
    <col min="5" max="12" width="11.7109375" style="9" customWidth="1"/>
    <col min="13" max="13" width="9.140625" style="42" customWidth="1"/>
    <col min="14" max="16384" width="9.140625" style="9" customWidth="1"/>
  </cols>
  <sheetData>
    <row r="1" spans="1:12" s="42" customFormat="1" ht="15" customHeight="1">
      <c r="A1" s="458" t="str">
        <f>IF(ISBLANK('Cover Page'!A4),"School Name",'Cover Page'!A4)</f>
        <v>School Name</v>
      </c>
      <c r="B1" s="458"/>
      <c r="C1" s="458"/>
      <c r="D1" s="458"/>
      <c r="E1" s="458"/>
      <c r="F1" s="458"/>
      <c r="G1" s="458"/>
      <c r="H1" s="458"/>
      <c r="I1" s="458"/>
      <c r="J1" s="458"/>
      <c r="K1" s="458"/>
      <c r="L1" s="458"/>
    </row>
    <row r="2" spans="1:12" ht="15" customHeight="1">
      <c r="A2" s="454" t="str">
        <f>'Error Report'!A3</f>
        <v>September 20, 2019 Choice Enrollment Audit</v>
      </c>
      <c r="B2" s="454"/>
      <c r="C2" s="454"/>
      <c r="D2" s="454"/>
      <c r="E2" s="454"/>
      <c r="F2" s="454"/>
      <c r="G2" s="454"/>
      <c r="H2" s="454"/>
      <c r="I2" s="454"/>
      <c r="J2" s="454"/>
      <c r="K2" s="454"/>
      <c r="L2" s="454"/>
    </row>
    <row r="3" spans="1:12" ht="15" customHeight="1" thickBot="1">
      <c r="A3" s="504" t="s">
        <v>390</v>
      </c>
      <c r="B3" s="504"/>
      <c r="C3" s="504"/>
      <c r="D3" s="504"/>
      <c r="E3" s="504"/>
      <c r="F3" s="504"/>
      <c r="G3" s="504"/>
      <c r="H3" s="504"/>
      <c r="I3" s="504"/>
      <c r="J3" s="504"/>
      <c r="K3" s="504"/>
      <c r="L3" s="504"/>
    </row>
    <row r="4" spans="1:12" ht="22.5" customHeight="1" thickBot="1" thickTop="1">
      <c r="A4" s="82"/>
      <c r="B4" s="74"/>
      <c r="C4" s="74"/>
      <c r="D4" s="74"/>
      <c r="E4" s="527" t="s">
        <v>269</v>
      </c>
      <c r="F4" s="527"/>
      <c r="G4" s="527"/>
      <c r="H4" s="527"/>
      <c r="I4" s="527"/>
      <c r="J4" s="74"/>
      <c r="K4" s="74"/>
      <c r="L4" s="74"/>
    </row>
    <row r="5" spans="1:13" s="22" customFormat="1" ht="19.5" customHeight="1">
      <c r="A5" s="131"/>
      <c r="B5" s="132"/>
      <c r="C5" s="132"/>
      <c r="D5" s="132"/>
      <c r="E5" s="528" t="s">
        <v>187</v>
      </c>
      <c r="F5" s="529"/>
      <c r="G5" s="528" t="s">
        <v>188</v>
      </c>
      <c r="H5" s="529"/>
      <c r="I5" s="528" t="s">
        <v>96</v>
      </c>
      <c r="J5" s="530"/>
      <c r="K5" s="528" t="s">
        <v>268</v>
      </c>
      <c r="L5" s="530"/>
      <c r="M5" s="46"/>
    </row>
    <row r="6" spans="1:13" s="78" customFormat="1" ht="19.5" customHeight="1">
      <c r="A6" s="148" t="s">
        <v>287</v>
      </c>
      <c r="B6" s="417" t="s">
        <v>52</v>
      </c>
      <c r="C6" s="418"/>
      <c r="D6" s="418"/>
      <c r="E6" s="103" t="s">
        <v>281</v>
      </c>
      <c r="F6" s="104" t="s">
        <v>282</v>
      </c>
      <c r="G6" s="103" t="s">
        <v>281</v>
      </c>
      <c r="H6" s="104" t="s">
        <v>282</v>
      </c>
      <c r="I6" s="103" t="s">
        <v>281</v>
      </c>
      <c r="J6" s="104" t="s">
        <v>282</v>
      </c>
      <c r="K6" s="103" t="s">
        <v>281</v>
      </c>
      <c r="L6" s="362" t="s">
        <v>282</v>
      </c>
      <c r="M6" s="77"/>
    </row>
    <row r="7" spans="1:13" s="22" customFormat="1" ht="19.5" customHeight="1">
      <c r="A7" s="24">
        <v>1</v>
      </c>
      <c r="B7" s="428" t="s">
        <v>270</v>
      </c>
      <c r="C7" s="455"/>
      <c r="D7" s="455"/>
      <c r="E7" s="105">
        <f>'Schedule 1-2'!E8</f>
        <v>0</v>
      </c>
      <c r="F7" s="106">
        <f>+E7*0.5</f>
        <v>0</v>
      </c>
      <c r="G7" s="105">
        <f>'Schedule 1-2'!E20</f>
        <v>0</v>
      </c>
      <c r="H7" s="106">
        <f>+G7*0.5</f>
        <v>0</v>
      </c>
      <c r="I7" s="105">
        <f>'Schedule 1-2'!E32</f>
        <v>0</v>
      </c>
      <c r="J7" s="49">
        <f>+I7*0.5</f>
        <v>0</v>
      </c>
      <c r="K7" s="105">
        <f>E7+G7+I7</f>
        <v>0</v>
      </c>
      <c r="L7" s="49">
        <f>+K7*0.5</f>
        <v>0</v>
      </c>
      <c r="M7" s="46"/>
    </row>
    <row r="8" spans="1:13" s="22" customFormat="1" ht="19.5" customHeight="1">
      <c r="A8" s="24">
        <v>2</v>
      </c>
      <c r="B8" s="419" t="s">
        <v>271</v>
      </c>
      <c r="C8" s="519"/>
      <c r="D8" s="519"/>
      <c r="E8" s="105">
        <f>'Schedule 1-2'!E9</f>
        <v>0</v>
      </c>
      <c r="F8" s="106">
        <f>+E8*0.6</f>
        <v>0</v>
      </c>
      <c r="G8" s="105">
        <f>'Schedule 1-2'!E21</f>
        <v>0</v>
      </c>
      <c r="H8" s="106">
        <f>+G8*0.6</f>
        <v>0</v>
      </c>
      <c r="I8" s="105">
        <f>'Schedule 1-2'!E33</f>
        <v>0</v>
      </c>
      <c r="J8" s="49">
        <f>+I8*0.6</f>
        <v>0</v>
      </c>
      <c r="K8" s="105">
        <f aca="true" t="shared" si="0" ref="K8:K13">E8+G8+I8</f>
        <v>0</v>
      </c>
      <c r="L8" s="49">
        <f>+K8*0.6</f>
        <v>0</v>
      </c>
      <c r="M8" s="46"/>
    </row>
    <row r="9" spans="1:13" s="22" customFormat="1" ht="19.5" customHeight="1">
      <c r="A9" s="24">
        <v>3</v>
      </c>
      <c r="B9" s="419" t="s">
        <v>272</v>
      </c>
      <c r="C9" s="519"/>
      <c r="D9" s="519"/>
      <c r="E9" s="105">
        <f>'Schedule 1-2'!E10</f>
        <v>0</v>
      </c>
      <c r="F9" s="106">
        <f>+E9*0.5</f>
        <v>0</v>
      </c>
      <c r="G9" s="105">
        <f>'Schedule 1-2'!E22</f>
        <v>0</v>
      </c>
      <c r="H9" s="106">
        <f>+G9*0.5</f>
        <v>0</v>
      </c>
      <c r="I9" s="105">
        <f>'Schedule 1-2'!E34</f>
        <v>0</v>
      </c>
      <c r="J9" s="49">
        <f>+I9*0.5</f>
        <v>0</v>
      </c>
      <c r="K9" s="105">
        <f t="shared" si="0"/>
        <v>0</v>
      </c>
      <c r="L9" s="49">
        <f>+K9*0.5</f>
        <v>0</v>
      </c>
      <c r="M9" s="46"/>
    </row>
    <row r="10" spans="1:13" s="22" customFormat="1" ht="19.5" customHeight="1">
      <c r="A10" s="24">
        <v>4</v>
      </c>
      <c r="B10" s="419" t="s">
        <v>273</v>
      </c>
      <c r="C10" s="519"/>
      <c r="D10" s="519"/>
      <c r="E10" s="105">
        <f>'Schedule 1-2'!E11</f>
        <v>0</v>
      </c>
      <c r="F10" s="106">
        <f>+E10*0.6</f>
        <v>0</v>
      </c>
      <c r="G10" s="105">
        <f>'Schedule 1-2'!E23</f>
        <v>0</v>
      </c>
      <c r="H10" s="106">
        <f>+G10*0.6</f>
        <v>0</v>
      </c>
      <c r="I10" s="105">
        <f>'Schedule 1-2'!E35</f>
        <v>0</v>
      </c>
      <c r="J10" s="49">
        <f>+I10*0.6</f>
        <v>0</v>
      </c>
      <c r="K10" s="105">
        <f t="shared" si="0"/>
        <v>0</v>
      </c>
      <c r="L10" s="49">
        <f>+K10*0.6</f>
        <v>0</v>
      </c>
      <c r="M10" s="46"/>
    </row>
    <row r="11" spans="1:13" s="22" customFormat="1" ht="19.5" customHeight="1">
      <c r="A11" s="24">
        <v>5</v>
      </c>
      <c r="B11" s="419" t="s">
        <v>274</v>
      </c>
      <c r="C11" s="519"/>
      <c r="D11" s="519"/>
      <c r="E11" s="105">
        <f>'Schedule 1-2'!E12</f>
        <v>0</v>
      </c>
      <c r="F11" s="106">
        <f>+E11*0.8</f>
        <v>0</v>
      </c>
      <c r="G11" s="105">
        <f>'Schedule 1-2'!E24</f>
        <v>0</v>
      </c>
      <c r="H11" s="106">
        <f>+G11*0.8</f>
        <v>0</v>
      </c>
      <c r="I11" s="105">
        <f>'Schedule 1-2'!E36</f>
        <v>0</v>
      </c>
      <c r="J11" s="49">
        <f>+I11*0.8</f>
        <v>0</v>
      </c>
      <c r="K11" s="105">
        <f t="shared" si="0"/>
        <v>0</v>
      </c>
      <c r="L11" s="49">
        <f>+K11*0.8</f>
        <v>0</v>
      </c>
      <c r="M11" s="46"/>
    </row>
    <row r="12" spans="1:13" s="22" customFormat="1" ht="19.5" customHeight="1">
      <c r="A12" s="24">
        <v>6</v>
      </c>
      <c r="B12" s="419" t="s">
        <v>275</v>
      </c>
      <c r="C12" s="519"/>
      <c r="D12" s="519"/>
      <c r="E12" s="105">
        <f>'Schedule 1-2'!E13</f>
        <v>0</v>
      </c>
      <c r="F12" s="106">
        <f>+E12*1</f>
        <v>0</v>
      </c>
      <c r="G12" s="105">
        <f>'Schedule 1-2'!E25</f>
        <v>0</v>
      </c>
      <c r="H12" s="106">
        <f>+G12*1</f>
        <v>0</v>
      </c>
      <c r="I12" s="105">
        <f>'Schedule 1-2'!E37</f>
        <v>0</v>
      </c>
      <c r="J12" s="49">
        <f>+I12*1</f>
        <v>0</v>
      </c>
      <c r="K12" s="105">
        <f t="shared" si="0"/>
        <v>0</v>
      </c>
      <c r="L12" s="49">
        <f>+K12*1</f>
        <v>0</v>
      </c>
      <c r="M12" s="46"/>
    </row>
    <row r="13" spans="1:13" s="22" customFormat="1" ht="19.5" customHeight="1" thickBot="1">
      <c r="A13" s="43">
        <v>7</v>
      </c>
      <c r="B13" s="442" t="s">
        <v>276</v>
      </c>
      <c r="C13" s="526"/>
      <c r="D13" s="526"/>
      <c r="E13" s="105">
        <f>'Schedule 1-2'!E14</f>
        <v>0</v>
      </c>
      <c r="F13" s="107">
        <f>+E13*1</f>
        <v>0</v>
      </c>
      <c r="G13" s="105">
        <f>'Schedule 1-2'!E26</f>
        <v>0</v>
      </c>
      <c r="H13" s="107">
        <f>+G13*1</f>
        <v>0</v>
      </c>
      <c r="I13" s="105">
        <f>'Schedule 1-2'!E38</f>
        <v>0</v>
      </c>
      <c r="J13" s="48">
        <f>+I13*1</f>
        <v>0</v>
      </c>
      <c r="K13" s="105">
        <f t="shared" si="0"/>
        <v>0</v>
      </c>
      <c r="L13" s="48">
        <f>+K13*1</f>
        <v>0</v>
      </c>
      <c r="M13" s="46"/>
    </row>
    <row r="14" spans="1:13" s="78" customFormat="1" ht="19.5" customHeight="1" thickBot="1">
      <c r="A14" s="44">
        <v>8</v>
      </c>
      <c r="B14" s="520" t="s">
        <v>510</v>
      </c>
      <c r="C14" s="521"/>
      <c r="D14" s="521"/>
      <c r="E14" s="108">
        <f aca="true" t="shared" si="1" ref="E14:L14">SUM(E7:E13)</f>
        <v>0</v>
      </c>
      <c r="F14" s="109">
        <f t="shared" si="1"/>
        <v>0</v>
      </c>
      <c r="G14" s="108">
        <f t="shared" si="1"/>
        <v>0</v>
      </c>
      <c r="H14" s="109">
        <f t="shared" si="1"/>
        <v>0</v>
      </c>
      <c r="I14" s="108">
        <f t="shared" si="1"/>
        <v>0</v>
      </c>
      <c r="J14" s="81">
        <f t="shared" si="1"/>
        <v>0</v>
      </c>
      <c r="K14" s="108">
        <f t="shared" si="1"/>
        <v>0</v>
      </c>
      <c r="L14" s="81">
        <f t="shared" si="1"/>
        <v>0</v>
      </c>
      <c r="M14" s="77"/>
    </row>
    <row r="15" spans="1:13" s="22" customFormat="1" ht="19.5" customHeight="1" thickBot="1">
      <c r="A15" s="44">
        <v>9</v>
      </c>
      <c r="B15" s="522" t="s">
        <v>404</v>
      </c>
      <c r="C15" s="523"/>
      <c r="D15" s="523"/>
      <c r="E15" s="113"/>
      <c r="F15" s="110">
        <f>7754/2</f>
        <v>3877</v>
      </c>
      <c r="G15" s="113"/>
      <c r="H15" s="110">
        <f>7754/2</f>
        <v>3877</v>
      </c>
      <c r="I15" s="113"/>
      <c r="J15" s="110">
        <f>7754/2</f>
        <v>3877</v>
      </c>
      <c r="K15" s="113"/>
      <c r="L15" s="91">
        <f>7754/2</f>
        <v>3877</v>
      </c>
      <c r="M15" s="46"/>
    </row>
    <row r="16" spans="1:13" s="78" customFormat="1" ht="19.5" customHeight="1" thickBot="1">
      <c r="A16" s="44">
        <v>10</v>
      </c>
      <c r="B16" s="524" t="s">
        <v>284</v>
      </c>
      <c r="C16" s="525"/>
      <c r="D16" s="525"/>
      <c r="E16" s="114"/>
      <c r="F16" s="111">
        <f>F14*F15</f>
        <v>0</v>
      </c>
      <c r="G16" s="114"/>
      <c r="H16" s="111">
        <f>H14*H15</f>
        <v>0</v>
      </c>
      <c r="I16" s="114"/>
      <c r="J16" s="80">
        <f>J14*J15</f>
        <v>0</v>
      </c>
      <c r="K16" s="114"/>
      <c r="L16" s="80">
        <f>L14*L15</f>
        <v>0</v>
      </c>
      <c r="M16" s="77"/>
    </row>
    <row r="17" spans="1:12" ht="19.5" customHeight="1" thickTop="1">
      <c r="A17" s="82"/>
      <c r="B17" s="74"/>
      <c r="C17" s="74"/>
      <c r="D17" s="74"/>
      <c r="E17" s="441" t="s">
        <v>77</v>
      </c>
      <c r="F17" s="441"/>
      <c r="G17" s="441"/>
      <c r="H17" s="441"/>
      <c r="I17" s="441"/>
      <c r="J17" s="74"/>
      <c r="K17" s="74"/>
      <c r="L17" s="74"/>
    </row>
    <row r="18" spans="1:13" s="22" customFormat="1" ht="19.5" customHeight="1" thickBot="1">
      <c r="A18" s="43">
        <v>11</v>
      </c>
      <c r="B18" s="442" t="s">
        <v>277</v>
      </c>
      <c r="C18" s="526"/>
      <c r="D18" s="526"/>
      <c r="E18" s="112">
        <f>'Schedule 1-2'!E15</f>
        <v>0</v>
      </c>
      <c r="F18" s="107">
        <f>+E18*1</f>
        <v>0</v>
      </c>
      <c r="G18" s="112">
        <f>'Schedule 1-2'!E27</f>
        <v>0</v>
      </c>
      <c r="H18" s="107">
        <f>+G18*1</f>
        <v>0</v>
      </c>
      <c r="I18" s="112">
        <f>'Schedule 1-2'!E39</f>
        <v>0</v>
      </c>
      <c r="J18" s="349">
        <f>+I18*1</f>
        <v>0</v>
      </c>
      <c r="K18" s="350">
        <f>SUM(E18,G18,I18)</f>
        <v>0</v>
      </c>
      <c r="L18" s="49">
        <f>SUM(F18,H18,J18)</f>
        <v>0</v>
      </c>
      <c r="M18" s="46"/>
    </row>
    <row r="19" spans="1:13" s="22" customFormat="1" ht="19.5" customHeight="1" thickBot="1">
      <c r="A19" s="44">
        <v>12</v>
      </c>
      <c r="B19" s="522" t="s">
        <v>405</v>
      </c>
      <c r="C19" s="523"/>
      <c r="D19" s="523"/>
      <c r="E19" s="113"/>
      <c r="F19" s="110">
        <f>8400/2</f>
        <v>4200</v>
      </c>
      <c r="G19" s="113"/>
      <c r="H19" s="110">
        <f>8400/2</f>
        <v>4200</v>
      </c>
      <c r="I19" s="113"/>
      <c r="J19" s="110">
        <f>8400/2</f>
        <v>4200</v>
      </c>
      <c r="K19" s="113"/>
      <c r="L19" s="91">
        <f>8400/2</f>
        <v>4200</v>
      </c>
      <c r="M19" s="46"/>
    </row>
    <row r="20" spans="1:13" s="22" customFormat="1" ht="19.5" customHeight="1" thickBot="1">
      <c r="A20" s="44">
        <v>13</v>
      </c>
      <c r="B20" s="524" t="s">
        <v>285</v>
      </c>
      <c r="C20" s="525"/>
      <c r="D20" s="525"/>
      <c r="E20" s="114"/>
      <c r="F20" s="111">
        <f>F18*F19</f>
        <v>0</v>
      </c>
      <c r="G20" s="114"/>
      <c r="H20" s="111">
        <f>H18*H19</f>
        <v>0</v>
      </c>
      <c r="I20" s="114"/>
      <c r="J20" s="80">
        <f>J18*J19</f>
        <v>0</v>
      </c>
      <c r="K20" s="114"/>
      <c r="L20" s="80">
        <f>L18*L19</f>
        <v>0</v>
      </c>
      <c r="M20" s="46"/>
    </row>
    <row r="21" spans="1:12" ht="22.5" customHeight="1" thickTop="1">
      <c r="A21" s="82"/>
      <c r="B21" s="74"/>
      <c r="C21" s="74"/>
      <c r="D21" s="74"/>
      <c r="E21" s="441" t="s">
        <v>406</v>
      </c>
      <c r="F21" s="441"/>
      <c r="G21" s="441"/>
      <c r="H21" s="441"/>
      <c r="I21" s="441"/>
      <c r="J21" s="74"/>
      <c r="K21" s="74"/>
      <c r="L21" s="74"/>
    </row>
    <row r="22" spans="1:13" s="22" customFormat="1" ht="19.5" customHeight="1">
      <c r="A22" s="24">
        <v>14</v>
      </c>
      <c r="B22" s="419" t="s">
        <v>505</v>
      </c>
      <c r="C22" s="519"/>
      <c r="D22" s="519"/>
      <c r="E22" s="105">
        <f aca="true" t="shared" si="2" ref="E22:J22">E14+E18</f>
        <v>0</v>
      </c>
      <c r="F22" s="106">
        <f t="shared" si="2"/>
        <v>0</v>
      </c>
      <c r="G22" s="105">
        <f t="shared" si="2"/>
        <v>0</v>
      </c>
      <c r="H22" s="106">
        <f t="shared" si="2"/>
        <v>0</v>
      </c>
      <c r="I22" s="105">
        <f t="shared" si="2"/>
        <v>0</v>
      </c>
      <c r="J22" s="106">
        <f t="shared" si="2"/>
        <v>0</v>
      </c>
      <c r="K22" s="49">
        <f>SUM(E22,G22,I22)</f>
        <v>0</v>
      </c>
      <c r="L22" s="49">
        <f>SUM(F22,H22,J22)</f>
        <v>0</v>
      </c>
      <c r="M22" s="46"/>
    </row>
    <row r="23" spans="1:13" s="22" customFormat="1" ht="19.5" customHeight="1">
      <c r="A23" s="24">
        <v>15</v>
      </c>
      <c r="B23" s="428" t="s">
        <v>521</v>
      </c>
      <c r="C23" s="455"/>
      <c r="D23" s="455"/>
      <c r="E23" s="164"/>
      <c r="F23" s="84">
        <f>SUM(F16,F20)</f>
        <v>0</v>
      </c>
      <c r="G23" s="164"/>
      <c r="H23" s="84">
        <f>SUM(H16,H20)</f>
        <v>0</v>
      </c>
      <c r="I23" s="164"/>
      <c r="J23" s="84">
        <f>SUM(J16,J20)</f>
        <v>0</v>
      </c>
      <c r="K23" s="164"/>
      <c r="L23" s="84">
        <f>SUM(L16,L20)</f>
        <v>0</v>
      </c>
      <c r="M23" s="46"/>
    </row>
    <row r="24" spans="1:13" s="22" customFormat="1" ht="19.5" customHeight="1" thickBot="1">
      <c r="A24" s="128">
        <v>16</v>
      </c>
      <c r="B24" s="505" t="s">
        <v>407</v>
      </c>
      <c r="C24" s="461"/>
      <c r="D24" s="461"/>
      <c r="E24" s="165"/>
      <c r="F24" s="186">
        <f>SUMPRODUCT((Counts!$A$4:$A$414='Cover Page'!$A$4)*(Counts!$B$4:$B$414='Schedule 5 (OLD Sept)'!$E$5)*(Counts!$AN$4:$AN$414))</f>
        <v>0</v>
      </c>
      <c r="G24" s="165"/>
      <c r="H24" s="186">
        <f>SUMPRODUCT((Counts!$A$4:$A$414='Cover Page'!$A$4)*(Counts!$B$4:$B$414='Schedule 5 (OLD Sept)'!$G$5)*(Counts!$AN$4:$AN$414))</f>
        <v>0</v>
      </c>
      <c r="I24" s="165"/>
      <c r="J24" s="186">
        <f>SUMPRODUCT((Counts!$A$4:$A$414='Cover Page'!$A$4)*(Counts!$B$4:$B$414='Schedule 5 (OLD Sept)'!$I$5)*(Counts!$AN$4:$AN$414))</f>
        <v>0</v>
      </c>
      <c r="K24" s="165"/>
      <c r="L24" s="85">
        <f>SUM(F24,H24,J24)</f>
        <v>0</v>
      </c>
      <c r="M24" s="46"/>
    </row>
    <row r="25" spans="1:13" s="22" customFormat="1" ht="19.5" customHeight="1" thickBot="1">
      <c r="A25" s="129">
        <v>17</v>
      </c>
      <c r="B25" s="554" t="s">
        <v>506</v>
      </c>
      <c r="C25" s="555"/>
      <c r="D25" s="555"/>
      <c r="E25" s="114"/>
      <c r="F25" s="130">
        <f>F23-F24</f>
        <v>0</v>
      </c>
      <c r="G25" s="114"/>
      <c r="H25" s="130">
        <f>H23-H24</f>
        <v>0</v>
      </c>
      <c r="I25" s="114"/>
      <c r="J25" s="130">
        <f>J23-J24</f>
        <v>0</v>
      </c>
      <c r="K25" s="114"/>
      <c r="L25" s="130">
        <f>L23-L24</f>
        <v>0</v>
      </c>
      <c r="M25" s="46"/>
    </row>
    <row r="26" spans="1:12" ht="22.5" customHeight="1" thickTop="1">
      <c r="A26" s="82"/>
      <c r="B26" s="74"/>
      <c r="C26" s="74"/>
      <c r="D26" s="74"/>
      <c r="E26" s="441" t="s">
        <v>78</v>
      </c>
      <c r="F26" s="441"/>
      <c r="G26" s="441"/>
      <c r="H26" s="441"/>
      <c r="I26" s="441"/>
      <c r="J26" s="74"/>
      <c r="K26" s="74"/>
      <c r="L26" s="74"/>
    </row>
    <row r="27" spans="1:13" s="78" customFormat="1" ht="19.5" customHeight="1">
      <c r="A27" s="148" t="s">
        <v>287</v>
      </c>
      <c r="B27" s="417" t="s">
        <v>418</v>
      </c>
      <c r="C27" s="418"/>
      <c r="D27" s="418"/>
      <c r="E27" s="187"/>
      <c r="F27" s="104" t="s">
        <v>419</v>
      </c>
      <c r="G27" s="187"/>
      <c r="H27" s="104" t="s">
        <v>419</v>
      </c>
      <c r="I27" s="187"/>
      <c r="J27" s="104" t="s">
        <v>419</v>
      </c>
      <c r="K27" s="187"/>
      <c r="L27" s="199" t="s">
        <v>419</v>
      </c>
      <c r="M27" s="77"/>
    </row>
    <row r="28" spans="1:13" s="22" customFormat="1" ht="19.5" customHeight="1">
      <c r="A28" s="24">
        <v>18</v>
      </c>
      <c r="B28" s="419" t="s">
        <v>73</v>
      </c>
      <c r="C28" s="519"/>
      <c r="D28" s="519"/>
      <c r="E28" s="188"/>
      <c r="F28" s="84">
        <f>F29+F30</f>
        <v>0</v>
      </c>
      <c r="G28" s="188"/>
      <c r="H28" s="84">
        <f>H29+H30</f>
        <v>0</v>
      </c>
      <c r="I28" s="188"/>
      <c r="J28" s="84">
        <f>J29+J30</f>
        <v>0</v>
      </c>
      <c r="K28" s="188"/>
      <c r="L28" s="84">
        <f>SUM(F28,H28,J28)</f>
        <v>0</v>
      </c>
      <c r="M28" s="46"/>
    </row>
    <row r="29" spans="1:13" s="78" customFormat="1" ht="19.5" customHeight="1" thickBot="1">
      <c r="A29" s="73">
        <v>19</v>
      </c>
      <c r="B29" s="419" t="s">
        <v>408</v>
      </c>
      <c r="C29" s="519"/>
      <c r="D29" s="519"/>
      <c r="E29" s="187"/>
      <c r="F29" s="186">
        <f>SUMPRODUCT((Counts!$A$4:$A$414='Cover Page'!$A$4)*(Counts!$B$4:$B$414=$E$5)*(Counts!$AL$4:$AL$414))</f>
        <v>0</v>
      </c>
      <c r="G29" s="187"/>
      <c r="H29" s="186">
        <f>SUMPRODUCT((Counts!$A$4:$A$414='Cover Page'!$A$4)*(Counts!$B$4:$B$414=$G$5)*(Counts!$AL$4:$AL$414))</f>
        <v>0</v>
      </c>
      <c r="I29" s="187"/>
      <c r="J29" s="186">
        <f>SUMPRODUCT((Counts!$A$4:$A$414='Cover Page'!$A$4)*(Counts!$B$4:$B$414=$I$5)*(Counts!$AL$4:$AL$414))</f>
        <v>0</v>
      </c>
      <c r="K29" s="187"/>
      <c r="L29" s="85">
        <f>SUM(F29,H29,J29)</f>
        <v>0</v>
      </c>
      <c r="M29" s="77"/>
    </row>
    <row r="30" spans="1:13" s="22" customFormat="1" ht="19.5" customHeight="1" thickBot="1">
      <c r="A30" s="44">
        <v>20</v>
      </c>
      <c r="B30" s="524" t="s">
        <v>507</v>
      </c>
      <c r="C30" s="525"/>
      <c r="D30" s="525"/>
      <c r="E30" s="114"/>
      <c r="F30" s="111">
        <f>IF('Schedule 7'!$I$5="No",(-1*SUMPRODUCT((Counts!$A$4:$A$414='Cover Page'!$A$4)*(Counts!$B$4:$B$414='Schedule 5 (OLD Sept)'!$E$5)*(Counts!$AL$4:$AL$414))),SUMPRODUCT(('Schedule 7'!$G$10:$G$39='Schedule 5 (OLD Sept)'!$E$5)*('Schedule 7'!$R$10:$R$39)))</f>
        <v>0</v>
      </c>
      <c r="G30" s="114"/>
      <c r="H30" s="111">
        <f>IF('Schedule 7'!$I$5="No",(-1*SUMPRODUCT((Counts!$A$4:$A$414='Cover Page'!$A$4)*(Counts!$B$4:$B$414='Schedule 5 (OLD Sept)'!$G$5)*(Counts!$AL$4:$AL$414))),SUMPRODUCT(('Schedule 7'!$G$10:$G$39='Schedule 5 (OLD Sept)'!$G$5)*('Schedule 7'!$R$10:$R$39)))</f>
        <v>0</v>
      </c>
      <c r="I30" s="114"/>
      <c r="J30" s="111">
        <f>IF('Schedule 7'!$I$5="No",(-1*SUMPRODUCT((Counts!$A$4:$A$414='Cover Page'!$A$4)*(Counts!$B$4:$B$414='Schedule 5 (OLD Sept)'!$I$5)*(Counts!$AL$4:$AL$414))),SUMPRODUCT(('Schedule 7'!$G$10:$G$39='Schedule 5 (OLD Sept)'!$I$5)*('Schedule 7'!$R$10:$R$39)))</f>
        <v>0</v>
      </c>
      <c r="K30" s="114"/>
      <c r="L30" s="189">
        <f>SUM(F30,H30,J30)</f>
        <v>0</v>
      </c>
      <c r="M30" s="46"/>
    </row>
    <row r="31" spans="1:12" ht="22.5" customHeight="1" thickTop="1">
      <c r="A31" s="82"/>
      <c r="B31" s="74"/>
      <c r="C31" s="74"/>
      <c r="D31" s="74"/>
      <c r="E31" s="441" t="s">
        <v>286</v>
      </c>
      <c r="F31" s="441"/>
      <c r="G31" s="441"/>
      <c r="H31" s="441"/>
      <c r="I31" s="441"/>
      <c r="J31" s="74"/>
      <c r="K31" s="74"/>
      <c r="L31" s="74"/>
    </row>
    <row r="32" spans="1:13" s="22" customFormat="1" ht="19.5" customHeight="1">
      <c r="A32" s="24">
        <v>21</v>
      </c>
      <c r="B32" s="428" t="s">
        <v>421</v>
      </c>
      <c r="C32" s="455"/>
      <c r="D32" s="455"/>
      <c r="E32" s="164"/>
      <c r="F32" s="84">
        <f>F23+F28</f>
        <v>0</v>
      </c>
      <c r="G32" s="164"/>
      <c r="H32" s="84">
        <f>H23+H28</f>
        <v>0</v>
      </c>
      <c r="I32" s="164"/>
      <c r="J32" s="84">
        <f>J23+J28</f>
        <v>0</v>
      </c>
      <c r="K32" s="164"/>
      <c r="L32" s="84">
        <f>L23+L28</f>
        <v>0</v>
      </c>
      <c r="M32" s="46"/>
    </row>
    <row r="33" spans="1:13" s="22" customFormat="1" ht="19.5" customHeight="1" thickBot="1">
      <c r="A33" s="128">
        <v>22</v>
      </c>
      <c r="B33" s="505" t="s">
        <v>508</v>
      </c>
      <c r="C33" s="461"/>
      <c r="D33" s="461"/>
      <c r="E33" s="165"/>
      <c r="F33" s="85">
        <f>F24+F29</f>
        <v>0</v>
      </c>
      <c r="G33" s="165"/>
      <c r="H33" s="85">
        <f>H24+H29</f>
        <v>0</v>
      </c>
      <c r="I33" s="165"/>
      <c r="J33" s="85">
        <f>J24+J29</f>
        <v>0</v>
      </c>
      <c r="K33" s="165"/>
      <c r="L33" s="85">
        <f>L24+L29</f>
        <v>0</v>
      </c>
      <c r="M33" s="46"/>
    </row>
    <row r="34" spans="1:13" s="22" customFormat="1" ht="19.5" customHeight="1" thickBot="1">
      <c r="A34" s="129">
        <v>23</v>
      </c>
      <c r="B34" s="554" t="s">
        <v>509</v>
      </c>
      <c r="C34" s="555"/>
      <c r="D34" s="555"/>
      <c r="E34" s="114"/>
      <c r="F34" s="130">
        <f>F32-F33</f>
        <v>0</v>
      </c>
      <c r="G34" s="114"/>
      <c r="H34" s="130">
        <f>H32-H33</f>
        <v>0</v>
      </c>
      <c r="I34" s="114"/>
      <c r="J34" s="130">
        <f>J32-J33</f>
        <v>0</v>
      </c>
      <c r="K34" s="114"/>
      <c r="L34" s="130">
        <f>L32-L33</f>
        <v>0</v>
      </c>
      <c r="M34" s="46"/>
    </row>
    <row r="35" spans="1:12" ht="19.5" customHeight="1" thickBot="1" thickTop="1">
      <c r="A35" s="504" t="s">
        <v>420</v>
      </c>
      <c r="B35" s="504"/>
      <c r="C35" s="504"/>
      <c r="D35" s="504"/>
      <c r="E35" s="504"/>
      <c r="F35" s="504"/>
      <c r="G35" s="504"/>
      <c r="H35" s="504"/>
      <c r="I35" s="504"/>
      <c r="J35" s="504"/>
      <c r="K35" s="504"/>
      <c r="L35" s="504"/>
    </row>
    <row r="36" spans="1:7" ht="10.5" thickTop="1">
      <c r="A36" s="149"/>
      <c r="B36" s="42"/>
      <c r="C36" s="42"/>
      <c r="D36" s="42"/>
      <c r="E36" s="42"/>
      <c r="F36" s="42"/>
      <c r="G36" s="42"/>
    </row>
    <row r="37" spans="1:7" ht="9.75">
      <c r="A37" s="149"/>
      <c r="B37" s="42"/>
      <c r="C37" s="42"/>
      <c r="D37" s="42"/>
      <c r="E37" s="42"/>
      <c r="F37" s="42"/>
      <c r="G37" s="42"/>
    </row>
    <row r="38" spans="1:6" ht="9.75">
      <c r="A38" s="149"/>
      <c r="B38" s="42"/>
      <c r="C38" s="42"/>
      <c r="D38" s="42"/>
      <c r="E38" s="42"/>
      <c r="F38" s="42"/>
    </row>
    <row r="39" spans="1:6" ht="9.75">
      <c r="A39" s="149"/>
      <c r="B39" s="42"/>
      <c r="C39" s="42"/>
      <c r="D39" s="42"/>
      <c r="E39" s="42"/>
      <c r="F39" s="42"/>
    </row>
    <row r="40" spans="1:6" ht="9.75">
      <c r="A40" s="149"/>
      <c r="B40" s="42"/>
      <c r="C40" s="42"/>
      <c r="D40" s="42"/>
      <c r="E40" s="42"/>
      <c r="F40" s="42"/>
    </row>
    <row r="41" spans="1:6" ht="9.75">
      <c r="A41" s="149"/>
      <c r="B41" s="42"/>
      <c r="C41" s="42"/>
      <c r="D41" s="42"/>
      <c r="E41" s="42"/>
      <c r="F41" s="42"/>
    </row>
    <row r="42" spans="1:6" ht="9.75">
      <c r="A42" s="149"/>
      <c r="B42" s="42"/>
      <c r="C42" s="42"/>
      <c r="D42" s="42"/>
      <c r="E42" s="42"/>
      <c r="F42" s="42"/>
    </row>
    <row r="43" spans="1:6" ht="9.75">
      <c r="A43" s="149"/>
      <c r="B43" s="42"/>
      <c r="C43" s="42"/>
      <c r="D43" s="42"/>
      <c r="E43" s="42"/>
      <c r="F43" s="42"/>
    </row>
    <row r="44" spans="1:6" ht="9.75">
      <c r="A44" s="149"/>
      <c r="B44" s="42"/>
      <c r="C44" s="42"/>
      <c r="D44" s="42"/>
      <c r="E44" s="42"/>
      <c r="F44" s="42"/>
    </row>
    <row r="45" spans="1:6" ht="9.75">
      <c r="A45" s="149"/>
      <c r="B45" s="42"/>
      <c r="C45" s="42"/>
      <c r="D45" s="42"/>
      <c r="E45" s="42"/>
      <c r="F45" s="42"/>
    </row>
    <row r="46" spans="1:6" ht="9.75">
      <c r="A46" s="149"/>
      <c r="B46" s="42"/>
      <c r="C46" s="42"/>
      <c r="D46" s="42"/>
      <c r="E46" s="42"/>
      <c r="F46" s="42"/>
    </row>
    <row r="47" spans="1:6" ht="9.75">
      <c r="A47" s="149"/>
      <c r="B47" s="42"/>
      <c r="C47" s="42"/>
      <c r="D47" s="42"/>
      <c r="E47" s="42"/>
      <c r="F47" s="42"/>
    </row>
    <row r="48" spans="1:6" ht="9.75">
      <c r="A48" s="149"/>
      <c r="B48" s="42"/>
      <c r="C48" s="42"/>
      <c r="D48" s="42"/>
      <c r="E48" s="42"/>
      <c r="F48" s="42"/>
    </row>
    <row r="52" spans="1:7" ht="19.5" customHeight="1" hidden="1" thickTop="1">
      <c r="A52" s="82"/>
      <c r="B52" s="74"/>
      <c r="C52" s="441" t="s">
        <v>78</v>
      </c>
      <c r="D52" s="441"/>
      <c r="E52" s="74"/>
      <c r="F52" s="74"/>
      <c r="G52" s="42"/>
    </row>
    <row r="53" spans="1:13" s="75" customFormat="1" ht="19.5" customHeight="1" hidden="1">
      <c r="A53" s="83"/>
      <c r="B53" s="512" t="s">
        <v>75</v>
      </c>
      <c r="C53" s="513"/>
      <c r="D53" s="361" t="s">
        <v>82</v>
      </c>
      <c r="E53" s="361" t="s">
        <v>70</v>
      </c>
      <c r="F53" s="360" t="s">
        <v>76</v>
      </c>
      <c r="G53" s="7"/>
      <c r="M53" s="7"/>
    </row>
    <row r="54" spans="1:13" s="22" customFormat="1" ht="19.5" customHeight="1" hidden="1">
      <c r="A54" s="24">
        <v>14</v>
      </c>
      <c r="B54" s="419" t="s">
        <v>71</v>
      </c>
      <c r="C54" s="420"/>
      <c r="D54" s="117"/>
      <c r="E54" s="84">
        <f>7210*0.05</f>
        <v>360.5</v>
      </c>
      <c r="F54" s="89">
        <f>D54*E54</f>
        <v>0</v>
      </c>
      <c r="G54" s="46"/>
      <c r="M54" s="46"/>
    </row>
    <row r="55" spans="1:13" s="22" customFormat="1" ht="19.5" customHeight="1" hidden="1" thickBot="1">
      <c r="A55" s="43">
        <v>15</v>
      </c>
      <c r="B55" s="442" t="s">
        <v>72</v>
      </c>
      <c r="C55" s="443"/>
      <c r="D55" s="118"/>
      <c r="E55" s="85">
        <f>7856*0.05</f>
        <v>392.8</v>
      </c>
      <c r="F55" s="90">
        <f>D55*E55</f>
        <v>0</v>
      </c>
      <c r="G55" s="46"/>
      <c r="M55" s="46"/>
    </row>
    <row r="56" spans="1:13" s="78" customFormat="1" ht="19.5" customHeight="1" hidden="1" thickBot="1">
      <c r="A56" s="76">
        <v>16</v>
      </c>
      <c r="B56" s="439" t="s">
        <v>73</v>
      </c>
      <c r="C56" s="514"/>
      <c r="D56" s="514"/>
      <c r="E56" s="440"/>
      <c r="F56" s="93">
        <f>SUM(F54:F55)</f>
        <v>0</v>
      </c>
      <c r="G56" s="77"/>
      <c r="M56" s="77"/>
    </row>
    <row r="57" ht="9.75" hidden="1"/>
    <row r="58" ht="9.75" hidden="1"/>
    <row r="59" spans="1:13" s="22" customFormat="1" ht="19.5" customHeight="1" hidden="1">
      <c r="A59" s="24">
        <v>18</v>
      </c>
      <c r="B59" s="428" t="s">
        <v>5</v>
      </c>
      <c r="C59" s="455"/>
      <c r="D59" s="455"/>
      <c r="E59" s="429"/>
      <c r="F59" s="119"/>
      <c r="G59" s="46"/>
      <c r="M59" s="46"/>
    </row>
    <row r="60" spans="1:13" s="22" customFormat="1" ht="19.5" customHeight="1" hidden="1" thickBot="1">
      <c r="A60" s="43">
        <v>19</v>
      </c>
      <c r="B60" s="505" t="s">
        <v>74</v>
      </c>
      <c r="C60" s="461"/>
      <c r="D60" s="461"/>
      <c r="E60" s="462"/>
      <c r="F60" s="120"/>
      <c r="G60" s="46"/>
      <c r="M60" s="46"/>
    </row>
    <row r="61" spans="1:13" s="22" customFormat="1" ht="19.5" customHeight="1" hidden="1" thickBot="1">
      <c r="A61" s="73">
        <v>20</v>
      </c>
      <c r="B61" s="506" t="s">
        <v>278</v>
      </c>
      <c r="C61" s="507"/>
      <c r="D61" s="507"/>
      <c r="E61" s="508"/>
      <c r="F61" s="115">
        <f>SUM(F59:F60)</f>
        <v>0</v>
      </c>
      <c r="G61" s="46"/>
      <c r="M61" s="46"/>
    </row>
    <row r="62" spans="1:13" s="78" customFormat="1" ht="19.5" customHeight="1" hidden="1" thickBot="1">
      <c r="A62" s="45">
        <v>21</v>
      </c>
      <c r="B62" s="509" t="s">
        <v>79</v>
      </c>
      <c r="C62" s="510"/>
      <c r="D62" s="510"/>
      <c r="E62" s="511"/>
      <c r="F62" s="79">
        <f>F32-F61</f>
        <v>0</v>
      </c>
      <c r="G62" s="77"/>
      <c r="M62" s="77"/>
    </row>
  </sheetData>
  <sheetProtection password="F443" sheet="1"/>
  <mergeCells count="47">
    <mergeCell ref="B60:E60"/>
    <mergeCell ref="B61:E61"/>
    <mergeCell ref="B62:E62"/>
    <mergeCell ref="C52:D52"/>
    <mergeCell ref="B53:C53"/>
    <mergeCell ref="B54:C54"/>
    <mergeCell ref="B55:C55"/>
    <mergeCell ref="B56:E56"/>
    <mergeCell ref="B59:E59"/>
    <mergeCell ref="B30:D30"/>
    <mergeCell ref="E31:I31"/>
    <mergeCell ref="B32:D32"/>
    <mergeCell ref="B33:D33"/>
    <mergeCell ref="B34:D34"/>
    <mergeCell ref="A35:L35"/>
    <mergeCell ref="B24:D24"/>
    <mergeCell ref="B25:D25"/>
    <mergeCell ref="E26:I26"/>
    <mergeCell ref="B27:D27"/>
    <mergeCell ref="B28:D28"/>
    <mergeCell ref="B29:D29"/>
    <mergeCell ref="B18:D18"/>
    <mergeCell ref="B19:D19"/>
    <mergeCell ref="B20:D20"/>
    <mergeCell ref="E21:I21"/>
    <mergeCell ref="B22:D22"/>
    <mergeCell ref="B23:D23"/>
    <mergeCell ref="B12:D12"/>
    <mergeCell ref="B13:D13"/>
    <mergeCell ref="B14:D14"/>
    <mergeCell ref="B15:D15"/>
    <mergeCell ref="B16:D16"/>
    <mergeCell ref="E17:I17"/>
    <mergeCell ref="B6:D6"/>
    <mergeCell ref="B7:D7"/>
    <mergeCell ref="B8:D8"/>
    <mergeCell ref="B9:D9"/>
    <mergeCell ref="B10:D10"/>
    <mergeCell ref="B11:D11"/>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4:D55">
      <formula1>0</formula1>
      <formula2>2000</formula2>
    </dataValidation>
  </dataValidations>
  <printOptions/>
  <pageMargins left="0.52" right="0.45" top="0.5" bottom="0.44" header="0.3" footer="0.3"/>
  <pageSetup fitToHeight="1" fitToWidth="1" horizontalDpi="600" verticalDpi="600" orientation="landscape" scale="81" r:id="rId1"/>
  <headerFooter>
    <oddHeader>&amp;L&amp;"Arial,Regular"&amp;8Page 8&amp;RPI-PCP-103 (70 Lines)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49"/>
  <sheetViews>
    <sheetView showGridLines="0" workbookViewId="0" topLeftCell="A1">
      <selection activeCell="B1" sqref="B1:C1"/>
    </sheetView>
  </sheetViews>
  <sheetFormatPr defaultColWidth="9.140625" defaultRowHeight="15"/>
  <cols>
    <col min="1" max="1" width="11.421875" style="9" customWidth="1"/>
    <col min="2" max="2" width="20.421875" style="9" customWidth="1"/>
    <col min="3" max="3" width="31.8515625" style="9" customWidth="1"/>
    <col min="4" max="4" width="12.7109375" style="9" customWidth="1"/>
    <col min="5" max="5" width="20.8515625" style="9" customWidth="1"/>
    <col min="6" max="16384" width="9.140625" style="4" customWidth="1"/>
  </cols>
  <sheetData>
    <row r="1" spans="2:5" s="9" customFormat="1" ht="107.25" customHeight="1" thickBot="1">
      <c r="B1" s="385" t="s">
        <v>626</v>
      </c>
      <c r="C1" s="386"/>
      <c r="D1" s="387" t="s">
        <v>552</v>
      </c>
      <c r="E1" s="388"/>
    </row>
    <row r="2" spans="1:5" s="9" customFormat="1" ht="21" customHeight="1" thickTop="1">
      <c r="A2" s="16"/>
      <c r="B2" s="17"/>
      <c r="C2" s="18" t="s">
        <v>40</v>
      </c>
      <c r="D2" s="17"/>
      <c r="E2" s="17"/>
    </row>
    <row r="3" spans="1:5" s="9" customFormat="1" ht="14.25" customHeight="1">
      <c r="A3" s="384" t="s">
        <v>38</v>
      </c>
      <c r="B3" s="384"/>
      <c r="C3" s="384"/>
      <c r="D3" s="384"/>
      <c r="E3" s="384"/>
    </row>
    <row r="4" spans="1:5" s="3" customFormat="1" ht="21.75" customHeight="1">
      <c r="A4" s="383"/>
      <c r="B4" s="383"/>
      <c r="C4" s="383"/>
      <c r="D4" s="383"/>
      <c r="E4" s="383"/>
    </row>
    <row r="5" spans="1:5" s="9" customFormat="1" ht="14.25" customHeight="1">
      <c r="A5" s="384" t="s">
        <v>84</v>
      </c>
      <c r="B5" s="384"/>
      <c r="C5" s="384"/>
      <c r="D5" s="384"/>
      <c r="E5" s="384"/>
    </row>
    <row r="6" spans="1:5" s="3" customFormat="1" ht="21.75" customHeight="1">
      <c r="A6" s="383"/>
      <c r="B6" s="383"/>
      <c r="C6" s="383"/>
      <c r="D6" s="383"/>
      <c r="E6" s="383"/>
    </row>
    <row r="7" spans="1:5" s="9" customFormat="1" ht="14.25" customHeight="1">
      <c r="A7" s="384" t="s">
        <v>54</v>
      </c>
      <c r="B7" s="384"/>
      <c r="C7" s="384"/>
      <c r="D7" s="384"/>
      <c r="E7" s="384"/>
    </row>
    <row r="8" spans="1:5" s="3" customFormat="1" ht="21.75" customHeight="1">
      <c r="A8" s="383"/>
      <c r="B8" s="383"/>
      <c r="C8" s="383"/>
      <c r="D8" s="383"/>
      <c r="E8" s="383"/>
    </row>
    <row r="9" spans="1:5" s="9" customFormat="1" ht="27" customHeight="1">
      <c r="A9" s="382" t="s">
        <v>280</v>
      </c>
      <c r="B9" s="382"/>
      <c r="C9" s="382"/>
      <c r="D9" s="382"/>
      <c r="E9" s="382"/>
    </row>
    <row r="10" spans="1:5" s="9" customFormat="1" ht="14.25" customHeight="1">
      <c r="A10" s="252">
        <f>IF(ISERROR(VLOOKUP(A$4&amp;"-MPCP",Counts!$C$4:$C$414,1,0)),"","X")</f>
      </c>
      <c r="B10" s="126" t="s">
        <v>283</v>
      </c>
      <c r="C10" s="126"/>
      <c r="D10" s="126"/>
      <c r="E10" s="126"/>
    </row>
    <row r="11" spans="1:5" s="9" customFormat="1" ht="14.25" customHeight="1">
      <c r="A11" s="252">
        <f>IF(ISERROR(VLOOKUP(A$4&amp;"-RPCP",Counts!$C$4:$C$414,1,0)),"","X")</f>
      </c>
      <c r="B11" s="126" t="s">
        <v>80</v>
      </c>
      <c r="C11" s="126"/>
      <c r="D11" s="126"/>
      <c r="E11" s="126"/>
    </row>
    <row r="12" spans="1:5" s="3" customFormat="1" ht="13.5" thickBot="1">
      <c r="A12" s="253">
        <f>IF(ISERROR(VLOOKUP(A$4&amp;"-WPCP",Counts!$C$4:$C$414,1,0)),"","X")</f>
      </c>
      <c r="B12" s="127" t="s">
        <v>81</v>
      </c>
      <c r="C12" s="254"/>
      <c r="D12" s="254"/>
      <c r="E12" s="254"/>
    </row>
    <row r="13" spans="1:5" s="19" customFormat="1" ht="22.5" customHeight="1" thickTop="1">
      <c r="A13" s="101"/>
      <c r="B13" s="124"/>
      <c r="C13" s="125" t="s">
        <v>41</v>
      </c>
      <c r="D13" s="124"/>
      <c r="E13" s="124"/>
    </row>
    <row r="14" spans="1:5" s="19" customFormat="1" ht="14.25" customHeight="1">
      <c r="A14" s="399" t="s">
        <v>39</v>
      </c>
      <c r="B14" s="400"/>
      <c r="C14" s="400"/>
      <c r="D14" s="403" t="s">
        <v>372</v>
      </c>
      <c r="E14" s="404"/>
    </row>
    <row r="15" spans="1:5" s="20" customFormat="1" ht="21.75" customHeight="1" thickBot="1">
      <c r="A15" s="401"/>
      <c r="B15" s="401"/>
      <c r="C15" s="402"/>
      <c r="D15" s="405"/>
      <c r="E15" s="406"/>
    </row>
    <row r="16" spans="1:5" s="9" customFormat="1" ht="21" customHeight="1" thickTop="1">
      <c r="A16" s="16"/>
      <c r="B16" s="17"/>
      <c r="C16" s="18" t="s">
        <v>42</v>
      </c>
      <c r="D16" s="17"/>
      <c r="E16" s="17"/>
    </row>
    <row r="17" spans="1:5" s="9" customFormat="1" ht="57.75" customHeight="1">
      <c r="A17" s="396" t="s">
        <v>422</v>
      </c>
      <c r="B17" s="396"/>
      <c r="C17" s="396"/>
      <c r="D17" s="396"/>
      <c r="E17" s="396"/>
    </row>
    <row r="18" spans="1:5" s="9" customFormat="1" ht="12.75" customHeight="1">
      <c r="A18" s="397" t="s">
        <v>196</v>
      </c>
      <c r="B18" s="397"/>
      <c r="C18" s="397"/>
      <c r="D18" s="398"/>
      <c r="E18" s="21" t="s">
        <v>43</v>
      </c>
    </row>
    <row r="19" spans="1:5" s="9" customFormat="1" ht="28.5" customHeight="1">
      <c r="A19" s="394"/>
      <c r="B19" s="394"/>
      <c r="C19" s="394"/>
      <c r="D19" s="395"/>
      <c r="E19" s="255"/>
    </row>
    <row r="20" spans="1:5" s="37" customFormat="1" ht="10.5" thickBot="1">
      <c r="A20" s="256"/>
      <c r="B20" s="256"/>
      <c r="C20" s="256"/>
      <c r="D20" s="256"/>
      <c r="E20" s="257"/>
    </row>
    <row r="21" spans="1:5" s="37" customFormat="1" ht="25.5" customHeight="1" thickBot="1">
      <c r="A21" s="392" t="s">
        <v>332</v>
      </c>
      <c r="B21" s="392"/>
      <c r="C21" s="393"/>
      <c r="D21" s="258"/>
      <c r="E21" s="259"/>
    </row>
    <row r="22" spans="1:5" s="9" customFormat="1" ht="10.5" thickBot="1">
      <c r="A22" s="38"/>
      <c r="B22" s="38"/>
      <c r="C22" s="38"/>
      <c r="D22" s="38"/>
      <c r="E22" s="38"/>
    </row>
    <row r="23" ht="10.5" thickTop="1"/>
    <row r="24" spans="1:5" s="9" customFormat="1" ht="9.75">
      <c r="A24" s="246" t="s">
        <v>411</v>
      </c>
      <c r="B24" s="247"/>
      <c r="C24" s="248"/>
      <c r="D24" s="249" t="s">
        <v>496</v>
      </c>
      <c r="E24" s="250" t="s">
        <v>412</v>
      </c>
    </row>
    <row r="25" spans="1:5" s="9" customFormat="1" ht="9.75">
      <c r="A25" s="245" t="s">
        <v>415</v>
      </c>
      <c r="B25" s="42"/>
      <c r="C25" s="42"/>
      <c r="D25" s="330">
        <f>IF(ISBLANK($A$4),"",'Schedule 2'!B43-E25)</f>
      </c>
      <c r="E25" s="331">
        <f>'Schedule 2'!C43</f>
      </c>
    </row>
    <row r="26" spans="1:5" s="9" customFormat="1" ht="9.75">
      <c r="A26" s="243" t="s">
        <v>417</v>
      </c>
      <c r="B26" s="244"/>
      <c r="C26" s="244"/>
      <c r="D26" s="332">
        <f>IF(ISBLANK($A$4),"",'Schedule 3'!B44-E26)</f>
      </c>
      <c r="E26" s="333">
        <f>'Schedule 3'!C44</f>
      </c>
    </row>
    <row r="27" spans="1:5" s="9" customFormat="1" ht="9.75">
      <c r="A27" s="245" t="s">
        <v>416</v>
      </c>
      <c r="B27" s="42"/>
      <c r="C27" s="42"/>
      <c r="D27" s="330">
        <f>IF(ISBLANK($A$4),"",'Schedule 4'!G32)</f>
      </c>
      <c r="E27" s="331">
        <f>'Schedule 4'!H32</f>
      </c>
    </row>
    <row r="28" spans="1:5" s="9" customFormat="1" ht="9.75">
      <c r="A28" s="243" t="s">
        <v>492</v>
      </c>
      <c r="B28" s="244"/>
      <c r="C28" s="244"/>
      <c r="D28" s="332">
        <f>'Schedule 3'!J5</f>
        <v>0</v>
      </c>
      <c r="E28" s="333" t="s">
        <v>493</v>
      </c>
    </row>
    <row r="29" spans="1:5" s="9" customFormat="1" ht="9.75">
      <c r="A29" s="245" t="s">
        <v>527</v>
      </c>
      <c r="B29" s="42"/>
      <c r="C29" s="42"/>
      <c r="D29" s="359" t="str">
        <f>IF((ABS('Schedule 1-1'!F20)+ABS('Schedule 1-1'!F21))=0,"No K4 Parental Outreach Change",IF('Schedule 1-1'!F20&lt;0,"K4 Parental Outreach Added","K4 Parental Outreach Disallowed"))</f>
        <v>No K4 Parental Outreach Change</v>
      </c>
      <c r="E29" s="331"/>
    </row>
    <row r="30" spans="1:5" s="9" customFormat="1" ht="9.75">
      <c r="A30" s="243" t="s">
        <v>622</v>
      </c>
      <c r="B30" s="244"/>
      <c r="C30" s="244"/>
      <c r="D30" s="373" t="str">
        <f>IF('Schedule 7'!I5="No","Summer School Doesn't Meet Required Hours",IF(SUM('Schedule 7'!H10:I39)&gt;0,"Summer School Updates","No Summer School Change"))</f>
        <v>No Summer School Change</v>
      </c>
      <c r="E30" s="333"/>
    </row>
    <row r="31" spans="1:5" s="9" customFormat="1" ht="9.75">
      <c r="A31" s="245"/>
      <c r="B31" s="42"/>
      <c r="C31" s="42"/>
      <c r="D31" s="42"/>
      <c r="E31" s="251"/>
    </row>
    <row r="32" spans="1:5" s="9" customFormat="1" ht="25.5" customHeight="1">
      <c r="A32" s="389" t="s">
        <v>494</v>
      </c>
      <c r="B32" s="390"/>
      <c r="C32" s="390"/>
      <c r="D32" s="390"/>
      <c r="E32" s="391"/>
    </row>
    <row r="33" s="9" customFormat="1" ht="9.75"/>
    <row r="35" ht="9.75" hidden="1">
      <c r="A35" s="260" t="s">
        <v>566</v>
      </c>
    </row>
    <row r="36" ht="9.75" hidden="1">
      <c r="A36" s="260" t="s">
        <v>94</v>
      </c>
    </row>
    <row r="37" ht="9.75" hidden="1">
      <c r="A37" s="260" t="s">
        <v>567</v>
      </c>
    </row>
    <row r="38" ht="9.75" hidden="1">
      <c r="A38" s="260" t="s">
        <v>568</v>
      </c>
    </row>
    <row r="39" ht="9.75" hidden="1">
      <c r="A39" s="260" t="s">
        <v>95</v>
      </c>
    </row>
    <row r="40" ht="9.75" hidden="1">
      <c r="A40" s="260" t="s">
        <v>97</v>
      </c>
    </row>
    <row r="41" ht="9.75" hidden="1">
      <c r="A41" s="260" t="s">
        <v>436</v>
      </c>
    </row>
    <row r="42" ht="9.75" hidden="1">
      <c r="A42" s="260" t="s">
        <v>214</v>
      </c>
    </row>
    <row r="43" ht="9.75" hidden="1">
      <c r="A43" s="260" t="s">
        <v>98</v>
      </c>
    </row>
    <row r="44" s="9" customFormat="1" ht="9.75" hidden="1">
      <c r="A44" s="260" t="s">
        <v>569</v>
      </c>
    </row>
    <row r="45" s="9" customFormat="1" ht="9.75" hidden="1">
      <c r="A45" s="260" t="s">
        <v>336</v>
      </c>
    </row>
    <row r="46" s="9" customFormat="1" ht="9.75" hidden="1">
      <c r="A46" s="260" t="s">
        <v>307</v>
      </c>
    </row>
    <row r="47" s="9" customFormat="1" ht="9.75" hidden="1">
      <c r="A47" s="260" t="s">
        <v>308</v>
      </c>
    </row>
    <row r="48" s="9" customFormat="1" ht="9.75" hidden="1">
      <c r="A48" s="260" t="s">
        <v>99</v>
      </c>
    </row>
    <row r="49" s="9" customFormat="1" ht="9.75" hidden="1">
      <c r="A49" s="260" t="s">
        <v>570</v>
      </c>
    </row>
    <row r="50" s="9" customFormat="1" ht="9.75" hidden="1">
      <c r="A50" s="260" t="s">
        <v>623</v>
      </c>
    </row>
    <row r="51" s="9" customFormat="1" ht="9.75" hidden="1">
      <c r="A51" s="260" t="s">
        <v>215</v>
      </c>
    </row>
    <row r="52" s="9" customFormat="1" ht="9.75" hidden="1">
      <c r="A52" s="260" t="s">
        <v>100</v>
      </c>
    </row>
    <row r="53" s="9" customFormat="1" ht="9.75" hidden="1">
      <c r="A53" s="260" t="s">
        <v>533</v>
      </c>
    </row>
    <row r="54" s="9" customFormat="1" ht="9.75" hidden="1">
      <c r="A54" s="260" t="s">
        <v>337</v>
      </c>
    </row>
    <row r="55" s="9" customFormat="1" ht="9.75" hidden="1">
      <c r="A55" s="260" t="s">
        <v>216</v>
      </c>
    </row>
    <row r="56" s="9" customFormat="1" ht="9.75" hidden="1">
      <c r="A56" s="260" t="s">
        <v>437</v>
      </c>
    </row>
    <row r="57" s="9" customFormat="1" ht="9.75" hidden="1">
      <c r="A57" s="260" t="s">
        <v>101</v>
      </c>
    </row>
    <row r="58" s="9" customFormat="1" ht="9.75" hidden="1">
      <c r="A58" s="260" t="s">
        <v>381</v>
      </c>
    </row>
    <row r="59" s="9" customFormat="1" ht="9.75" hidden="1">
      <c r="A59" s="260" t="s">
        <v>438</v>
      </c>
    </row>
    <row r="60" s="9" customFormat="1" ht="9.75" hidden="1">
      <c r="A60" s="260" t="s">
        <v>169</v>
      </c>
    </row>
    <row r="61" s="9" customFormat="1" ht="9.75" hidden="1">
      <c r="A61" s="260" t="s">
        <v>168</v>
      </c>
    </row>
    <row r="62" s="9" customFormat="1" ht="9.75" hidden="1">
      <c r="A62" s="260" t="s">
        <v>571</v>
      </c>
    </row>
    <row r="63" s="9" customFormat="1" ht="9.75" hidden="1">
      <c r="A63" s="260" t="s">
        <v>338</v>
      </c>
    </row>
    <row r="64" s="9" customFormat="1" ht="9.75" hidden="1">
      <c r="A64" s="260" t="s">
        <v>572</v>
      </c>
    </row>
    <row r="65" s="9" customFormat="1" ht="9.75" hidden="1">
      <c r="A65" s="260" t="s">
        <v>439</v>
      </c>
    </row>
    <row r="66" s="9" customFormat="1" ht="9.75" hidden="1">
      <c r="A66" s="260" t="s">
        <v>217</v>
      </c>
    </row>
    <row r="67" s="9" customFormat="1" ht="9.75" hidden="1">
      <c r="A67" s="260" t="s">
        <v>102</v>
      </c>
    </row>
    <row r="68" s="9" customFormat="1" ht="9.75" hidden="1">
      <c r="A68" s="260" t="s">
        <v>103</v>
      </c>
    </row>
    <row r="69" s="9" customFormat="1" ht="9.75" hidden="1">
      <c r="A69" s="260" t="s">
        <v>440</v>
      </c>
    </row>
    <row r="70" s="9" customFormat="1" ht="9.75" hidden="1">
      <c r="A70" s="260" t="s">
        <v>104</v>
      </c>
    </row>
    <row r="71" s="9" customFormat="1" ht="9.75" hidden="1">
      <c r="A71" s="260" t="s">
        <v>573</v>
      </c>
    </row>
    <row r="72" s="9" customFormat="1" ht="9.75" hidden="1">
      <c r="A72" s="260" t="s">
        <v>170</v>
      </c>
    </row>
    <row r="73" s="9" customFormat="1" ht="9.75" hidden="1">
      <c r="A73" s="260" t="s">
        <v>441</v>
      </c>
    </row>
    <row r="74" s="9" customFormat="1" ht="9.75" hidden="1">
      <c r="A74" s="260" t="s">
        <v>574</v>
      </c>
    </row>
    <row r="75" s="9" customFormat="1" ht="9.75" hidden="1">
      <c r="A75" s="260" t="s">
        <v>105</v>
      </c>
    </row>
    <row r="76" s="9" customFormat="1" ht="9.75" hidden="1">
      <c r="A76" s="260" t="s">
        <v>106</v>
      </c>
    </row>
    <row r="77" s="9" customFormat="1" ht="9.75" hidden="1">
      <c r="A77" s="260" t="s">
        <v>107</v>
      </c>
    </row>
    <row r="78" s="9" customFormat="1" ht="9.75" hidden="1">
      <c r="A78" s="260" t="s">
        <v>309</v>
      </c>
    </row>
    <row r="79" s="9" customFormat="1" ht="9.75" hidden="1">
      <c r="A79" s="260" t="s">
        <v>339</v>
      </c>
    </row>
    <row r="80" s="9" customFormat="1" ht="9.75" hidden="1">
      <c r="A80" s="260" t="s">
        <v>218</v>
      </c>
    </row>
    <row r="81" s="9" customFormat="1" ht="9.75" hidden="1">
      <c r="A81" s="260" t="s">
        <v>108</v>
      </c>
    </row>
    <row r="82" s="9" customFormat="1" ht="9.75" hidden="1">
      <c r="A82" s="260" t="s">
        <v>109</v>
      </c>
    </row>
    <row r="83" s="9" customFormat="1" ht="9.75" hidden="1">
      <c r="A83" s="260" t="s">
        <v>110</v>
      </c>
    </row>
    <row r="84" s="9" customFormat="1" ht="9.75" hidden="1">
      <c r="A84" s="260" t="s">
        <v>534</v>
      </c>
    </row>
    <row r="85" s="9" customFormat="1" ht="9.75" hidden="1">
      <c r="A85" s="260" t="s">
        <v>111</v>
      </c>
    </row>
    <row r="86" s="9" customFormat="1" ht="9.75" hidden="1">
      <c r="A86" s="260" t="s">
        <v>310</v>
      </c>
    </row>
    <row r="87" s="9" customFormat="1" ht="9.75" hidden="1">
      <c r="A87" s="260" t="s">
        <v>112</v>
      </c>
    </row>
    <row r="88" s="9" customFormat="1" ht="9.75" hidden="1">
      <c r="A88" s="260" t="s">
        <v>442</v>
      </c>
    </row>
    <row r="89" s="9" customFormat="1" ht="9.75" hidden="1">
      <c r="A89" s="260" t="s">
        <v>380</v>
      </c>
    </row>
    <row r="90" s="9" customFormat="1" ht="9.75" hidden="1">
      <c r="A90" s="260" t="s">
        <v>575</v>
      </c>
    </row>
    <row r="91" s="9" customFormat="1" ht="9.75" hidden="1">
      <c r="A91" s="260" t="s">
        <v>311</v>
      </c>
    </row>
    <row r="92" s="9" customFormat="1" ht="9.75" hidden="1">
      <c r="A92" s="260" t="s">
        <v>576</v>
      </c>
    </row>
    <row r="93" s="9" customFormat="1" ht="9.75" hidden="1">
      <c r="A93" s="260" t="s">
        <v>113</v>
      </c>
    </row>
    <row r="94" s="9" customFormat="1" ht="9.75" hidden="1">
      <c r="A94" s="260" t="s">
        <v>340</v>
      </c>
    </row>
    <row r="95" s="9" customFormat="1" ht="9.75" hidden="1">
      <c r="A95" s="260" t="s">
        <v>114</v>
      </c>
    </row>
    <row r="96" s="9" customFormat="1" ht="9.75" hidden="1">
      <c r="A96" s="260" t="s">
        <v>166</v>
      </c>
    </row>
    <row r="97" s="9" customFormat="1" ht="9.75" hidden="1">
      <c r="A97" s="260" t="s">
        <v>115</v>
      </c>
    </row>
    <row r="98" s="9" customFormat="1" ht="9.75" hidden="1">
      <c r="A98" s="260" t="s">
        <v>219</v>
      </c>
    </row>
    <row r="99" s="9" customFormat="1" ht="9.75" hidden="1">
      <c r="A99" s="260" t="s">
        <v>312</v>
      </c>
    </row>
    <row r="100" s="9" customFormat="1" ht="9.75" hidden="1">
      <c r="A100" s="260" t="s">
        <v>220</v>
      </c>
    </row>
    <row r="101" s="9" customFormat="1" ht="9.75" hidden="1">
      <c r="A101" s="260" t="s">
        <v>535</v>
      </c>
    </row>
    <row r="102" s="9" customFormat="1" ht="9.75" hidden="1">
      <c r="A102" s="260" t="s">
        <v>374</v>
      </c>
    </row>
    <row r="103" s="9" customFormat="1" ht="9.75" hidden="1">
      <c r="A103" s="260" t="s">
        <v>443</v>
      </c>
    </row>
    <row r="104" s="9" customFormat="1" ht="9.75" hidden="1">
      <c r="A104" s="260" t="s">
        <v>577</v>
      </c>
    </row>
    <row r="105" s="9" customFormat="1" ht="9.75" hidden="1">
      <c r="A105" s="260" t="s">
        <v>171</v>
      </c>
    </row>
    <row r="106" s="9" customFormat="1" ht="9.75" hidden="1">
      <c r="A106" s="260" t="s">
        <v>116</v>
      </c>
    </row>
    <row r="107" s="9" customFormat="1" ht="9.75" hidden="1">
      <c r="A107" s="260" t="s">
        <v>341</v>
      </c>
    </row>
    <row r="108" s="9" customFormat="1" ht="9.75" hidden="1">
      <c r="A108" s="260" t="s">
        <v>221</v>
      </c>
    </row>
    <row r="109" s="9" customFormat="1" ht="9.75" hidden="1">
      <c r="A109" s="260" t="s">
        <v>222</v>
      </c>
    </row>
    <row r="110" s="9" customFormat="1" ht="9.75" hidden="1">
      <c r="A110" s="260" t="s">
        <v>223</v>
      </c>
    </row>
    <row r="111" s="9" customFormat="1" ht="9.75" hidden="1">
      <c r="A111" s="260" t="s">
        <v>444</v>
      </c>
    </row>
    <row r="112" s="9" customFormat="1" ht="9.75" hidden="1">
      <c r="A112" s="260" t="s">
        <v>445</v>
      </c>
    </row>
    <row r="113" s="9" customFormat="1" ht="9.75" hidden="1">
      <c r="A113" s="260" t="s">
        <v>224</v>
      </c>
    </row>
    <row r="114" s="9" customFormat="1" ht="9.75" hidden="1">
      <c r="A114" s="260" t="s">
        <v>117</v>
      </c>
    </row>
    <row r="115" s="9" customFormat="1" ht="9.75" hidden="1">
      <c r="A115" s="260" t="s">
        <v>578</v>
      </c>
    </row>
    <row r="116" s="9" customFormat="1" ht="9.75" hidden="1">
      <c r="A116" s="260" t="s">
        <v>118</v>
      </c>
    </row>
    <row r="117" s="9" customFormat="1" ht="9.75" hidden="1">
      <c r="A117" s="260" t="s">
        <v>624</v>
      </c>
    </row>
    <row r="118" s="9" customFormat="1" ht="9.75" hidden="1">
      <c r="A118" s="260" t="s">
        <v>119</v>
      </c>
    </row>
    <row r="119" s="9" customFormat="1" ht="9.75" hidden="1">
      <c r="A119" s="260" t="s">
        <v>446</v>
      </c>
    </row>
    <row r="120" s="9" customFormat="1" ht="9.75" hidden="1">
      <c r="A120" s="260" t="s">
        <v>375</v>
      </c>
    </row>
    <row r="121" s="9" customFormat="1" ht="9.75" hidden="1">
      <c r="A121" s="260" t="s">
        <v>579</v>
      </c>
    </row>
    <row r="122" s="9" customFormat="1" ht="9.75" hidden="1">
      <c r="A122" s="260" t="s">
        <v>447</v>
      </c>
    </row>
    <row r="123" s="9" customFormat="1" ht="9.75" hidden="1">
      <c r="A123" s="260" t="s">
        <v>120</v>
      </c>
    </row>
    <row r="124" s="9" customFormat="1" ht="9.75" hidden="1">
      <c r="A124" s="260" t="s">
        <v>121</v>
      </c>
    </row>
    <row r="125" s="9" customFormat="1" ht="9.75" hidden="1">
      <c r="A125" s="260" t="s">
        <v>313</v>
      </c>
    </row>
    <row r="126" s="9" customFormat="1" ht="9.75" hidden="1">
      <c r="A126" s="260" t="s">
        <v>122</v>
      </c>
    </row>
    <row r="127" s="9" customFormat="1" ht="9.75" hidden="1">
      <c r="A127" s="260" t="s">
        <v>123</v>
      </c>
    </row>
    <row r="128" s="9" customFormat="1" ht="9.75" hidden="1">
      <c r="A128" s="260" t="s">
        <v>124</v>
      </c>
    </row>
    <row r="129" s="9" customFormat="1" ht="9.75" hidden="1">
      <c r="A129" s="260" t="s">
        <v>172</v>
      </c>
    </row>
    <row r="130" s="9" customFormat="1" ht="9.75" hidden="1">
      <c r="A130" s="260" t="s">
        <v>125</v>
      </c>
    </row>
    <row r="131" s="9" customFormat="1" ht="9.75" hidden="1">
      <c r="A131" s="260" t="s">
        <v>173</v>
      </c>
    </row>
    <row r="132" ht="9.75" hidden="1">
      <c r="A132" s="260" t="s">
        <v>448</v>
      </c>
    </row>
    <row r="133" ht="9.75" hidden="1">
      <c r="A133" s="260" t="s">
        <v>225</v>
      </c>
    </row>
    <row r="134" ht="9.75" hidden="1">
      <c r="A134" s="260" t="s">
        <v>126</v>
      </c>
    </row>
    <row r="135" ht="9.75" hidden="1">
      <c r="A135" s="260" t="s">
        <v>226</v>
      </c>
    </row>
    <row r="136" ht="9.75" hidden="1">
      <c r="A136" s="260" t="s">
        <v>449</v>
      </c>
    </row>
    <row r="137" ht="9.75" hidden="1">
      <c r="A137" s="260" t="s">
        <v>382</v>
      </c>
    </row>
    <row r="138" ht="9.75" hidden="1">
      <c r="A138" s="260" t="s">
        <v>314</v>
      </c>
    </row>
    <row r="139" ht="9.75" hidden="1">
      <c r="A139" s="260" t="s">
        <v>315</v>
      </c>
    </row>
    <row r="140" ht="9.75" hidden="1">
      <c r="A140" s="260" t="s">
        <v>580</v>
      </c>
    </row>
    <row r="141" ht="9.75" hidden="1">
      <c r="A141" s="260" t="s">
        <v>127</v>
      </c>
    </row>
    <row r="142" ht="9.75" hidden="1">
      <c r="A142" s="260" t="s">
        <v>450</v>
      </c>
    </row>
    <row r="143" ht="9.75" hidden="1">
      <c r="A143" s="260" t="s">
        <v>128</v>
      </c>
    </row>
    <row r="144" ht="9.75" hidden="1">
      <c r="A144" s="260" t="s">
        <v>451</v>
      </c>
    </row>
    <row r="145" ht="9.75" hidden="1">
      <c r="A145" s="260" t="s">
        <v>342</v>
      </c>
    </row>
    <row r="146" ht="9.75" hidden="1">
      <c r="A146" s="260" t="s">
        <v>227</v>
      </c>
    </row>
    <row r="147" ht="9.75" hidden="1">
      <c r="A147" s="260" t="s">
        <v>452</v>
      </c>
    </row>
    <row r="148" ht="9.75" hidden="1">
      <c r="A148" s="260" t="s">
        <v>129</v>
      </c>
    </row>
    <row r="149" ht="9.75" hidden="1">
      <c r="A149" s="260" t="s">
        <v>228</v>
      </c>
    </row>
    <row r="150" ht="9.75" hidden="1">
      <c r="A150" s="260" t="s">
        <v>581</v>
      </c>
    </row>
    <row r="151" ht="9.75" hidden="1">
      <c r="A151" s="260" t="s">
        <v>229</v>
      </c>
    </row>
    <row r="152" ht="9.75" hidden="1">
      <c r="A152" s="260" t="s">
        <v>582</v>
      </c>
    </row>
    <row r="153" ht="9.75" hidden="1">
      <c r="A153" s="260" t="s">
        <v>536</v>
      </c>
    </row>
    <row r="154" ht="9.75" hidden="1">
      <c r="A154" s="260" t="s">
        <v>537</v>
      </c>
    </row>
    <row r="155" ht="9.75" hidden="1">
      <c r="A155" s="260" t="s">
        <v>130</v>
      </c>
    </row>
    <row r="156" ht="9.75" hidden="1">
      <c r="A156" s="260" t="s">
        <v>174</v>
      </c>
    </row>
    <row r="157" ht="9.75" hidden="1">
      <c r="A157" s="260" t="s">
        <v>131</v>
      </c>
    </row>
    <row r="158" ht="9.75" hidden="1">
      <c r="A158" s="260" t="s">
        <v>198</v>
      </c>
    </row>
    <row r="159" ht="9.75" hidden="1">
      <c r="A159" s="260" t="s">
        <v>132</v>
      </c>
    </row>
    <row r="160" ht="9.75" hidden="1">
      <c r="A160" s="260" t="s">
        <v>316</v>
      </c>
    </row>
    <row r="161" ht="9.75" hidden="1">
      <c r="A161" s="260" t="s">
        <v>230</v>
      </c>
    </row>
    <row r="162" ht="9.75" hidden="1">
      <c r="A162" s="260" t="s">
        <v>231</v>
      </c>
    </row>
    <row r="163" ht="9.75" hidden="1">
      <c r="A163" s="260" t="s">
        <v>133</v>
      </c>
    </row>
    <row r="164" ht="9.75" hidden="1">
      <c r="A164" s="260" t="s">
        <v>583</v>
      </c>
    </row>
    <row r="165" ht="9.75" hidden="1">
      <c r="A165" s="260" t="s">
        <v>538</v>
      </c>
    </row>
    <row r="166" ht="9.75" hidden="1">
      <c r="A166" s="260" t="s">
        <v>343</v>
      </c>
    </row>
    <row r="167" ht="9.75" hidden="1">
      <c r="A167" s="260" t="s">
        <v>134</v>
      </c>
    </row>
    <row r="168" ht="9.75" hidden="1">
      <c r="A168" s="260" t="s">
        <v>135</v>
      </c>
    </row>
    <row r="169" ht="9.75" hidden="1">
      <c r="A169" s="260" t="s">
        <v>539</v>
      </c>
    </row>
    <row r="170" ht="9.75" hidden="1">
      <c r="A170" s="260" t="s">
        <v>453</v>
      </c>
    </row>
    <row r="171" ht="9.75" hidden="1">
      <c r="A171" s="260" t="s">
        <v>232</v>
      </c>
    </row>
    <row r="172" ht="9.75" hidden="1">
      <c r="A172" s="260" t="s">
        <v>233</v>
      </c>
    </row>
    <row r="173" ht="9.75" hidden="1">
      <c r="A173" s="260" t="s">
        <v>136</v>
      </c>
    </row>
    <row r="174" ht="9.75" hidden="1">
      <c r="A174" s="260" t="s">
        <v>317</v>
      </c>
    </row>
    <row r="175" spans="1:3" ht="9.75" hidden="1">
      <c r="A175" s="260" t="s">
        <v>234</v>
      </c>
      <c r="C175" s="170"/>
    </row>
    <row r="176" ht="9.75" hidden="1">
      <c r="A176" s="260" t="s">
        <v>235</v>
      </c>
    </row>
    <row r="177" ht="9.75" hidden="1">
      <c r="A177" s="260" t="s">
        <v>454</v>
      </c>
    </row>
    <row r="178" ht="9.75" hidden="1">
      <c r="A178" s="260" t="s">
        <v>584</v>
      </c>
    </row>
    <row r="179" ht="9.75" hidden="1">
      <c r="A179" s="260" t="s">
        <v>236</v>
      </c>
    </row>
    <row r="180" ht="9.75" hidden="1">
      <c r="A180" s="260" t="s">
        <v>175</v>
      </c>
    </row>
    <row r="181" ht="9.75" hidden="1">
      <c r="A181" s="260" t="s">
        <v>344</v>
      </c>
    </row>
    <row r="182" ht="9.75" hidden="1">
      <c r="A182" s="260" t="s">
        <v>345</v>
      </c>
    </row>
    <row r="183" ht="9.75" hidden="1">
      <c r="A183" s="260" t="s">
        <v>237</v>
      </c>
    </row>
    <row r="184" ht="9.75" hidden="1">
      <c r="A184" s="260" t="s">
        <v>176</v>
      </c>
    </row>
    <row r="185" ht="9.75" hidden="1">
      <c r="A185" s="260" t="s">
        <v>346</v>
      </c>
    </row>
    <row r="186" ht="9.75" hidden="1">
      <c r="A186" s="260" t="s">
        <v>455</v>
      </c>
    </row>
    <row r="187" ht="9.75" hidden="1">
      <c r="A187" s="260" t="s">
        <v>238</v>
      </c>
    </row>
    <row r="188" ht="9.75" hidden="1">
      <c r="A188" s="260" t="s">
        <v>347</v>
      </c>
    </row>
    <row r="189" ht="9.75" hidden="1">
      <c r="A189" s="260" t="s">
        <v>318</v>
      </c>
    </row>
    <row r="190" ht="9.75" hidden="1">
      <c r="A190" s="260" t="s">
        <v>137</v>
      </c>
    </row>
    <row r="191" ht="9.75" hidden="1">
      <c r="A191" s="260" t="s">
        <v>585</v>
      </c>
    </row>
    <row r="192" ht="9.75" hidden="1">
      <c r="A192" s="260" t="s">
        <v>239</v>
      </c>
    </row>
    <row r="193" ht="9.75" hidden="1">
      <c r="A193" s="260" t="s">
        <v>199</v>
      </c>
    </row>
    <row r="194" ht="9.75" hidden="1">
      <c r="A194" s="260" t="s">
        <v>586</v>
      </c>
    </row>
    <row r="195" ht="9.75" hidden="1">
      <c r="A195" s="260" t="s">
        <v>138</v>
      </c>
    </row>
    <row r="196" ht="9.75" hidden="1">
      <c r="A196" s="260" t="s">
        <v>139</v>
      </c>
    </row>
    <row r="197" ht="9.75" hidden="1">
      <c r="A197" s="260" t="s">
        <v>456</v>
      </c>
    </row>
    <row r="198" ht="9.75" hidden="1">
      <c r="A198" s="260" t="s">
        <v>240</v>
      </c>
    </row>
    <row r="199" ht="9.75" hidden="1">
      <c r="A199" s="260" t="s">
        <v>200</v>
      </c>
    </row>
    <row r="200" ht="9.75" hidden="1">
      <c r="A200" s="260" t="s">
        <v>457</v>
      </c>
    </row>
    <row r="201" ht="9.75" hidden="1">
      <c r="A201" s="260" t="s">
        <v>587</v>
      </c>
    </row>
    <row r="202" ht="9.75" hidden="1">
      <c r="A202" s="260" t="s">
        <v>376</v>
      </c>
    </row>
    <row r="203" ht="9.75" hidden="1">
      <c r="A203" s="260" t="s">
        <v>458</v>
      </c>
    </row>
    <row r="204" ht="9.75" hidden="1">
      <c r="A204" s="260" t="s">
        <v>377</v>
      </c>
    </row>
    <row r="205" ht="9.75" hidden="1">
      <c r="A205" s="260" t="s">
        <v>459</v>
      </c>
    </row>
    <row r="206" ht="9.75" hidden="1">
      <c r="A206" s="260" t="s">
        <v>319</v>
      </c>
    </row>
    <row r="207" ht="9.75" hidden="1">
      <c r="A207" s="260" t="s">
        <v>140</v>
      </c>
    </row>
    <row r="208" ht="9.75" hidden="1">
      <c r="A208" s="260" t="s">
        <v>588</v>
      </c>
    </row>
    <row r="209" ht="9.75" hidden="1">
      <c r="A209" s="260" t="s">
        <v>589</v>
      </c>
    </row>
    <row r="210" ht="9.75" hidden="1">
      <c r="A210" s="260" t="s">
        <v>241</v>
      </c>
    </row>
    <row r="211" ht="9.75" hidden="1">
      <c r="A211" s="260" t="s">
        <v>460</v>
      </c>
    </row>
    <row r="212" ht="9.75" hidden="1">
      <c r="A212" s="260" t="s">
        <v>348</v>
      </c>
    </row>
    <row r="213" ht="9.75" hidden="1">
      <c r="A213" s="260" t="s">
        <v>142</v>
      </c>
    </row>
    <row r="214" ht="9.75" hidden="1">
      <c r="A214" s="260" t="s">
        <v>141</v>
      </c>
    </row>
    <row r="215" ht="9.75" hidden="1">
      <c r="A215" s="260" t="s">
        <v>242</v>
      </c>
    </row>
    <row r="216" ht="9.75" hidden="1">
      <c r="A216" s="260" t="s">
        <v>461</v>
      </c>
    </row>
    <row r="217" ht="9.75" hidden="1">
      <c r="A217" s="260" t="s">
        <v>462</v>
      </c>
    </row>
    <row r="218" ht="9.75" hidden="1">
      <c r="A218" s="260" t="s">
        <v>540</v>
      </c>
    </row>
    <row r="219" ht="9.75" hidden="1">
      <c r="A219" s="260" t="s">
        <v>320</v>
      </c>
    </row>
    <row r="220" ht="9.75" hidden="1">
      <c r="A220" s="260" t="s">
        <v>143</v>
      </c>
    </row>
    <row r="221" ht="9.75" hidden="1">
      <c r="A221" s="260" t="s">
        <v>590</v>
      </c>
    </row>
    <row r="222" ht="9.75" hidden="1">
      <c r="A222" s="260" t="s">
        <v>591</v>
      </c>
    </row>
    <row r="223" ht="9.75" hidden="1">
      <c r="A223" s="260" t="s">
        <v>321</v>
      </c>
    </row>
    <row r="224" ht="9.75" hidden="1">
      <c r="A224" s="260" t="s">
        <v>243</v>
      </c>
    </row>
    <row r="225" ht="9.75" hidden="1">
      <c r="A225" s="260" t="s">
        <v>592</v>
      </c>
    </row>
    <row r="226" ht="9.75" hidden="1">
      <c r="A226" s="260" t="s">
        <v>541</v>
      </c>
    </row>
    <row r="227" ht="9.75" hidden="1">
      <c r="A227" s="260" t="s">
        <v>593</v>
      </c>
    </row>
    <row r="228" ht="9.75" hidden="1">
      <c r="A228" s="260" t="s">
        <v>594</v>
      </c>
    </row>
    <row r="229" ht="9.75" hidden="1">
      <c r="A229" s="260" t="s">
        <v>349</v>
      </c>
    </row>
    <row r="230" ht="9.75" hidden="1">
      <c r="A230" s="260" t="s">
        <v>463</v>
      </c>
    </row>
    <row r="231" ht="9.75" hidden="1">
      <c r="A231" s="260" t="s">
        <v>464</v>
      </c>
    </row>
    <row r="232" ht="9.75" hidden="1">
      <c r="A232" s="260" t="s">
        <v>595</v>
      </c>
    </row>
    <row r="233" ht="9.75" hidden="1">
      <c r="A233" s="260" t="s">
        <v>596</v>
      </c>
    </row>
    <row r="234" ht="9.75" hidden="1">
      <c r="A234" s="260" t="s">
        <v>177</v>
      </c>
    </row>
    <row r="235" ht="9.75" hidden="1">
      <c r="A235" s="260" t="s">
        <v>244</v>
      </c>
    </row>
    <row r="236" ht="9.75" hidden="1">
      <c r="A236" s="260" t="s">
        <v>350</v>
      </c>
    </row>
    <row r="237" ht="9.75" hidden="1">
      <c r="A237" s="260" t="s">
        <v>351</v>
      </c>
    </row>
    <row r="238" ht="9.75" hidden="1">
      <c r="A238" s="260" t="s">
        <v>465</v>
      </c>
    </row>
    <row r="239" ht="9.75" hidden="1">
      <c r="A239" s="260" t="s">
        <v>597</v>
      </c>
    </row>
    <row r="240" ht="9.75" hidden="1">
      <c r="A240" s="260" t="s">
        <v>245</v>
      </c>
    </row>
    <row r="241" ht="9.75" hidden="1">
      <c r="A241" s="260" t="s">
        <v>144</v>
      </c>
    </row>
    <row r="242" ht="9.75" hidden="1">
      <c r="A242" s="260" t="s">
        <v>466</v>
      </c>
    </row>
    <row r="243" ht="9.75" hidden="1">
      <c r="A243" s="260" t="s">
        <v>467</v>
      </c>
    </row>
    <row r="244" ht="9.75" hidden="1">
      <c r="A244" s="260" t="s">
        <v>145</v>
      </c>
    </row>
    <row r="245" ht="9.75" hidden="1">
      <c r="A245" s="260" t="s">
        <v>146</v>
      </c>
    </row>
    <row r="246" ht="9.75" hidden="1">
      <c r="A246" s="260" t="s">
        <v>147</v>
      </c>
    </row>
    <row r="247" ht="9.75" hidden="1">
      <c r="A247" s="260" t="s">
        <v>178</v>
      </c>
    </row>
    <row r="248" ht="9.75" hidden="1">
      <c r="A248" s="260" t="s">
        <v>352</v>
      </c>
    </row>
    <row r="249" ht="9.75" hidden="1">
      <c r="A249" s="260" t="s">
        <v>468</v>
      </c>
    </row>
    <row r="250" ht="9.75" hidden="1">
      <c r="A250" s="260" t="s">
        <v>322</v>
      </c>
    </row>
    <row r="251" ht="9.75" hidden="1">
      <c r="A251" s="260" t="s">
        <v>353</v>
      </c>
    </row>
    <row r="252" ht="9.75" hidden="1">
      <c r="A252" s="260" t="s">
        <v>469</v>
      </c>
    </row>
    <row r="253" ht="9.75" hidden="1">
      <c r="A253" s="260" t="s">
        <v>323</v>
      </c>
    </row>
    <row r="254" ht="9.75" hidden="1">
      <c r="A254" s="260" t="s">
        <v>201</v>
      </c>
    </row>
    <row r="255" ht="9.75" hidden="1">
      <c r="A255" s="260" t="s">
        <v>148</v>
      </c>
    </row>
    <row r="256" ht="9.75" hidden="1">
      <c r="A256" s="260" t="s">
        <v>246</v>
      </c>
    </row>
    <row r="257" ht="9.75" hidden="1">
      <c r="A257" s="260" t="s">
        <v>179</v>
      </c>
    </row>
    <row r="258" ht="9.75" hidden="1">
      <c r="A258" s="260" t="s">
        <v>542</v>
      </c>
    </row>
    <row r="259" ht="9.75" hidden="1">
      <c r="A259" s="260" t="s">
        <v>247</v>
      </c>
    </row>
    <row r="260" ht="9.75" hidden="1">
      <c r="A260" s="260" t="s">
        <v>598</v>
      </c>
    </row>
    <row r="261" ht="9.75" hidden="1">
      <c r="A261" s="260" t="s">
        <v>378</v>
      </c>
    </row>
    <row r="262" ht="9.75" hidden="1">
      <c r="A262" s="260" t="s">
        <v>354</v>
      </c>
    </row>
    <row r="263" ht="9.75" hidden="1">
      <c r="A263" s="260" t="s">
        <v>599</v>
      </c>
    </row>
    <row r="264" ht="9.75" hidden="1">
      <c r="A264" s="260" t="s">
        <v>355</v>
      </c>
    </row>
    <row r="265" ht="9.75" hidden="1">
      <c r="A265" s="260" t="s">
        <v>470</v>
      </c>
    </row>
    <row r="266" ht="9.75" hidden="1">
      <c r="A266" s="260" t="s">
        <v>471</v>
      </c>
    </row>
    <row r="267" ht="9.75" hidden="1">
      <c r="A267" s="260" t="s">
        <v>356</v>
      </c>
    </row>
    <row r="268" ht="9.75" hidden="1">
      <c r="A268" s="260" t="s">
        <v>149</v>
      </c>
    </row>
    <row r="269" ht="9.75" hidden="1">
      <c r="A269" s="260" t="s">
        <v>543</v>
      </c>
    </row>
    <row r="270" ht="9.75" hidden="1">
      <c r="A270" s="260" t="s">
        <v>544</v>
      </c>
    </row>
    <row r="271" ht="9.75" hidden="1">
      <c r="A271" s="260" t="s">
        <v>248</v>
      </c>
    </row>
    <row r="272" ht="9.75" hidden="1">
      <c r="A272" s="260" t="s">
        <v>472</v>
      </c>
    </row>
    <row r="273" ht="9.75" hidden="1">
      <c r="A273" s="260" t="s">
        <v>473</v>
      </c>
    </row>
    <row r="274" ht="9.75" hidden="1">
      <c r="A274" s="260" t="s">
        <v>249</v>
      </c>
    </row>
    <row r="275" ht="9.75" hidden="1">
      <c r="A275" s="260" t="s">
        <v>150</v>
      </c>
    </row>
    <row r="276" ht="9.75" hidden="1">
      <c r="A276" s="260" t="s">
        <v>324</v>
      </c>
    </row>
    <row r="277" ht="9.75" hidden="1">
      <c r="A277" s="260" t="s">
        <v>357</v>
      </c>
    </row>
    <row r="278" ht="9.75" hidden="1">
      <c r="A278" s="260" t="s">
        <v>250</v>
      </c>
    </row>
    <row r="279" ht="9.75" hidden="1">
      <c r="A279" s="260" t="s">
        <v>151</v>
      </c>
    </row>
    <row r="280" ht="9.75" hidden="1">
      <c r="A280" s="260" t="s">
        <v>325</v>
      </c>
    </row>
    <row r="281" ht="9.75" hidden="1">
      <c r="A281" s="260" t="s">
        <v>600</v>
      </c>
    </row>
    <row r="282" ht="9.75" hidden="1">
      <c r="A282" s="260" t="s">
        <v>474</v>
      </c>
    </row>
    <row r="283" ht="9.75" hidden="1">
      <c r="A283" s="260" t="s">
        <v>601</v>
      </c>
    </row>
    <row r="284" ht="9.75" hidden="1">
      <c r="A284" s="260" t="s">
        <v>475</v>
      </c>
    </row>
    <row r="285" ht="9.75" hidden="1">
      <c r="A285" s="260" t="s">
        <v>476</v>
      </c>
    </row>
    <row r="286" ht="9.75" hidden="1">
      <c r="A286" s="260" t="s">
        <v>602</v>
      </c>
    </row>
    <row r="287" ht="9.75" hidden="1">
      <c r="A287" s="260" t="s">
        <v>358</v>
      </c>
    </row>
    <row r="288" ht="9.75" hidden="1">
      <c r="A288" s="260" t="s">
        <v>251</v>
      </c>
    </row>
    <row r="289" s="9" customFormat="1" ht="9.75" hidden="1">
      <c r="A289" s="260" t="s">
        <v>477</v>
      </c>
    </row>
    <row r="290" s="9" customFormat="1" ht="9.75" hidden="1">
      <c r="A290" s="260" t="s">
        <v>202</v>
      </c>
    </row>
    <row r="291" s="9" customFormat="1" ht="9.75" hidden="1">
      <c r="A291" s="260" t="s">
        <v>603</v>
      </c>
    </row>
    <row r="292" s="9" customFormat="1" ht="9.75" hidden="1">
      <c r="A292" s="260" t="s">
        <v>326</v>
      </c>
    </row>
    <row r="293" s="9" customFormat="1" ht="9.75" hidden="1">
      <c r="A293" s="260" t="s">
        <v>604</v>
      </c>
    </row>
    <row r="294" s="9" customFormat="1" ht="9.75" hidden="1">
      <c r="A294" s="260" t="s">
        <v>252</v>
      </c>
    </row>
    <row r="295" s="9" customFormat="1" ht="9.75" hidden="1">
      <c r="A295" s="260" t="s">
        <v>253</v>
      </c>
    </row>
    <row r="296" s="9" customFormat="1" ht="9.75" hidden="1">
      <c r="A296" s="260" t="s">
        <v>254</v>
      </c>
    </row>
    <row r="297" s="9" customFormat="1" ht="9.75" hidden="1">
      <c r="A297" s="260" t="s">
        <v>478</v>
      </c>
    </row>
    <row r="298" s="9" customFormat="1" ht="9.75" hidden="1">
      <c r="A298" s="260" t="s">
        <v>255</v>
      </c>
    </row>
    <row r="299" s="9" customFormat="1" ht="9.75" hidden="1">
      <c r="A299" s="260" t="s">
        <v>479</v>
      </c>
    </row>
    <row r="300" s="9" customFormat="1" ht="9.75" hidden="1">
      <c r="A300" s="260" t="s">
        <v>327</v>
      </c>
    </row>
    <row r="301" s="9" customFormat="1" ht="9.75" hidden="1">
      <c r="A301" s="260" t="s">
        <v>256</v>
      </c>
    </row>
    <row r="302" s="9" customFormat="1" ht="9.75" hidden="1">
      <c r="A302" s="260" t="s">
        <v>257</v>
      </c>
    </row>
    <row r="303" s="9" customFormat="1" ht="9.75" hidden="1">
      <c r="A303" s="260" t="s">
        <v>258</v>
      </c>
    </row>
    <row r="304" s="9" customFormat="1" ht="9.75" hidden="1">
      <c r="A304" s="260" t="s">
        <v>152</v>
      </c>
    </row>
    <row r="305" s="9" customFormat="1" ht="9.75" hidden="1">
      <c r="A305" s="260" t="s">
        <v>259</v>
      </c>
    </row>
    <row r="306" s="9" customFormat="1" ht="9.75" hidden="1">
      <c r="A306" s="260" t="s">
        <v>153</v>
      </c>
    </row>
    <row r="307" s="9" customFormat="1" ht="9.75" hidden="1">
      <c r="A307" s="260" t="s">
        <v>154</v>
      </c>
    </row>
    <row r="308" s="9" customFormat="1" ht="9.75" hidden="1">
      <c r="A308" s="260" t="s">
        <v>155</v>
      </c>
    </row>
    <row r="309" s="9" customFormat="1" ht="9.75" hidden="1">
      <c r="A309" s="260" t="s">
        <v>203</v>
      </c>
    </row>
    <row r="310" s="9" customFormat="1" ht="9.75" hidden="1">
      <c r="A310" s="260" t="s">
        <v>480</v>
      </c>
    </row>
    <row r="311" s="9" customFormat="1" ht="9.75" hidden="1">
      <c r="A311" s="260" t="s">
        <v>156</v>
      </c>
    </row>
    <row r="312" s="9" customFormat="1" ht="9.75" hidden="1">
      <c r="A312" s="260" t="s">
        <v>481</v>
      </c>
    </row>
    <row r="313" s="9" customFormat="1" ht="9.75" hidden="1">
      <c r="A313" s="260" t="s">
        <v>157</v>
      </c>
    </row>
    <row r="314" s="9" customFormat="1" ht="9.75" hidden="1">
      <c r="A314" s="260" t="s">
        <v>482</v>
      </c>
    </row>
    <row r="315" s="9" customFormat="1" ht="9.75" hidden="1">
      <c r="A315" s="260" t="s">
        <v>158</v>
      </c>
    </row>
    <row r="316" s="9" customFormat="1" ht="9.75" hidden="1">
      <c r="A316" s="260" t="s">
        <v>483</v>
      </c>
    </row>
    <row r="317" s="9" customFormat="1" ht="9.75" hidden="1">
      <c r="A317" s="260" t="s">
        <v>484</v>
      </c>
    </row>
    <row r="318" s="9" customFormat="1" ht="9.75" hidden="1">
      <c r="A318" s="260" t="s">
        <v>159</v>
      </c>
    </row>
    <row r="319" s="9" customFormat="1" ht="9.75" hidden="1">
      <c r="A319" s="260" t="s">
        <v>485</v>
      </c>
    </row>
    <row r="320" s="9" customFormat="1" ht="9.75" hidden="1">
      <c r="A320" s="260" t="s">
        <v>260</v>
      </c>
    </row>
    <row r="321" s="9" customFormat="1" ht="9.75" hidden="1">
      <c r="A321" s="260" t="s">
        <v>180</v>
      </c>
    </row>
    <row r="322" s="9" customFormat="1" ht="9.75" hidden="1">
      <c r="A322" s="260" t="s">
        <v>359</v>
      </c>
    </row>
    <row r="323" s="9" customFormat="1" ht="9.75" hidden="1">
      <c r="A323" s="260" t="s">
        <v>360</v>
      </c>
    </row>
    <row r="324" s="9" customFormat="1" ht="9.75" hidden="1">
      <c r="A324" s="260" t="s">
        <v>197</v>
      </c>
    </row>
    <row r="325" s="9" customFormat="1" ht="9.75" hidden="1">
      <c r="A325" s="260" t="s">
        <v>160</v>
      </c>
    </row>
    <row r="326" s="9" customFormat="1" ht="9.75" hidden="1">
      <c r="A326" s="260" t="s">
        <v>486</v>
      </c>
    </row>
    <row r="327" s="9" customFormat="1" ht="9.75" hidden="1">
      <c r="A327" s="260" t="s">
        <v>181</v>
      </c>
    </row>
    <row r="328" s="9" customFormat="1" ht="9.75" hidden="1">
      <c r="A328" s="260" t="s">
        <v>487</v>
      </c>
    </row>
    <row r="329" s="9" customFormat="1" ht="9.75" hidden="1">
      <c r="A329" s="260" t="s">
        <v>328</v>
      </c>
    </row>
    <row r="330" s="9" customFormat="1" ht="9.75" hidden="1">
      <c r="A330" s="260" t="s">
        <v>261</v>
      </c>
    </row>
    <row r="331" s="9" customFormat="1" ht="9.75" hidden="1">
      <c r="A331" s="260" t="s">
        <v>161</v>
      </c>
    </row>
    <row r="332" s="9" customFormat="1" ht="9.75" hidden="1">
      <c r="A332" s="260" t="s">
        <v>262</v>
      </c>
    </row>
    <row r="333" s="9" customFormat="1" ht="9.75" hidden="1">
      <c r="A333" s="260" t="s">
        <v>488</v>
      </c>
    </row>
    <row r="334" s="9" customFormat="1" ht="9.75" hidden="1">
      <c r="A334" s="260" t="s">
        <v>162</v>
      </c>
    </row>
    <row r="335" s="9" customFormat="1" ht="9.75" hidden="1">
      <c r="A335" s="260" t="s">
        <v>605</v>
      </c>
    </row>
    <row r="336" s="9" customFormat="1" ht="9.75" hidden="1">
      <c r="A336" s="260" t="s">
        <v>163</v>
      </c>
    </row>
    <row r="337" s="9" customFormat="1" ht="9.75" hidden="1">
      <c r="A337" s="260" t="s">
        <v>164</v>
      </c>
    </row>
    <row r="338" s="9" customFormat="1" ht="9.75" hidden="1">
      <c r="A338" s="260" t="s">
        <v>545</v>
      </c>
    </row>
    <row r="339" s="9" customFormat="1" ht="9.75" hidden="1">
      <c r="A339" s="260" t="s">
        <v>546</v>
      </c>
    </row>
    <row r="340" s="9" customFormat="1" ht="9.75" hidden="1">
      <c r="A340" s="260" t="s">
        <v>489</v>
      </c>
    </row>
    <row r="341" s="9" customFormat="1" ht="9.75" hidden="1">
      <c r="A341" s="260" t="s">
        <v>263</v>
      </c>
    </row>
    <row r="342" s="9" customFormat="1" ht="9.75" hidden="1">
      <c r="A342" s="260" t="s">
        <v>165</v>
      </c>
    </row>
    <row r="343" s="9" customFormat="1" ht="9.75" hidden="1">
      <c r="A343" s="260" t="s">
        <v>606</v>
      </c>
    </row>
    <row r="344" s="9" customFormat="1" ht="9.75" hidden="1">
      <c r="A344" s="260" t="s">
        <v>379</v>
      </c>
    </row>
    <row r="345" s="9" customFormat="1" ht="9.75" hidden="1">
      <c r="A345" s="260" t="s">
        <v>490</v>
      </c>
    </row>
    <row r="349" ht="9.75">
      <c r="D349" s="123"/>
    </row>
  </sheetData>
  <sheetProtection password="F443" sheet="1"/>
  <mergeCells count="18">
    <mergeCell ref="A32:E32"/>
    <mergeCell ref="A21:C21"/>
    <mergeCell ref="A19:D19"/>
    <mergeCell ref="A17:E17"/>
    <mergeCell ref="A18:D18"/>
    <mergeCell ref="A14:C14"/>
    <mergeCell ref="A15:C15"/>
    <mergeCell ref="D14:E14"/>
    <mergeCell ref="D15:E15"/>
    <mergeCell ref="A9:E9"/>
    <mergeCell ref="A8:E8"/>
    <mergeCell ref="A7:E7"/>
    <mergeCell ref="A6:E6"/>
    <mergeCell ref="A5:E5"/>
    <mergeCell ref="B1:C1"/>
    <mergeCell ref="D1:E1"/>
    <mergeCell ref="A3:E3"/>
    <mergeCell ref="A4:E4"/>
  </mergeCells>
  <dataValidations count="1">
    <dataValidation type="list" allowBlank="1" showInputMessage="1" showErrorMessage="1" sqref="A4:E4">
      <formula1>$A$35:$A$345</formula1>
    </dataValidation>
  </dataValidations>
  <printOptions/>
  <pageMargins left="0.5" right="0.5" top="0.5" bottom="0.5" header="0.3" footer="0.3"/>
  <pageSetup fitToHeight="1" fitToWidth="1" horizontalDpi="600" verticalDpi="600" orientation="portrait" scale="98"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A4" sqref="A4"/>
    </sheetView>
  </sheetViews>
  <sheetFormatPr defaultColWidth="9.140625" defaultRowHeight="15"/>
  <cols>
    <col min="1" max="1" width="3.28125" style="60" bestFit="1" customWidth="1"/>
    <col min="2" max="2" width="22.8515625" style="60" customWidth="1"/>
    <col min="3" max="3" width="34.00390625" style="60" customWidth="1"/>
    <col min="4" max="5" width="9.140625" style="60" customWidth="1"/>
    <col min="6" max="16384" width="9.140625" style="70" customWidth="1"/>
  </cols>
  <sheetData>
    <row r="1" spans="1:5" s="60" customFormat="1" ht="12" customHeight="1">
      <c r="A1" s="410">
        <f>'Cover Page'!A4:E4</f>
        <v>0</v>
      </c>
      <c r="B1" s="410"/>
      <c r="C1" s="410"/>
      <c r="D1" s="410"/>
      <c r="E1" s="410"/>
    </row>
    <row r="2" spans="1:5" s="60" customFormat="1" ht="12" customHeight="1">
      <c r="A2" s="411" t="s">
        <v>66</v>
      </c>
      <c r="B2" s="411"/>
      <c r="C2" s="411"/>
      <c r="D2" s="411"/>
      <c r="E2" s="411"/>
    </row>
    <row r="3" spans="1:5" s="60" customFormat="1" ht="12" customHeight="1">
      <c r="A3" s="411" t="s">
        <v>627</v>
      </c>
      <c r="B3" s="411"/>
      <c r="C3" s="411"/>
      <c r="D3" s="411"/>
      <c r="E3" s="411"/>
    </row>
    <row r="4" spans="4:6" s="60" customFormat="1" ht="12" customHeight="1">
      <c r="D4" s="61"/>
      <c r="E4" s="62"/>
      <c r="F4" s="62"/>
    </row>
    <row r="5" spans="1:6" s="60" customFormat="1" ht="14.25" customHeight="1">
      <c r="A5" s="412" t="s">
        <v>67</v>
      </c>
      <c r="B5" s="412"/>
      <c r="C5" s="412"/>
      <c r="D5" s="412"/>
      <c r="E5" s="412"/>
      <c r="F5" s="63"/>
    </row>
    <row r="6" spans="1:6" s="60" customFormat="1" ht="14.25" customHeight="1">
      <c r="A6" s="412" t="s">
        <v>499</v>
      </c>
      <c r="B6" s="412"/>
      <c r="C6" s="412"/>
      <c r="D6" s="412"/>
      <c r="E6" s="412"/>
      <c r="F6" s="64"/>
    </row>
    <row r="7" spans="1:5" s="60" customFormat="1" ht="14.25" customHeight="1">
      <c r="A7" s="412" t="s">
        <v>68</v>
      </c>
      <c r="B7" s="412"/>
      <c r="C7" s="412"/>
      <c r="D7" s="412"/>
      <c r="E7" s="412"/>
    </row>
    <row r="8" spans="1:5" s="60" customFormat="1" ht="16.5" customHeight="1" thickBot="1">
      <c r="A8" s="133"/>
      <c r="B8" s="133"/>
      <c r="C8" s="133"/>
      <c r="D8" s="133"/>
      <c r="E8" s="63"/>
    </row>
    <row r="9" spans="1:5" s="60" customFormat="1" ht="26.25" customHeight="1" thickBot="1">
      <c r="A9" s="261" t="s">
        <v>65</v>
      </c>
      <c r="B9" s="409" t="s">
        <v>556</v>
      </c>
      <c r="C9" s="409"/>
      <c r="D9" s="409"/>
      <c r="E9" s="65" t="str">
        <f>IF('Schedule 1-1'!G15&gt;0,"ERROR","OK")</f>
        <v>OK</v>
      </c>
    </row>
    <row r="10" spans="1:5" s="67" customFormat="1" ht="16.5" customHeight="1" thickBot="1">
      <c r="A10" s="262"/>
      <c r="B10" s="86"/>
      <c r="C10" s="86"/>
      <c r="D10" s="86"/>
      <c r="E10" s="87"/>
    </row>
    <row r="11" spans="1:5" s="60" customFormat="1" ht="30.75" customHeight="1" thickBot="1">
      <c r="A11" s="261" t="s">
        <v>65</v>
      </c>
      <c r="B11" s="409" t="s">
        <v>557</v>
      </c>
      <c r="C11" s="409"/>
      <c r="D11" s="409"/>
      <c r="E11" s="65" t="str">
        <f>IF('Schedule 3'!J5="","ERROR","OK")</f>
        <v>ERROR</v>
      </c>
    </row>
    <row r="12" spans="1:6" s="60" customFormat="1" ht="16.5" customHeight="1" thickBot="1">
      <c r="A12" s="68"/>
      <c r="B12" s="66"/>
      <c r="C12" s="66"/>
      <c r="D12" s="66"/>
      <c r="E12" s="68"/>
      <c r="F12" s="69"/>
    </row>
    <row r="13" spans="1:5" s="60" customFormat="1" ht="16.5" customHeight="1" thickBot="1">
      <c r="A13" s="261" t="s">
        <v>65</v>
      </c>
      <c r="B13" s="408" t="s">
        <v>565</v>
      </c>
      <c r="C13" s="408"/>
      <c r="D13" s="408"/>
      <c r="E13" s="65" t="str">
        <f>IF('Schedule 1-1'!I30="","ERROR",IF(AND(SUM('Schedule 1-1'!E20:E21)&gt;0,'Schedule 1-1'!I30="N/A"),"ERROR","OK"))</f>
        <v>ERROR</v>
      </c>
    </row>
    <row r="14" spans="1:14" s="67" customFormat="1" ht="16.5" customHeight="1" thickBot="1">
      <c r="A14" s="262"/>
      <c r="B14" s="86"/>
      <c r="C14" s="86"/>
      <c r="D14" s="86"/>
      <c r="E14" s="87"/>
      <c r="F14" s="60"/>
      <c r="G14" s="60"/>
      <c r="H14" s="60"/>
      <c r="I14" s="60"/>
      <c r="J14" s="60"/>
      <c r="K14" s="60"/>
      <c r="L14" s="60"/>
      <c r="M14" s="60"/>
      <c r="N14" s="60"/>
    </row>
    <row r="15" spans="1:5" s="60" customFormat="1" ht="16.5" customHeight="1" thickBot="1">
      <c r="A15" s="261" t="s">
        <v>65</v>
      </c>
      <c r="B15" s="216" t="s">
        <v>558</v>
      </c>
      <c r="C15" s="216"/>
      <c r="D15" s="216"/>
      <c r="E15" s="65" t="str">
        <f>IF(ISBLANK('Cover Page'!A4),"OK",IF(AND('Schedule 2'!B43='Schedule 2'!D43,'Schedule 2'!B43='Schedule 2'!E43,'Schedule 2'!B43='Schedule 2'!F43,'Schedule 2'!B43='Schedule 2'!G43,'Schedule 2'!B43='Schedule 2'!H43),"OK","ERROR"))</f>
        <v>OK</v>
      </c>
    </row>
    <row r="16" spans="1:5" s="60" customFormat="1" ht="16.5" customHeight="1" thickBot="1">
      <c r="A16" s="263"/>
      <c r="B16" s="216"/>
      <c r="C16" s="216"/>
      <c r="D16" s="66"/>
      <c r="E16" s="67"/>
    </row>
    <row r="17" spans="1:5" s="60" customFormat="1" ht="16.5" customHeight="1" thickBot="1">
      <c r="A17" s="261" t="s">
        <v>65</v>
      </c>
      <c r="B17" s="216" t="s">
        <v>559</v>
      </c>
      <c r="C17" s="216"/>
      <c r="D17" s="216"/>
      <c r="E17" s="65" t="str">
        <f>IF(ISBLANK('Cover Page'!A4),"OK",IF(AND('Schedule 3'!B44='Schedule 3'!D44,'Schedule 3'!B44='Schedule 3'!E44,'Schedule 3'!B44='Schedule 3'!F44,'Schedule 3'!B44='Schedule 3'!G44),"OK","ERROR"))</f>
        <v>OK</v>
      </c>
    </row>
    <row r="18" spans="1:5" s="60" customFormat="1" ht="16.5" customHeight="1" thickBot="1">
      <c r="A18" s="263"/>
      <c r="B18" s="216"/>
      <c r="C18" s="216"/>
      <c r="D18" s="66"/>
      <c r="E18" s="67"/>
    </row>
    <row r="19" spans="1:5" s="60" customFormat="1" ht="16.5" customHeight="1" thickBot="1">
      <c r="A19" s="261" t="s">
        <v>65</v>
      </c>
      <c r="B19" s="408" t="s">
        <v>560</v>
      </c>
      <c r="C19" s="408"/>
      <c r="D19" s="408"/>
      <c r="E19" s="65" t="str">
        <f>IF(ISBLANK('Cover Page'!A4),"OK",IF(AND('Schedule 4'!B32='Schedule 4'!C32,'Schedule 4'!B32='Schedule 4'!D32,'Schedule 4'!B32='Schedule 4'!E32,'Schedule 4'!B32='Schedule 4'!F32,'Schedule 4'!B32=('Schedule 4'!G32+'Schedule 4'!H32)),"OK","ERROR"))</f>
        <v>OK</v>
      </c>
    </row>
    <row r="20" spans="1:6" s="60" customFormat="1" ht="16.5" customHeight="1" thickBot="1">
      <c r="A20" s="68"/>
      <c r="B20" s="66"/>
      <c r="C20" s="66"/>
      <c r="D20" s="66"/>
      <c r="E20" s="68"/>
      <c r="F20" s="69"/>
    </row>
    <row r="21" spans="1:5" s="67" customFormat="1" ht="16.5" customHeight="1" thickBot="1">
      <c r="A21" s="261" t="s">
        <v>65</v>
      </c>
      <c r="B21" s="216" t="s">
        <v>561</v>
      </c>
      <c r="C21" s="216"/>
      <c r="D21" s="216"/>
      <c r="E21" s="65" t="str">
        <f>IF(OR('Sample Info'!C8&lt;'Sample Info'!C11,'Sample Info'!C14&lt;'Sample Info'!C17,'Sample Info'!C20&lt;'Sample Info'!C23),"ERROR","OK")</f>
        <v>OK</v>
      </c>
    </row>
    <row r="22" ht="12" thickBot="1"/>
    <row r="23" spans="1:5" s="60" customFormat="1" ht="16.5" customHeight="1" thickBot="1">
      <c r="A23" s="261" t="s">
        <v>65</v>
      </c>
      <c r="B23" s="407" t="s">
        <v>562</v>
      </c>
      <c r="C23" s="407"/>
      <c r="D23" s="407"/>
      <c r="E23" s="65" t="str">
        <f>IF(ISBLANK('Schedule 7'!I5),"ERROR",IF(AND('Schedule 7'!I5="N/A",'Schedule 5'!L28&gt;0),"ERROR","OK"))</f>
        <v>ERROR</v>
      </c>
    </row>
    <row r="24" spans="1:5" s="60" customFormat="1" ht="16.5" customHeight="1" thickBot="1">
      <c r="A24" s="264"/>
      <c r="B24" s="217"/>
      <c r="C24" s="217"/>
      <c r="D24" s="217"/>
      <c r="E24" s="198"/>
    </row>
    <row r="25" spans="1:15" s="60" customFormat="1" ht="16.5" customHeight="1" thickBot="1">
      <c r="A25" s="261" t="s">
        <v>65</v>
      </c>
      <c r="B25" s="407" t="s">
        <v>563</v>
      </c>
      <c r="C25" s="407"/>
      <c r="D25" s="407"/>
      <c r="E25" s="65" t="str">
        <f>IF('Schedule 7'!I6="","ERROR","OK")</f>
        <v>ERROR</v>
      </c>
      <c r="G25" s="67"/>
      <c r="H25" s="67"/>
      <c r="I25" s="67"/>
      <c r="J25" s="67"/>
      <c r="K25" s="67"/>
      <c r="L25" s="67"/>
      <c r="M25" s="67"/>
      <c r="N25" s="67"/>
      <c r="O25" s="67"/>
    </row>
    <row r="26" ht="12" thickBot="1"/>
    <row r="27" spans="1:6" ht="18.75" customHeight="1" thickBot="1">
      <c r="A27" s="261" t="s">
        <v>65</v>
      </c>
      <c r="B27" s="407" t="s">
        <v>564</v>
      </c>
      <c r="C27" s="407"/>
      <c r="D27" s="407"/>
      <c r="E27" s="65" t="str">
        <f>IF(SUM('Schedule 7'!K40:M40)&gt;0,"ERROR","OK")</f>
        <v>OK</v>
      </c>
      <c r="F27" s="60"/>
    </row>
    <row r="28" ht="11.25"/>
    <row r="29" ht="11.25"/>
    <row r="30" ht="11.25"/>
    <row r="31" ht="11.25"/>
    <row r="32" ht="11.25"/>
    <row r="33" ht="11.25"/>
    <row r="34" ht="11.25"/>
    <row r="77" ht="12.75">
      <c r="A77" s="169"/>
    </row>
  </sheetData>
  <sheetProtection password="F443" sheet="1"/>
  <mergeCells count="13">
    <mergeCell ref="B27:D27"/>
    <mergeCell ref="A1:E1"/>
    <mergeCell ref="A2:E2"/>
    <mergeCell ref="A3:E3"/>
    <mergeCell ref="A5:E5"/>
    <mergeCell ref="A6:E6"/>
    <mergeCell ref="A7:E7"/>
    <mergeCell ref="B25:D25"/>
    <mergeCell ref="B23:D23"/>
    <mergeCell ref="B19:D19"/>
    <mergeCell ref="B11:D11"/>
    <mergeCell ref="B13:D13"/>
    <mergeCell ref="B9:D9"/>
  </mergeCells>
  <conditionalFormatting sqref="E1:E65536">
    <cfRule type="cellIs" priority="1" dxfId="3"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1&amp;R&amp;"Arial,Regular"&amp;8PI-PCP-103 (35-25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79"/>
  <sheetViews>
    <sheetView showGridLines="0" zoomScaleSheetLayoutView="90" zoomScalePageLayoutView="0" workbookViewId="0" topLeftCell="A1">
      <selection activeCell="A1" sqref="A1:I1"/>
    </sheetView>
  </sheetViews>
  <sheetFormatPr defaultColWidth="9.140625" defaultRowHeight="15"/>
  <cols>
    <col min="1" max="1" width="5.00390625" style="9" customWidth="1"/>
    <col min="2" max="2" width="24.421875" style="9" customWidth="1"/>
    <col min="3" max="3" width="9.7109375" style="9" customWidth="1"/>
    <col min="4" max="5" width="10.8515625" style="9" customWidth="1"/>
    <col min="6" max="6" width="10.7109375" style="9" customWidth="1"/>
    <col min="7" max="7" width="9.140625" style="9" customWidth="1"/>
    <col min="8" max="9" width="10.00390625" style="9" customWidth="1"/>
    <col min="10" max="16384" width="9.140625" style="9" customWidth="1"/>
  </cols>
  <sheetData>
    <row r="1" spans="1:9" ht="9.75">
      <c r="A1" s="434" t="str">
        <f>IF(ISBLANK('Cover Page'!A4),"School Name",'Cover Page'!A4)</f>
        <v>School Name</v>
      </c>
      <c r="B1" s="434"/>
      <c r="C1" s="434"/>
      <c r="D1" s="434"/>
      <c r="E1" s="434"/>
      <c r="F1" s="434"/>
      <c r="G1" s="434"/>
      <c r="H1" s="434"/>
      <c r="I1" s="434"/>
    </row>
    <row r="2" spans="1:9" ht="9.75">
      <c r="A2" s="435" t="str">
        <f>'Error Report'!A3</f>
        <v>September 20, 2019 Choice Enrollment Audit</v>
      </c>
      <c r="B2" s="435"/>
      <c r="C2" s="435"/>
      <c r="D2" s="435"/>
      <c r="E2" s="435"/>
      <c r="F2" s="435"/>
      <c r="G2" s="435"/>
      <c r="H2" s="435"/>
      <c r="I2" s="435"/>
    </row>
    <row r="3" spans="1:9" ht="14.25" customHeight="1" thickBot="1">
      <c r="A3" s="436" t="s">
        <v>213</v>
      </c>
      <c r="B3" s="436"/>
      <c r="C3" s="436"/>
      <c r="D3" s="436"/>
      <c r="E3" s="436"/>
      <c r="F3" s="436"/>
      <c r="G3" s="436"/>
      <c r="H3" s="436"/>
      <c r="I3" s="436"/>
    </row>
    <row r="4" spans="1:9" ht="21" customHeight="1" thickTop="1">
      <c r="A4" s="23"/>
      <c r="B4" s="23"/>
      <c r="C4" s="441" t="s">
        <v>46</v>
      </c>
      <c r="D4" s="441"/>
      <c r="E4" s="441"/>
      <c r="F4" s="441"/>
      <c r="G4" s="23"/>
      <c r="H4" s="23"/>
      <c r="I4" s="23"/>
    </row>
    <row r="5" spans="1:9" ht="26.25" customHeight="1">
      <c r="A5" s="421" t="s">
        <v>547</v>
      </c>
      <c r="B5" s="421"/>
      <c r="C5" s="421"/>
      <c r="D5" s="421"/>
      <c r="E5" s="421"/>
      <c r="F5" s="421"/>
      <c r="G5" s="421"/>
      <c r="H5" s="421"/>
      <c r="I5" s="421"/>
    </row>
    <row r="6" spans="1:9" s="265" customFormat="1" ht="25.5" customHeight="1">
      <c r="A6" s="219" t="s">
        <v>61</v>
      </c>
      <c r="B6" s="430" t="s">
        <v>62</v>
      </c>
      <c r="C6" s="431"/>
      <c r="D6" s="176" t="s">
        <v>55</v>
      </c>
      <c r="E6" s="176" t="s">
        <v>56</v>
      </c>
      <c r="F6" s="218" t="s">
        <v>7</v>
      </c>
      <c r="G6" s="437" t="s">
        <v>305</v>
      </c>
      <c r="H6" s="438"/>
      <c r="I6" s="438"/>
    </row>
    <row r="7" spans="1:9" ht="16.5" customHeight="1">
      <c r="A7" s="24">
        <v>1</v>
      </c>
      <c r="B7" s="428" t="s">
        <v>0</v>
      </c>
      <c r="C7" s="429"/>
      <c r="D7" s="266">
        <f>IF('Cover Page'!$A$4="",0,VLOOKUP('Cover Page'!$A$4,Counts!$A$4:$L$414,Counts!$D$417,FALSE))</f>
        <v>0</v>
      </c>
      <c r="E7" s="50"/>
      <c r="F7" s="267">
        <f aca="true" t="shared" si="0" ref="F7:F14">E7-D7</f>
        <v>0</v>
      </c>
      <c r="G7" s="415" t="str">
        <f aca="true" t="shared" si="1" ref="G7:G14">IF(E7&lt;E20,"ERROR","OK")</f>
        <v>OK</v>
      </c>
      <c r="H7" s="416"/>
      <c r="I7" s="416"/>
    </row>
    <row r="8" spans="1:9" ht="16.5" customHeight="1">
      <c r="A8" s="24">
        <v>2</v>
      </c>
      <c r="B8" s="419" t="s">
        <v>279</v>
      </c>
      <c r="C8" s="420"/>
      <c r="D8" s="266">
        <f>IF('Cover Page'!$A$4="",0,VLOOKUP('Cover Page'!$A$4,Counts!$A$4:$L$414,Counts!$E$417,FALSE))</f>
        <v>0</v>
      </c>
      <c r="E8" s="50"/>
      <c r="F8" s="267">
        <f t="shared" si="0"/>
        <v>0</v>
      </c>
      <c r="G8" s="415" t="str">
        <f t="shared" si="1"/>
        <v>OK</v>
      </c>
      <c r="H8" s="416"/>
      <c r="I8" s="416"/>
    </row>
    <row r="9" spans="1:9" ht="16.5" customHeight="1">
      <c r="A9" s="24">
        <v>3</v>
      </c>
      <c r="B9" s="419" t="s">
        <v>44</v>
      </c>
      <c r="C9" s="420"/>
      <c r="D9" s="266">
        <f>IF('Cover Page'!$A$4="",0,VLOOKUP('Cover Page'!$A$4,Counts!$A$4:$L$414,Counts!$F$417,FALSE))</f>
        <v>0</v>
      </c>
      <c r="E9" s="50"/>
      <c r="F9" s="267">
        <f t="shared" si="0"/>
        <v>0</v>
      </c>
      <c r="G9" s="415" t="str">
        <f t="shared" si="1"/>
        <v>OK</v>
      </c>
      <c r="H9" s="416"/>
      <c r="I9" s="416"/>
    </row>
    <row r="10" spans="1:9" ht="16.5" customHeight="1">
      <c r="A10" s="24">
        <v>4</v>
      </c>
      <c r="B10" s="419" t="s">
        <v>45</v>
      </c>
      <c r="C10" s="420"/>
      <c r="D10" s="266">
        <f>IF('Cover Page'!$A$4="",0,VLOOKUP('Cover Page'!$A$4,Counts!$A$4:$L$414,Counts!$G$417,FALSE))</f>
        <v>0</v>
      </c>
      <c r="E10" s="50"/>
      <c r="F10" s="267">
        <f t="shared" si="0"/>
        <v>0</v>
      </c>
      <c r="G10" s="415" t="str">
        <f t="shared" si="1"/>
        <v>OK</v>
      </c>
      <c r="H10" s="416"/>
      <c r="I10" s="416"/>
    </row>
    <row r="11" spans="1:9" ht="16.5" customHeight="1">
      <c r="A11" s="24">
        <v>5</v>
      </c>
      <c r="B11" s="419" t="s">
        <v>1</v>
      </c>
      <c r="C11" s="420"/>
      <c r="D11" s="266">
        <f>IF('Cover Page'!$A$4="",0,VLOOKUP('Cover Page'!$A$4,Counts!$A$4:$L$414,Counts!$H$417,FALSE))</f>
        <v>0</v>
      </c>
      <c r="E11" s="50"/>
      <c r="F11" s="267">
        <f t="shared" si="0"/>
        <v>0</v>
      </c>
      <c r="G11" s="415" t="str">
        <f t="shared" si="1"/>
        <v>OK</v>
      </c>
      <c r="H11" s="416"/>
      <c r="I11" s="416"/>
    </row>
    <row r="12" spans="1:9" ht="16.5" customHeight="1">
      <c r="A12" s="24">
        <v>6</v>
      </c>
      <c r="B12" s="419" t="s">
        <v>2</v>
      </c>
      <c r="C12" s="420"/>
      <c r="D12" s="266">
        <f>IF('Cover Page'!$A$4="",0,VLOOKUP('Cover Page'!$A$4,Counts!$A$4:$L$414,Counts!$I$417,FALSE))</f>
        <v>0</v>
      </c>
      <c r="E12" s="50"/>
      <c r="F12" s="267">
        <f t="shared" si="0"/>
        <v>0</v>
      </c>
      <c r="G12" s="415" t="str">
        <f t="shared" si="1"/>
        <v>OK</v>
      </c>
      <c r="H12" s="416"/>
      <c r="I12" s="416"/>
    </row>
    <row r="13" spans="1:9" ht="16.5" customHeight="1">
      <c r="A13" s="25">
        <v>7</v>
      </c>
      <c r="B13" s="71" t="s">
        <v>83</v>
      </c>
      <c r="C13" s="72"/>
      <c r="D13" s="266">
        <f>IF('Cover Page'!$A$4="",0,VLOOKUP('Cover Page'!$A$4,Counts!$A$4:$L$414,Counts!$J$417,FALSE))</f>
        <v>0</v>
      </c>
      <c r="E13" s="51"/>
      <c r="F13" s="267">
        <f t="shared" si="0"/>
        <v>0</v>
      </c>
      <c r="G13" s="415" t="str">
        <f t="shared" si="1"/>
        <v>OK</v>
      </c>
      <c r="H13" s="416"/>
      <c r="I13" s="416"/>
    </row>
    <row r="14" spans="1:9" ht="16.5" customHeight="1" thickBot="1">
      <c r="A14" s="25">
        <v>8</v>
      </c>
      <c r="B14" s="442" t="s">
        <v>69</v>
      </c>
      <c r="C14" s="443"/>
      <c r="D14" s="266">
        <f>IF('Cover Page'!$A$4="",0,VLOOKUP('Cover Page'!$A$4,Counts!$A$4:$L$414,Counts!$K$417,FALSE))</f>
        <v>0</v>
      </c>
      <c r="E14" s="51"/>
      <c r="F14" s="268">
        <f t="shared" si="0"/>
        <v>0</v>
      </c>
      <c r="G14" s="426" t="str">
        <f t="shared" si="1"/>
        <v>OK</v>
      </c>
      <c r="H14" s="427"/>
      <c r="I14" s="427"/>
    </row>
    <row r="15" spans="1:9" ht="16.5" customHeight="1" thickBot="1">
      <c r="A15" s="26">
        <v>9</v>
      </c>
      <c r="B15" s="439" t="s">
        <v>3</v>
      </c>
      <c r="C15" s="440"/>
      <c r="D15" s="269">
        <f>IF(ISBLANK('Cover Page'!A4),"",SUM(D7:D14))</f>
      </c>
      <c r="E15" s="270">
        <f>IF(ISBLANK('Cover Page'!A4),"",SUM(E7:E14))</f>
      </c>
      <c r="F15" s="271">
        <f>SUM(F7:F14)</f>
        <v>0</v>
      </c>
      <c r="G15" s="446">
        <f>COUNTIF(G7:I14,"ERROR")</f>
        <v>0</v>
      </c>
      <c r="H15" s="447"/>
      <c r="I15" s="447"/>
    </row>
    <row r="16" spans="1:9" ht="21" customHeight="1" thickTop="1">
      <c r="A16" s="23"/>
      <c r="B16" s="23"/>
      <c r="C16" s="441" t="s">
        <v>50</v>
      </c>
      <c r="D16" s="441"/>
      <c r="E16" s="441"/>
      <c r="F16" s="441"/>
      <c r="G16" s="23"/>
      <c r="H16" s="23"/>
      <c r="I16" s="23"/>
    </row>
    <row r="17" spans="1:9" ht="39" customHeight="1">
      <c r="A17" s="421" t="s">
        <v>516</v>
      </c>
      <c r="B17" s="421"/>
      <c r="C17" s="421"/>
      <c r="D17" s="421"/>
      <c r="E17" s="421"/>
      <c r="F17" s="421"/>
      <c r="G17" s="421"/>
      <c r="H17" s="421"/>
      <c r="I17" s="421"/>
    </row>
    <row r="18" spans="1:9" ht="11.25" customHeight="1">
      <c r="A18" s="413" t="s">
        <v>61</v>
      </c>
      <c r="B18" s="422" t="s">
        <v>63</v>
      </c>
      <c r="C18" s="423"/>
      <c r="D18" s="432" t="s">
        <v>55</v>
      </c>
      <c r="E18" s="444" t="s">
        <v>56</v>
      </c>
      <c r="F18" s="417" t="s">
        <v>7</v>
      </c>
      <c r="G18" s="418"/>
      <c r="H18" s="418"/>
      <c r="I18" s="418"/>
    </row>
    <row r="19" spans="1:9" ht="29.25" customHeight="1">
      <c r="A19" s="414"/>
      <c r="B19" s="424"/>
      <c r="C19" s="425"/>
      <c r="D19" s="433"/>
      <c r="E19" s="445"/>
      <c r="F19" s="227" t="s">
        <v>361</v>
      </c>
      <c r="G19" s="227" t="s">
        <v>4</v>
      </c>
      <c r="H19" s="228" t="s">
        <v>402</v>
      </c>
      <c r="I19" s="228" t="s">
        <v>403</v>
      </c>
    </row>
    <row r="20" spans="1:9" ht="16.5" customHeight="1">
      <c r="A20" s="24">
        <v>10</v>
      </c>
      <c r="B20" s="428" t="s">
        <v>0</v>
      </c>
      <c r="C20" s="429"/>
      <c r="D20" s="272">
        <f>SUM('Schedule 1-2'!D8,'Schedule 1-2'!D20,'Schedule 1-2'!D32)</f>
        <v>0</v>
      </c>
      <c r="E20" s="273">
        <f>SUM('Schedule 1-2'!E8,'Schedule 1-2'!E20,'Schedule 1-2'!E32)</f>
        <v>0</v>
      </c>
      <c r="F20" s="274">
        <f>SUM('Schedule 1-2'!F8,'Schedule 1-2'!F20,'Schedule 1-2'!F32)</f>
        <v>0</v>
      </c>
      <c r="G20" s="274">
        <f>SUM('Schedule 1-2'!G8,'Schedule 1-2'!G20,'Schedule 1-2'!G32)</f>
        <v>0</v>
      </c>
      <c r="H20" s="274">
        <f>SUM('Schedule 1-2'!H8,'Schedule 1-2'!H20,'Schedule 1-2'!H32)</f>
        <v>0</v>
      </c>
      <c r="I20" s="275">
        <f>SUM('Schedule 1-2'!I8,'Schedule 1-2'!I20,'Schedule 1-2'!I32)</f>
        <v>0</v>
      </c>
    </row>
    <row r="21" spans="1:9" ht="16.5" customHeight="1">
      <c r="A21" s="24">
        <v>11</v>
      </c>
      <c r="B21" s="419" t="s">
        <v>279</v>
      </c>
      <c r="C21" s="420"/>
      <c r="D21" s="272">
        <f>SUM('Schedule 1-2'!D9,'Schedule 1-2'!D21,'Schedule 1-2'!D33)</f>
        <v>0</v>
      </c>
      <c r="E21" s="273">
        <f>SUM('Schedule 1-2'!E9,'Schedule 1-2'!E21,'Schedule 1-2'!E33)</f>
        <v>0</v>
      </c>
      <c r="F21" s="274">
        <f>SUM('Schedule 1-2'!F9,'Schedule 1-2'!F21,'Schedule 1-2'!F33)</f>
        <v>0</v>
      </c>
      <c r="G21" s="274">
        <f>SUM('Schedule 1-2'!G9,'Schedule 1-2'!G21,'Schedule 1-2'!G33)</f>
        <v>0</v>
      </c>
      <c r="H21" s="274">
        <f>SUM('Schedule 1-2'!H9,'Schedule 1-2'!H21,'Schedule 1-2'!H33)</f>
        <v>0</v>
      </c>
      <c r="I21" s="275">
        <f>SUM('Schedule 1-2'!I9,'Schedule 1-2'!I21,'Schedule 1-2'!I33)</f>
        <v>0</v>
      </c>
    </row>
    <row r="22" spans="1:9" ht="16.5" customHeight="1">
      <c r="A22" s="24">
        <v>12</v>
      </c>
      <c r="B22" s="419" t="s">
        <v>44</v>
      </c>
      <c r="C22" s="420"/>
      <c r="D22" s="272">
        <f>SUM('Schedule 1-2'!D10,'Schedule 1-2'!D22,'Schedule 1-2'!D34)</f>
        <v>0</v>
      </c>
      <c r="E22" s="273">
        <f>SUM('Schedule 1-2'!E10,'Schedule 1-2'!E22,'Schedule 1-2'!E34)</f>
        <v>0</v>
      </c>
      <c r="F22" s="276"/>
      <c r="G22" s="274">
        <f>SUM('Schedule 1-2'!G10,'Schedule 1-2'!G22,'Schedule 1-2'!G34)</f>
        <v>0</v>
      </c>
      <c r="H22" s="274">
        <f>SUM('Schedule 1-2'!H10,'Schedule 1-2'!H22,'Schedule 1-2'!H34)</f>
        <v>0</v>
      </c>
      <c r="I22" s="275">
        <f>SUM('Schedule 1-2'!I10,'Schedule 1-2'!I22,'Schedule 1-2'!I34)</f>
        <v>0</v>
      </c>
    </row>
    <row r="23" spans="1:9" ht="16.5" customHeight="1">
      <c r="A23" s="24">
        <v>13</v>
      </c>
      <c r="B23" s="419" t="s">
        <v>45</v>
      </c>
      <c r="C23" s="420"/>
      <c r="D23" s="272">
        <f>SUM('Schedule 1-2'!D11,'Schedule 1-2'!D23,'Schedule 1-2'!D35)</f>
        <v>0</v>
      </c>
      <c r="E23" s="273">
        <f>SUM('Schedule 1-2'!E11,'Schedule 1-2'!E23,'Schedule 1-2'!E35)</f>
        <v>0</v>
      </c>
      <c r="F23" s="277"/>
      <c r="G23" s="274">
        <f>SUM('Schedule 1-2'!G11,'Schedule 1-2'!G23,'Schedule 1-2'!G35)</f>
        <v>0</v>
      </c>
      <c r="H23" s="274">
        <f>SUM('Schedule 1-2'!H11,'Schedule 1-2'!H23,'Schedule 1-2'!H35)</f>
        <v>0</v>
      </c>
      <c r="I23" s="275">
        <f>SUM('Schedule 1-2'!I11,'Schedule 1-2'!I23,'Schedule 1-2'!I35)</f>
        <v>0</v>
      </c>
    </row>
    <row r="24" spans="1:9" ht="16.5" customHeight="1">
      <c r="A24" s="24">
        <v>14</v>
      </c>
      <c r="B24" s="419" t="s">
        <v>1</v>
      </c>
      <c r="C24" s="420"/>
      <c r="D24" s="272">
        <f>SUM('Schedule 1-2'!D12,'Schedule 1-2'!D24,'Schedule 1-2'!D36)</f>
        <v>0</v>
      </c>
      <c r="E24" s="273">
        <f>SUM('Schedule 1-2'!E12,'Schedule 1-2'!E24,'Schedule 1-2'!E36)</f>
        <v>0</v>
      </c>
      <c r="F24" s="277"/>
      <c r="G24" s="274">
        <f>SUM('Schedule 1-2'!G12,'Schedule 1-2'!G24,'Schedule 1-2'!G36)</f>
        <v>0</v>
      </c>
      <c r="H24" s="274">
        <f>SUM('Schedule 1-2'!H12,'Schedule 1-2'!H24,'Schedule 1-2'!H36)</f>
        <v>0</v>
      </c>
      <c r="I24" s="275">
        <f>SUM('Schedule 1-2'!I12,'Schedule 1-2'!I24,'Schedule 1-2'!I36)</f>
        <v>0</v>
      </c>
    </row>
    <row r="25" spans="1:9" ht="16.5" customHeight="1">
      <c r="A25" s="24">
        <v>15</v>
      </c>
      <c r="B25" s="419" t="s">
        <v>2</v>
      </c>
      <c r="C25" s="420"/>
      <c r="D25" s="272">
        <f>SUM('Schedule 1-2'!D13,'Schedule 1-2'!D25,'Schedule 1-2'!D37)</f>
        <v>0</v>
      </c>
      <c r="E25" s="273">
        <f>SUM('Schedule 1-2'!E13,'Schedule 1-2'!E25,'Schedule 1-2'!E37)</f>
        <v>0</v>
      </c>
      <c r="F25" s="277"/>
      <c r="G25" s="274">
        <f>SUM('Schedule 1-2'!G13,'Schedule 1-2'!G25,'Schedule 1-2'!G37)</f>
        <v>0</v>
      </c>
      <c r="H25" s="274">
        <f>SUM('Schedule 1-2'!H13,'Schedule 1-2'!H25,'Schedule 1-2'!H37)</f>
        <v>0</v>
      </c>
      <c r="I25" s="275">
        <f>SUM('Schedule 1-2'!I13,'Schedule 1-2'!I25,'Schedule 1-2'!I37)</f>
        <v>0</v>
      </c>
    </row>
    <row r="26" spans="1:9" ht="16.5" customHeight="1">
      <c r="A26" s="25">
        <v>16</v>
      </c>
      <c r="B26" s="71" t="s">
        <v>83</v>
      </c>
      <c r="C26" s="72"/>
      <c r="D26" s="272">
        <f>SUM('Schedule 1-2'!D14,'Schedule 1-2'!D26,'Schedule 1-2'!D38)</f>
        <v>0</v>
      </c>
      <c r="E26" s="273">
        <f>SUM('Schedule 1-2'!E14,'Schedule 1-2'!E26,'Schedule 1-2'!E38)</f>
        <v>0</v>
      </c>
      <c r="F26" s="277"/>
      <c r="G26" s="274">
        <f>SUM('Schedule 1-2'!G14,'Schedule 1-2'!G26,'Schedule 1-2'!G38)</f>
        <v>0</v>
      </c>
      <c r="H26" s="274">
        <f>SUM('Schedule 1-2'!H14,'Schedule 1-2'!H26,'Schedule 1-2'!H38)</f>
        <v>0</v>
      </c>
      <c r="I26" s="275">
        <f>SUM('Schedule 1-2'!I14,'Schedule 1-2'!I26,'Schedule 1-2'!I38)</f>
        <v>0</v>
      </c>
    </row>
    <row r="27" spans="1:9" ht="16.5" customHeight="1" thickBot="1">
      <c r="A27" s="25">
        <v>17</v>
      </c>
      <c r="B27" s="442" t="s">
        <v>69</v>
      </c>
      <c r="C27" s="443"/>
      <c r="D27" s="272">
        <f>SUM('Schedule 1-2'!D15,'Schedule 1-2'!D27,'Schedule 1-2'!D39)</f>
        <v>0</v>
      </c>
      <c r="E27" s="273">
        <f>SUM('Schedule 1-2'!E15,'Schedule 1-2'!E27,'Schedule 1-2'!E39)</f>
        <v>0</v>
      </c>
      <c r="F27" s="278"/>
      <c r="G27" s="274">
        <f>SUM('Schedule 1-2'!G15,'Schedule 1-2'!G27,'Schedule 1-2'!G39)</f>
        <v>0</v>
      </c>
      <c r="H27" s="274">
        <f>SUM('Schedule 1-2'!H15,'Schedule 1-2'!H27,'Schedule 1-2'!H39)</f>
        <v>0</v>
      </c>
      <c r="I27" s="275">
        <f>SUM('Schedule 1-2'!I15,'Schedule 1-2'!I27,'Schedule 1-2'!I39)</f>
        <v>0</v>
      </c>
    </row>
    <row r="28" spans="1:9" ht="16.5" customHeight="1" thickBot="1">
      <c r="A28" s="26">
        <v>18</v>
      </c>
      <c r="B28" s="439" t="s">
        <v>51</v>
      </c>
      <c r="C28" s="440"/>
      <c r="D28" s="279">
        <f>SUM(D20:D27)</f>
        <v>0</v>
      </c>
      <c r="E28" s="270">
        <f>SUM(E20:E27)</f>
        <v>0</v>
      </c>
      <c r="F28" s="280"/>
      <c r="G28" s="269">
        <f>SUM(G20:G27)</f>
        <v>0</v>
      </c>
      <c r="H28" s="269">
        <f>SUM(H20:H27)</f>
        <v>0</v>
      </c>
      <c r="I28" s="271">
        <f>SUM(I20:I27)</f>
        <v>0</v>
      </c>
    </row>
    <row r="29" spans="1:9" ht="21" customHeight="1" thickTop="1">
      <c r="A29" s="23"/>
      <c r="B29" s="23"/>
      <c r="C29" s="441" t="s">
        <v>523</v>
      </c>
      <c r="D29" s="441"/>
      <c r="E29" s="441"/>
      <c r="F29" s="441"/>
      <c r="G29" s="23"/>
      <c r="H29" s="23"/>
      <c r="I29" s="23"/>
    </row>
    <row r="30" spans="1:10" ht="33.75" customHeight="1" thickBot="1">
      <c r="A30" s="210">
        <v>19</v>
      </c>
      <c r="B30" s="448" t="s">
        <v>500</v>
      </c>
      <c r="C30" s="449"/>
      <c r="D30" s="449"/>
      <c r="E30" s="449"/>
      <c r="F30" s="449"/>
      <c r="G30" s="449"/>
      <c r="H30" s="450"/>
      <c r="I30" s="102"/>
      <c r="J30" s="42"/>
    </row>
    <row r="31" ht="10.5" thickTop="1"/>
    <row r="79" ht="9.75">
      <c r="A79" s="167"/>
    </row>
  </sheetData>
  <sheetProtection password="F443" sheet="1"/>
  <mergeCells count="41">
    <mergeCell ref="B28:C28"/>
    <mergeCell ref="B30:H30"/>
    <mergeCell ref="B23:C23"/>
    <mergeCell ref="B27:C27"/>
    <mergeCell ref="C29:F29"/>
    <mergeCell ref="B24:C24"/>
    <mergeCell ref="B25:C25"/>
    <mergeCell ref="B14:C14"/>
    <mergeCell ref="C16:F16"/>
    <mergeCell ref="E18:E19"/>
    <mergeCell ref="G15:I15"/>
    <mergeCell ref="B21:C21"/>
    <mergeCell ref="B22:C22"/>
    <mergeCell ref="G13:I13"/>
    <mergeCell ref="B20:C20"/>
    <mergeCell ref="D18:D19"/>
    <mergeCell ref="A1:I1"/>
    <mergeCell ref="A2:I2"/>
    <mergeCell ref="A3:I3"/>
    <mergeCell ref="G6:I6"/>
    <mergeCell ref="G7:I7"/>
    <mergeCell ref="B15:C15"/>
    <mergeCell ref="C4:F4"/>
    <mergeCell ref="B11:C11"/>
    <mergeCell ref="B7:C7"/>
    <mergeCell ref="B8:C8"/>
    <mergeCell ref="B6:C6"/>
    <mergeCell ref="G9:I9"/>
    <mergeCell ref="A5:I5"/>
    <mergeCell ref="G11:I11"/>
    <mergeCell ref="B10:C10"/>
    <mergeCell ref="A18:A19"/>
    <mergeCell ref="G10:I10"/>
    <mergeCell ref="F18:I18"/>
    <mergeCell ref="B9:C9"/>
    <mergeCell ref="A17:I17"/>
    <mergeCell ref="G8:I8"/>
    <mergeCell ref="G12:I12"/>
    <mergeCell ref="B18:C19"/>
    <mergeCell ref="G14:I14"/>
    <mergeCell ref="B12:C12"/>
  </mergeCells>
  <conditionalFormatting sqref="G7:I14">
    <cfRule type="cellIs" priority="1" dxfId="3"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89" r:id="rId1"/>
  <headerFooter>
    <oddHeader>&amp;L&amp;"Arial,Regular"&amp;8Page 2&amp;R&amp;"Arial,Regular"&amp;8PI-PCP-103 (35-25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A1" sqref="A1:I1"/>
    </sheetView>
  </sheetViews>
  <sheetFormatPr defaultColWidth="9.140625" defaultRowHeight="15"/>
  <cols>
    <col min="1" max="1" width="5.00390625" style="9" customWidth="1"/>
    <col min="2" max="2" width="27.421875" style="9" customWidth="1"/>
    <col min="3" max="3" width="9.7109375" style="9" customWidth="1"/>
    <col min="4" max="5" width="10.8515625" style="9" customWidth="1"/>
    <col min="6" max="6" width="9.8515625" style="9" customWidth="1"/>
    <col min="7" max="7" width="11.140625" style="9" customWidth="1"/>
    <col min="8" max="8" width="11.7109375" style="9" customWidth="1"/>
    <col min="9" max="9" width="11.57421875" style="9" customWidth="1"/>
    <col min="10" max="16384" width="9.140625" style="9" customWidth="1"/>
  </cols>
  <sheetData>
    <row r="1" spans="1:9" ht="9.75">
      <c r="A1" s="434" t="str">
        <f>IF(ISBLANK('Cover Page'!A4),"School Name",'Cover Page'!A4)</f>
        <v>School Name</v>
      </c>
      <c r="B1" s="434"/>
      <c r="C1" s="434"/>
      <c r="D1" s="434"/>
      <c r="E1" s="434"/>
      <c r="F1" s="434"/>
      <c r="G1" s="434"/>
      <c r="H1" s="434"/>
      <c r="I1" s="434"/>
    </row>
    <row r="2" spans="1:9" ht="9.75">
      <c r="A2" s="435" t="str">
        <f>'Error Report'!A3</f>
        <v>September 20, 2019 Choice Enrollment Audit</v>
      </c>
      <c r="B2" s="435"/>
      <c r="C2" s="435"/>
      <c r="D2" s="435"/>
      <c r="E2" s="435"/>
      <c r="F2" s="435"/>
      <c r="G2" s="435"/>
      <c r="H2" s="435"/>
      <c r="I2" s="435"/>
    </row>
    <row r="3" spans="1:9" ht="9.75">
      <c r="A3" s="436" t="s">
        <v>206</v>
      </c>
      <c r="B3" s="436"/>
      <c r="C3" s="436"/>
      <c r="D3" s="436"/>
      <c r="E3" s="436"/>
      <c r="F3" s="436"/>
      <c r="G3" s="436"/>
      <c r="H3" s="436"/>
      <c r="I3" s="436"/>
    </row>
    <row r="4" spans="1:9" s="116" customFormat="1" ht="47.25" customHeight="1" thickBot="1">
      <c r="A4" s="451" t="s">
        <v>548</v>
      </c>
      <c r="B4" s="451"/>
      <c r="C4" s="451"/>
      <c r="D4" s="451"/>
      <c r="E4" s="451"/>
      <c r="F4" s="451"/>
      <c r="G4" s="451"/>
      <c r="H4" s="451"/>
      <c r="I4" s="451"/>
    </row>
    <row r="5" spans="1:9" ht="21" customHeight="1" thickTop="1">
      <c r="A5" s="23"/>
      <c r="B5" s="23"/>
      <c r="C5" s="441" t="s">
        <v>207</v>
      </c>
      <c r="D5" s="441"/>
      <c r="E5" s="441"/>
      <c r="F5" s="441"/>
      <c r="G5" s="23"/>
      <c r="H5" s="23"/>
      <c r="I5" s="23"/>
    </row>
    <row r="6" spans="1:9" ht="14.25" customHeight="1">
      <c r="A6" s="413" t="s">
        <v>61</v>
      </c>
      <c r="B6" s="422" t="s">
        <v>63</v>
      </c>
      <c r="C6" s="423"/>
      <c r="D6" s="432" t="s">
        <v>55</v>
      </c>
      <c r="E6" s="444" t="s">
        <v>56</v>
      </c>
      <c r="F6" s="417" t="s">
        <v>7</v>
      </c>
      <c r="G6" s="418"/>
      <c r="H6" s="418"/>
      <c r="I6" s="418"/>
    </row>
    <row r="7" spans="1:9" ht="21.75" customHeight="1">
      <c r="A7" s="414"/>
      <c r="B7" s="424"/>
      <c r="C7" s="425"/>
      <c r="D7" s="433"/>
      <c r="E7" s="445"/>
      <c r="F7" s="342" t="s">
        <v>361</v>
      </c>
      <c r="G7" s="227" t="s">
        <v>4</v>
      </c>
      <c r="H7" s="228" t="s">
        <v>402</v>
      </c>
      <c r="I7" s="228" t="s">
        <v>501</v>
      </c>
    </row>
    <row r="8" spans="1:9" ht="16.5" customHeight="1">
      <c r="A8" s="24">
        <v>1</v>
      </c>
      <c r="B8" s="220" t="s">
        <v>0</v>
      </c>
      <c r="C8" s="221"/>
      <c r="D8" s="281">
        <f>IF('Cover Page'!$A$10="",0,VLOOKUP('Cover Page'!$A$4&amp;"-MPCP",Counts!$C$4:$V$414,Counts!$N$418,FALSE))</f>
        <v>0</v>
      </c>
      <c r="E8" s="282">
        <f aca="true" t="shared" si="0" ref="E8:E15">D8+G8+F8+H8+I8</f>
        <v>0</v>
      </c>
      <c r="F8" s="274">
        <f>IF('Schedule 1-1'!$I$30="No",D9,IF('Schedule 1-1'!$I$30="Yes",-D8,0))</f>
        <v>0</v>
      </c>
      <c r="G8" s="274">
        <f>IF('Schedule 1-1'!I30="No",-1*_xlfn.COUNTIFS('Schedule 2'!$H$8:$H$42,"MPCP",'Schedule 2'!$B$8:$B$42,"K4",'Schedule 2'!$C$8:$C$42,""),0)</f>
        <v>0</v>
      </c>
      <c r="H8" s="275">
        <f>IF('Schedule 1-1'!I30="No",_xlfn.COUNTIFS('Schedule 3'!$N$9:$N$43,1,'Schedule 3'!$H$9:$H$43,"K4",'Schedule 3'!$G$9:$G$43,"MPCP",'Schedule 3'!$C$9:$C$43,"")+(-1*(_xlfn.COUNTIFS('Schedule 3'!$N$9:$N$43,1,'Schedule 3'!$B$9:$B$43,"K4",'Schedule 3'!$G$9:$G$43,"MPCP",'Schedule 3'!$C$9:$C$43,""))),0)</f>
        <v>0</v>
      </c>
      <c r="I8" s="275">
        <f>IF('Schedule 1-1'!I30="No",_xlfn.COUNTIFS('Schedule 4'!$F$7:$F$31,"MPCP",'Schedule 4'!$G$7:$G$31,"X",'Schedule 4'!$B$7:$B$31,"K4"),0)</f>
        <v>0</v>
      </c>
    </row>
    <row r="9" spans="1:9" ht="16.5" customHeight="1">
      <c r="A9" s="24">
        <v>2</v>
      </c>
      <c r="B9" s="222" t="s">
        <v>53</v>
      </c>
      <c r="C9" s="223"/>
      <c r="D9" s="281">
        <f>IF('Cover Page'!$A$10="",0,VLOOKUP('Cover Page'!$A$4&amp;"-MPCP",Counts!$C$4:$V$414,Counts!$O$418,FALSE))</f>
        <v>0</v>
      </c>
      <c r="E9" s="282">
        <f t="shared" si="0"/>
        <v>0</v>
      </c>
      <c r="F9" s="274">
        <f>IF('Schedule 1-1'!$I$30="Yes",D8,IF('Schedule 1-1'!$I$30="No",-D9,0))</f>
        <v>0</v>
      </c>
      <c r="G9" s="274">
        <f>IF('Schedule 1-1'!I30="Yes",-1*_xlfn.COUNTIFS('Schedule 2'!$H$8:$H$42,"MPCP",'Schedule 2'!$B$8:$B$42,"K4",'Schedule 2'!$C$8:$C$42,""),0)</f>
        <v>0</v>
      </c>
      <c r="H9" s="275">
        <f>IF('Schedule 1-1'!I30="Yes",_xlfn.COUNTIFS('Schedule 3'!$N$9:$N$43,1,'Schedule 3'!$H$9:$H$43,"K4",'Schedule 3'!$G$9:$G$43,"MPCP",'Schedule 3'!$C$9:$C$43,"")+(-1*(_xlfn.COUNTIFS('Schedule 3'!$N$9:$N$43,1,'Schedule 3'!$B$9:$B$43,"K4",'Schedule 3'!$G$9:$G$43,"MPCP",'Schedule 3'!$C$9:$C$43,""))),0)</f>
        <v>0</v>
      </c>
      <c r="I9" s="275">
        <f>IF('Schedule 1-1'!I30="Yes",_xlfn.COUNTIFS('Schedule 4'!$F$7:$F$31,"MPCP",'Schedule 4'!$G$7:$G$31,"X",'Schedule 4'!$B$7:$B$31,"K4"),0)</f>
        <v>0</v>
      </c>
    </row>
    <row r="10" spans="1:9" ht="16.5" customHeight="1">
      <c r="A10" s="24">
        <v>3</v>
      </c>
      <c r="B10" s="222" t="s">
        <v>44</v>
      </c>
      <c r="C10" s="223"/>
      <c r="D10" s="281">
        <f>IF('Cover Page'!$A$10="",0,VLOOKUP('Cover Page'!$A$4&amp;"-MPCP",Counts!$C$4:$V$414,Counts!$P$418,FALSE))</f>
        <v>0</v>
      </c>
      <c r="E10" s="282">
        <f t="shared" si="0"/>
        <v>0</v>
      </c>
      <c r="F10" s="276"/>
      <c r="G10" s="274">
        <f>-1*_xlfn.COUNTIFS('Schedule 2'!$H$8:$H$42,"MPCP",'Schedule 2'!$AK$8:$AK$42,'Schedule 1-2'!$B10,'Schedule 2'!$C$8:$C$42,"")</f>
        <v>0</v>
      </c>
      <c r="H10" s="275">
        <f>_xlfn.COUNTIFS('Schedule 3'!$N$9:$N$43,1,'Schedule 3'!$P$9:$P$43,'Schedule 1-2'!$B10,'Schedule 3'!$G$9:$G$43,"MPCP",'Schedule 3'!$C$9:$C$43,"")+(-1*(_xlfn.COUNTIFS('Schedule 3'!$N$9:$N$43,1,'Schedule 3'!$O$9:$O$43,'Schedule 1-2'!$B10,'Schedule 3'!$G$9:$G$43,"MPCP",'Schedule 3'!$C$9:$C$43,"")))</f>
        <v>0</v>
      </c>
      <c r="I10" s="275">
        <f>_xlfn.COUNTIFS('Schedule 4'!$F$7:$F$31,"MPCP",'Schedule 4'!$G$7:$G$31,"X",'Schedule 4'!$L$7:$L$31,'Schedule 1-2'!$B10)</f>
        <v>0</v>
      </c>
    </row>
    <row r="11" spans="1:9" ht="16.5" customHeight="1">
      <c r="A11" s="24">
        <v>4</v>
      </c>
      <c r="B11" s="222" t="s">
        <v>45</v>
      </c>
      <c r="C11" s="223"/>
      <c r="D11" s="281">
        <f>IF('Cover Page'!$A$10="",0,VLOOKUP('Cover Page'!$A$4&amp;"-MPCP",Counts!$C$4:$V$414,Counts!$Q$418,FALSE))</f>
        <v>0</v>
      </c>
      <c r="E11" s="282">
        <f t="shared" si="0"/>
        <v>0</v>
      </c>
      <c r="F11" s="277"/>
      <c r="G11" s="274">
        <f>-1*_xlfn.COUNTIFS('Schedule 2'!$H$8:$H$42,"MPCP",'Schedule 2'!$AK$8:$AK$42,'Schedule 1-2'!$B11,'Schedule 2'!$C$8:$C$42,"")</f>
        <v>0</v>
      </c>
      <c r="H11" s="275">
        <f>_xlfn.COUNTIFS('Schedule 3'!$N$9:$N$43,1,'Schedule 3'!$P$9:$P$43,'Schedule 1-2'!$B11,'Schedule 3'!$G$9:$G$43,"MPCP",'Schedule 3'!$C$9:$C$43,"")+(-1*(_xlfn.COUNTIFS('Schedule 3'!$N$9:$N$43,1,'Schedule 3'!$O$9:$O$43,'Schedule 1-2'!$B11,'Schedule 3'!$G$9:$G$43,"MPCP",'Schedule 3'!$C$9:$C$43,"")))</f>
        <v>0</v>
      </c>
      <c r="I11" s="275">
        <f>_xlfn.COUNTIFS('Schedule 4'!$F$7:$F$31,"MPCP",'Schedule 4'!$G$7:$G$31,"X",'Schedule 4'!$L$7:$L$31,'Schedule 1-2'!$B11)</f>
        <v>0</v>
      </c>
    </row>
    <row r="12" spans="1:9" ht="16.5" customHeight="1">
      <c r="A12" s="24">
        <v>5</v>
      </c>
      <c r="B12" s="222" t="s">
        <v>1</v>
      </c>
      <c r="C12" s="223"/>
      <c r="D12" s="281">
        <f>IF('Cover Page'!$A$10="",0,VLOOKUP('Cover Page'!$A$4&amp;"-MPCP",Counts!$C$4:$V$414,Counts!$R$418,FALSE))</f>
        <v>0</v>
      </c>
      <c r="E12" s="282">
        <f t="shared" si="0"/>
        <v>0</v>
      </c>
      <c r="F12" s="277"/>
      <c r="G12" s="274">
        <f>-1*_xlfn.COUNTIFS('Schedule 2'!$H$8:$H$42,"MPCP",'Schedule 2'!$AK$8:$AK$42,'Schedule 1-2'!$B12,'Schedule 2'!$C$8:$C$42,"")</f>
        <v>0</v>
      </c>
      <c r="H12" s="275">
        <f>_xlfn.COUNTIFS('Schedule 3'!$N$9:$N$43,1,'Schedule 3'!$P$9:$P$43,'Schedule 1-2'!$B12,'Schedule 3'!$G$9:$G$43,"MPCP",'Schedule 3'!$C$9:$C$43,"")+(-1*(_xlfn.COUNTIFS('Schedule 3'!$N$9:$N$43,1,'Schedule 3'!$O$9:$O$43,'Schedule 1-2'!$B12,'Schedule 3'!$G$9:$G$43,"MPCP",'Schedule 3'!$C$9:$C$43,"")))</f>
        <v>0</v>
      </c>
      <c r="I12" s="275">
        <f>_xlfn.COUNTIFS('Schedule 4'!$F$7:$F$31,"MPCP",'Schedule 4'!$G$7:$G$31,"X",'Schedule 4'!$L$7:$L$31,'Schedule 1-2'!$B12)</f>
        <v>0</v>
      </c>
    </row>
    <row r="13" spans="1:9" ht="16.5" customHeight="1">
      <c r="A13" s="24">
        <v>6</v>
      </c>
      <c r="B13" s="222" t="s">
        <v>2</v>
      </c>
      <c r="C13" s="223"/>
      <c r="D13" s="281">
        <f>IF('Cover Page'!$A$10="",0,VLOOKUP('Cover Page'!$A$4&amp;"-MPCP",Counts!$C$4:$V$414,Counts!$S$418,FALSE))</f>
        <v>0</v>
      </c>
      <c r="E13" s="282">
        <f t="shared" si="0"/>
        <v>0</v>
      </c>
      <c r="F13" s="277"/>
      <c r="G13" s="274">
        <f>-1*_xlfn.COUNTIFS('Schedule 2'!$H$8:$H$42,"MPCP",'Schedule 2'!$AK$8:$AK$42,'Schedule 1-2'!$B13,'Schedule 2'!$C$8:$C$42,"")</f>
        <v>0</v>
      </c>
      <c r="H13" s="275">
        <f>_xlfn.COUNTIFS('Schedule 3'!$N$9:$N$43,1,'Schedule 3'!$P$9:$P$43,'Schedule 1-2'!$B13,'Schedule 3'!$G$9:$G$43,"MPCP",'Schedule 3'!$C$9:$C$43,"")+(-1*(_xlfn.COUNTIFS('Schedule 3'!$N$9:$N$43,1,'Schedule 3'!$O$9:$O$43,'Schedule 1-2'!$B13,'Schedule 3'!$G$9:$G$43,"MPCP",'Schedule 3'!$C$9:$C$43,"")))</f>
        <v>0</v>
      </c>
      <c r="I13" s="275">
        <f>_xlfn.COUNTIFS('Schedule 4'!$F$7:$F$31,"MPCP",'Schedule 4'!$G$7:$G$31,"X",'Schedule 4'!$L$7:$L$31,'Schedule 1-2'!$B13)</f>
        <v>0</v>
      </c>
    </row>
    <row r="14" spans="1:9" ht="16.5" customHeight="1">
      <c r="A14" s="25">
        <v>7</v>
      </c>
      <c r="B14" s="71" t="s">
        <v>83</v>
      </c>
      <c r="C14" s="72"/>
      <c r="D14" s="281">
        <f>IF('Cover Page'!$A$10="",0,VLOOKUP('Cover Page'!$A$4&amp;"-MPCP",Counts!$C$4:$V$414,Counts!$T$418,FALSE))</f>
        <v>0</v>
      </c>
      <c r="E14" s="282">
        <f t="shared" si="0"/>
        <v>0</v>
      </c>
      <c r="F14" s="277"/>
      <c r="G14" s="274">
        <f>-1*_xlfn.COUNTIFS('Schedule 2'!$H$8:$H$42,"MPCP",'Schedule 2'!$AK$8:$AK$42,'Schedule 1-2'!$B14,'Schedule 2'!$C$8:$C$42,"")</f>
        <v>0</v>
      </c>
      <c r="H14" s="275">
        <f>_xlfn.COUNTIFS('Schedule 3'!$N$9:$N$43,1,'Schedule 3'!$P$9:$P$43,'Schedule 1-2'!$B14,'Schedule 3'!$G$9:$G$43,"MPCP",'Schedule 3'!$C$9:$C$43,"")+(-1*(_xlfn.COUNTIFS('Schedule 3'!$N$9:$N$43,1,'Schedule 3'!$O$9:$O$43,'Schedule 1-2'!$B14,'Schedule 3'!$G$9:$G$43,"MPCP",'Schedule 3'!$C$9:$C$43,"")))</f>
        <v>0</v>
      </c>
      <c r="I14" s="275">
        <f>_xlfn.COUNTIFS('Schedule 4'!$F$7:$F$31,"MPCP",'Schedule 4'!$G$7:$G$31,"X",'Schedule 4'!$L$7:$L$31,'Schedule 1-2'!$B14)</f>
        <v>0</v>
      </c>
    </row>
    <row r="15" spans="1:9" ht="16.5" customHeight="1" thickBot="1">
      <c r="A15" s="25">
        <v>8</v>
      </c>
      <c r="B15" s="224" t="s">
        <v>69</v>
      </c>
      <c r="C15" s="225"/>
      <c r="D15" s="281">
        <f>IF('Cover Page'!$A$10="",0,VLOOKUP('Cover Page'!$A$4&amp;"-MPCP",Counts!$C$4:$V$414,Counts!$U$418,FALSE))</f>
        <v>0</v>
      </c>
      <c r="E15" s="282">
        <f t="shared" si="0"/>
        <v>0</v>
      </c>
      <c r="F15" s="278"/>
      <c r="G15" s="274">
        <f>-1*_xlfn.COUNTIFS('Schedule 2'!$H$8:$H$42,"MPCP",'Schedule 2'!$AK$8:$AK$42,'Schedule 1-2'!$B15,'Schedule 2'!$C$8:$C$42,"")</f>
        <v>0</v>
      </c>
      <c r="H15" s="275">
        <f>_xlfn.COUNTIFS('Schedule 3'!$N$9:$N$43,1,'Schedule 3'!$P$9:$P$43,'Schedule 1-2'!$B15,'Schedule 3'!$G$9:$G$43,"MPCP",'Schedule 3'!$C$9:$C$43,"")+(-1*(_xlfn.COUNTIFS('Schedule 3'!$N$9:$N$43,1,'Schedule 3'!$O$9:$O$43,'Schedule 1-2'!$B15,'Schedule 3'!$G$9:$G$43,"MPCP",'Schedule 3'!$C$9:$C$43,"")))</f>
        <v>0</v>
      </c>
      <c r="I15" s="275">
        <f>_xlfn.COUNTIFS('Schedule 4'!$F$7:$F$31,"MPCP",'Schedule 4'!$G$7:$G$31,"X",'Schedule 4'!$L$7:$L$31,'Schedule 1-2'!$B15)</f>
        <v>0</v>
      </c>
    </row>
    <row r="16" spans="1:9" ht="16.5" customHeight="1" thickBot="1">
      <c r="A16" s="26">
        <v>9</v>
      </c>
      <c r="B16" s="439" t="s">
        <v>208</v>
      </c>
      <c r="C16" s="440"/>
      <c r="D16" s="283">
        <f>SUM(D8:D15)</f>
        <v>0</v>
      </c>
      <c r="E16" s="284">
        <f>SUM(E8:E15)</f>
        <v>0</v>
      </c>
      <c r="F16" s="280"/>
      <c r="G16" s="269">
        <f>SUM(G8:G15)</f>
        <v>0</v>
      </c>
      <c r="H16" s="269">
        <f>SUM(H8:H15)</f>
        <v>0</v>
      </c>
      <c r="I16" s="271">
        <f>SUM(I8:I15)</f>
        <v>0</v>
      </c>
    </row>
    <row r="17" spans="1:9" ht="21" customHeight="1" thickTop="1">
      <c r="A17" s="23"/>
      <c r="B17" s="23"/>
      <c r="C17" s="441" t="s">
        <v>209</v>
      </c>
      <c r="D17" s="441"/>
      <c r="E17" s="441"/>
      <c r="F17" s="441"/>
      <c r="G17" s="23"/>
      <c r="H17" s="23"/>
      <c r="I17" s="23"/>
    </row>
    <row r="18" spans="1:9" ht="14.25" customHeight="1">
      <c r="A18" s="413" t="s">
        <v>61</v>
      </c>
      <c r="B18" s="422" t="s">
        <v>63</v>
      </c>
      <c r="C18" s="423"/>
      <c r="D18" s="432" t="s">
        <v>55</v>
      </c>
      <c r="E18" s="444" t="s">
        <v>56</v>
      </c>
      <c r="F18" s="417" t="s">
        <v>7</v>
      </c>
      <c r="G18" s="418"/>
      <c r="H18" s="418"/>
      <c r="I18" s="418"/>
    </row>
    <row r="19" spans="1:9" ht="21.75" customHeight="1">
      <c r="A19" s="414"/>
      <c r="B19" s="424"/>
      <c r="C19" s="425"/>
      <c r="D19" s="433"/>
      <c r="E19" s="445"/>
      <c r="F19" s="342" t="s">
        <v>361</v>
      </c>
      <c r="G19" s="227" t="s">
        <v>4</v>
      </c>
      <c r="H19" s="228" t="s">
        <v>402</v>
      </c>
      <c r="I19" s="228" t="s">
        <v>501</v>
      </c>
    </row>
    <row r="20" spans="1:9" ht="16.5" customHeight="1">
      <c r="A20" s="24">
        <v>10</v>
      </c>
      <c r="B20" s="220" t="s">
        <v>0</v>
      </c>
      <c r="C20" s="221"/>
      <c r="D20" s="281">
        <f>IF('Cover Page'!$A$11="",0,VLOOKUP('Cover Page'!$A$4&amp;"-RPCP",Counts!$C$4:$V$414,Counts!$N$418,FALSE))</f>
        <v>0</v>
      </c>
      <c r="E20" s="282">
        <f aca="true" t="shared" si="1" ref="E20:E27">D20+G20+F20+H20+I20</f>
        <v>0</v>
      </c>
      <c r="F20" s="274">
        <f>IF('Schedule 1-1'!$I$30="No",D21,IF('Schedule 1-1'!$I$30="Yes",-D20,0))</f>
        <v>0</v>
      </c>
      <c r="G20" s="274">
        <f>IF('Schedule 1-1'!I30="No",-1*_xlfn.COUNTIFS('Schedule 2'!$H$8:$H$42,"RPCP",'Schedule 2'!$B$8:$B$42,"K4",'Schedule 2'!$C$8:$C$42,""),0)</f>
        <v>0</v>
      </c>
      <c r="H20" s="275">
        <f>IF('Schedule 1-1'!I30="No",IF('Schedule 1-1'!I30="No",_xlfn.COUNTIFS('Schedule 3'!$N$9:$N$43,1,'Schedule 3'!$H$9:$H$43,"K4",'Schedule 3'!$G$9:$G$43,"RPCP",'Schedule 3'!$C$9:$C$43,"")+(-1*(_xlfn.COUNTIFS('Schedule 3'!$N$9:$N$43,1,'Schedule 3'!$B$9:$B$43,"K4",'Schedule 3'!$G$9:$G$43,"RPCP",'Schedule 3'!$C$9:$C$43,""))),0),0)</f>
        <v>0</v>
      </c>
      <c r="I20" s="275">
        <f>IF('Schedule 1-1'!I30="No",_xlfn.COUNTIFS('Schedule 4'!$F$7:$F$31,"RPCP",'Schedule 4'!$G$7:$G$31,"X",'Schedule 4'!$B$7:$B$31,"K4"),0)</f>
        <v>0</v>
      </c>
    </row>
    <row r="21" spans="1:9" ht="16.5" customHeight="1">
      <c r="A21" s="24">
        <v>11</v>
      </c>
      <c r="B21" s="222" t="s">
        <v>53</v>
      </c>
      <c r="C21" s="223"/>
      <c r="D21" s="281">
        <f>IF('Cover Page'!$A$11="",0,VLOOKUP('Cover Page'!$A$4&amp;"-RPCP",Counts!$C$4:$V$414,Counts!$O$418,FALSE))</f>
        <v>0</v>
      </c>
      <c r="E21" s="282">
        <f t="shared" si="1"/>
        <v>0</v>
      </c>
      <c r="F21" s="274">
        <f>IF('Schedule 1-1'!$I$30="Yes",D20,IF('Schedule 1-1'!$I$30="No",-D21,0))</f>
        <v>0</v>
      </c>
      <c r="G21" s="274">
        <f>IF('Schedule 1-1'!I30="Yes",-1*_xlfn.COUNTIFS('Schedule 2'!$H$8:$H$42,"RPCP",'Schedule 2'!$B$8:$B$42,"K4",'Schedule 2'!$C$8:$C$42,""),0)</f>
        <v>0</v>
      </c>
      <c r="H21" s="275">
        <f>IF('Schedule 1-1'!I30="Yes",_xlfn.COUNTIFS('Schedule 3'!$N$9:$N$43,1,'Schedule 3'!$H$9:$H$43,"K4",'Schedule 3'!$G$9:$G$43,"RPCP",'Schedule 3'!$C$9:$C$43,"")+(-1*(_xlfn.COUNTIFS('Schedule 3'!$N$9:$N$43,1,'Schedule 3'!$B$9:$B$43,"K4",'Schedule 3'!$G$9:$G$43,"RPCP",'Schedule 3'!$C$9:$C$43,""))),0)</f>
        <v>0</v>
      </c>
      <c r="I21" s="275">
        <f>IF('Schedule 1-1'!I30="Yes",_xlfn.COUNTIFS('Schedule 4'!$F$7:$F$31,"RPCP",'Schedule 4'!$G$7:$G$31,"X",'Schedule 4'!$B$7:$B$31,"K4"),0)</f>
        <v>0</v>
      </c>
    </row>
    <row r="22" spans="1:9" ht="16.5" customHeight="1">
      <c r="A22" s="24">
        <v>12</v>
      </c>
      <c r="B22" s="222" t="s">
        <v>44</v>
      </c>
      <c r="C22" s="223"/>
      <c r="D22" s="281">
        <f>IF('Cover Page'!$A$11="",0,VLOOKUP('Cover Page'!$A$4&amp;"-RPCP",Counts!$C$4:$V$414,Counts!$P$418,FALSE))</f>
        <v>0</v>
      </c>
      <c r="E22" s="282">
        <f t="shared" si="1"/>
        <v>0</v>
      </c>
      <c r="F22" s="276"/>
      <c r="G22" s="274">
        <f>-1*_xlfn.COUNTIFS('Schedule 2'!$H$8:$H$42,"RPCP",'Schedule 2'!$AK$8:$AK$42,'Schedule 1-2'!$B22,'Schedule 2'!$C$8:$C$42,"")</f>
        <v>0</v>
      </c>
      <c r="H22" s="275">
        <f>_xlfn.COUNTIFS('Schedule 3'!$N$9:$N$43,1,'Schedule 3'!$P$9:$P$43,'Schedule 1-2'!$B22,'Schedule 3'!$G$9:$G$43,"RPCP",'Schedule 3'!$C$9:$C$43,"")+(-1*(_xlfn.COUNTIFS('Schedule 3'!$N$9:$N$43,1,'Schedule 3'!$O$9:$O$43,'Schedule 1-2'!$B22,'Schedule 3'!$G$9:$G$43,"RPCP",'Schedule 3'!$C$9:$C$43,"")))</f>
        <v>0</v>
      </c>
      <c r="I22" s="275">
        <f>_xlfn.COUNTIFS('Schedule 4'!$F$7:$F$31,"RPCP",'Schedule 4'!$G$7:$G$31,"X",'Schedule 4'!$L$7:$L$31,'Schedule 1-2'!$B22)</f>
        <v>0</v>
      </c>
    </row>
    <row r="23" spans="1:9" ht="16.5" customHeight="1">
      <c r="A23" s="24">
        <v>13</v>
      </c>
      <c r="B23" s="222" t="s">
        <v>45</v>
      </c>
      <c r="C23" s="223"/>
      <c r="D23" s="281">
        <f>IF('Cover Page'!$A$11="",0,VLOOKUP('Cover Page'!$A$4&amp;"-RPCP",Counts!$C$4:$V$414,Counts!$Q$418,FALSE))</f>
        <v>0</v>
      </c>
      <c r="E23" s="282">
        <f t="shared" si="1"/>
        <v>0</v>
      </c>
      <c r="F23" s="277"/>
      <c r="G23" s="274">
        <f>-1*_xlfn.COUNTIFS('Schedule 2'!$H$8:$H$42,"RPCP",'Schedule 2'!$AK$8:$AK$42,'Schedule 1-2'!$B23,'Schedule 2'!$C$8:$C$42,"")</f>
        <v>0</v>
      </c>
      <c r="H23" s="275">
        <f>_xlfn.COUNTIFS('Schedule 3'!$N$9:$N$43,1,'Schedule 3'!$P$9:$P$43,'Schedule 1-2'!$B23,'Schedule 3'!$G$9:$G$43,"RPCP",'Schedule 3'!$C$9:$C$43,"")+(-1*(_xlfn.COUNTIFS('Schedule 3'!$N$9:$N$43,1,'Schedule 3'!$O$9:$O$43,'Schedule 1-2'!$B23,'Schedule 3'!$G$9:$G$43,"RPCP",'Schedule 3'!$C$9:$C$43,"")))</f>
        <v>0</v>
      </c>
      <c r="I23" s="275">
        <f>_xlfn.COUNTIFS('Schedule 4'!$F$7:$F$31,"RPCP",'Schedule 4'!$G$7:$G$31,"X",'Schedule 4'!$L$7:$L$31,'Schedule 1-2'!$B23)</f>
        <v>0</v>
      </c>
    </row>
    <row r="24" spans="1:9" ht="16.5" customHeight="1">
      <c r="A24" s="24">
        <v>14</v>
      </c>
      <c r="B24" s="222" t="s">
        <v>1</v>
      </c>
      <c r="C24" s="223"/>
      <c r="D24" s="281">
        <f>IF('Cover Page'!$A$11="",0,VLOOKUP('Cover Page'!$A$4&amp;"-RPCP",Counts!$C$4:$V$414,Counts!$R$418,FALSE))</f>
        <v>0</v>
      </c>
      <c r="E24" s="282">
        <f t="shared" si="1"/>
        <v>0</v>
      </c>
      <c r="F24" s="277"/>
      <c r="G24" s="274">
        <f>-1*_xlfn.COUNTIFS('Schedule 2'!$H$8:$H$42,"RPCP",'Schedule 2'!$AK$8:$AK$42,'Schedule 1-2'!$B24,'Schedule 2'!$C$8:$C$42,"")</f>
        <v>0</v>
      </c>
      <c r="H24" s="275">
        <f>_xlfn.COUNTIFS('Schedule 3'!$N$9:$N$43,1,'Schedule 3'!$P$9:$P$43,'Schedule 1-2'!$B24,'Schedule 3'!$G$9:$G$43,"RPCP",'Schedule 3'!$C$9:$C$43,"")+(-1*(_xlfn.COUNTIFS('Schedule 3'!$N$9:$N$43,1,'Schedule 3'!$O$9:$O$43,'Schedule 1-2'!$B24,'Schedule 3'!$G$9:$G$43,"RPCP",'Schedule 3'!$C$9:$C$43,"")))</f>
        <v>0</v>
      </c>
      <c r="I24" s="275">
        <f>_xlfn.COUNTIFS('Schedule 4'!$F$7:$F$31,"RPCP",'Schedule 4'!$G$7:$G$31,"X",'Schedule 4'!$L$7:$L$31,'Schedule 1-2'!$B24)</f>
        <v>0</v>
      </c>
    </row>
    <row r="25" spans="1:9" ht="16.5" customHeight="1">
      <c r="A25" s="24">
        <v>15</v>
      </c>
      <c r="B25" s="222" t="s">
        <v>2</v>
      </c>
      <c r="C25" s="223"/>
      <c r="D25" s="281">
        <f>IF('Cover Page'!$A$11="",0,VLOOKUP('Cover Page'!$A$4&amp;"-RPCP",Counts!$C$4:$V$414,Counts!$S$418,FALSE))</f>
        <v>0</v>
      </c>
      <c r="E25" s="282">
        <f t="shared" si="1"/>
        <v>0</v>
      </c>
      <c r="F25" s="277"/>
      <c r="G25" s="274">
        <f>-1*_xlfn.COUNTIFS('Schedule 2'!$H$8:$H$42,"RPCP",'Schedule 2'!$AK$8:$AK$42,'Schedule 1-2'!$B25,'Schedule 2'!$C$8:$C$42,"")</f>
        <v>0</v>
      </c>
      <c r="H25" s="275">
        <f>_xlfn.COUNTIFS('Schedule 3'!$N$9:$N$43,1,'Schedule 3'!$P$9:$P$43,'Schedule 1-2'!$B25,'Schedule 3'!$G$9:$G$43,"RPCP",'Schedule 3'!$C$9:$C$43,"")+(-1*(_xlfn.COUNTIFS('Schedule 3'!$N$9:$N$43,1,'Schedule 3'!$O$9:$O$43,'Schedule 1-2'!$B25,'Schedule 3'!$G$9:$G$43,"RPCP",'Schedule 3'!$C$9:$C$43,"")))</f>
        <v>0</v>
      </c>
      <c r="I25" s="275">
        <f>_xlfn.COUNTIFS('Schedule 4'!$F$7:$F$31,"RPCP",'Schedule 4'!$G$7:$G$31,"X",'Schedule 4'!$L$7:$L$31,'Schedule 1-2'!$B25)</f>
        <v>0</v>
      </c>
    </row>
    <row r="26" spans="1:9" ht="16.5" customHeight="1">
      <c r="A26" s="25">
        <v>16</v>
      </c>
      <c r="B26" s="71" t="s">
        <v>83</v>
      </c>
      <c r="C26" s="72"/>
      <c r="D26" s="281">
        <f>IF('Cover Page'!$A$11="",0,VLOOKUP('Cover Page'!$A$4&amp;"-RPCP",Counts!$C$4:$V$414,Counts!$T$418,FALSE))</f>
        <v>0</v>
      </c>
      <c r="E26" s="282">
        <f t="shared" si="1"/>
        <v>0</v>
      </c>
      <c r="F26" s="277"/>
      <c r="G26" s="274">
        <f>-1*_xlfn.COUNTIFS('Schedule 2'!$H$8:$H$42,"RPCP",'Schedule 2'!$AK$8:$AK$42,'Schedule 1-2'!$B26,'Schedule 2'!$C$8:$C$42,"")</f>
        <v>0</v>
      </c>
      <c r="H26" s="275">
        <f>_xlfn.COUNTIFS('Schedule 3'!$N$9:$N$43,1,'Schedule 3'!$P$9:$P$43,'Schedule 1-2'!$B26,'Schedule 3'!$G$9:$G$43,"RPCP",'Schedule 3'!$C$9:$C$43,"")+(-1*(_xlfn.COUNTIFS('Schedule 3'!$N$9:$N$43,1,'Schedule 3'!$O$9:$O$43,'Schedule 1-2'!$B26,'Schedule 3'!$G$9:$G$43,"RPCP",'Schedule 3'!$C$9:$C$43,"")))</f>
        <v>0</v>
      </c>
      <c r="I26" s="275">
        <f>_xlfn.COUNTIFS('Schedule 4'!$F$7:$F$31,"RPCP",'Schedule 4'!$G$7:$G$31,"X",'Schedule 4'!$L$7:$L$31,'Schedule 1-2'!$B26)</f>
        <v>0</v>
      </c>
    </row>
    <row r="27" spans="1:9" ht="16.5" customHeight="1" thickBot="1">
      <c r="A27" s="25">
        <v>17</v>
      </c>
      <c r="B27" s="224" t="s">
        <v>69</v>
      </c>
      <c r="C27" s="225"/>
      <c r="D27" s="281">
        <f>IF('Cover Page'!$A$11="",0,VLOOKUP('Cover Page'!$A$4&amp;"-RPCP",Counts!$C$4:$V$414,Counts!$U$418,FALSE))</f>
        <v>0</v>
      </c>
      <c r="E27" s="282">
        <f t="shared" si="1"/>
        <v>0</v>
      </c>
      <c r="F27" s="278"/>
      <c r="G27" s="274">
        <f>-1*_xlfn.COUNTIFS('Schedule 2'!$H$8:$H$42,"RPCP",'Schedule 2'!$AK$8:$AK$42,'Schedule 1-2'!$B27,'Schedule 2'!$C$8:$C$42,"")</f>
        <v>0</v>
      </c>
      <c r="H27" s="275">
        <f>_xlfn.COUNTIFS('Schedule 3'!$N$9:$N$43,1,'Schedule 3'!$P$9:$P$43,'Schedule 1-2'!$B27,'Schedule 3'!$G$9:$G$43,"RPCP",'Schedule 3'!$C$9:$C$43,"")+(-1*(_xlfn.COUNTIFS('Schedule 3'!$N$9:$N$43,1,'Schedule 3'!$O$9:$O$43,'Schedule 1-2'!$B27,'Schedule 3'!$G$9:$G$43,"RPCP",'Schedule 3'!$C$9:$C$43,"")))</f>
        <v>0</v>
      </c>
      <c r="I27" s="275">
        <f>_xlfn.COUNTIFS('Schedule 4'!$F$7:$F$31,"RPCP",'Schedule 4'!$G$7:$G$31,"X",'Schedule 4'!$L$7:$L$31,'Schedule 1-2'!$B27)</f>
        <v>0</v>
      </c>
    </row>
    <row r="28" spans="1:9" ht="16.5" customHeight="1" thickBot="1">
      <c r="A28" s="26">
        <v>18</v>
      </c>
      <c r="B28" s="439" t="s">
        <v>210</v>
      </c>
      <c r="C28" s="440"/>
      <c r="D28" s="283">
        <f>SUM(D20:D27)</f>
        <v>0</v>
      </c>
      <c r="E28" s="283">
        <f>SUM(E20:E27)</f>
        <v>0</v>
      </c>
      <c r="F28" s="280"/>
      <c r="G28" s="269">
        <f>SUM(G20:G27)</f>
        <v>0</v>
      </c>
      <c r="H28" s="269">
        <f>SUM(H20:H27)</f>
        <v>0</v>
      </c>
      <c r="I28" s="271">
        <f>SUM(I20:I27)</f>
        <v>0</v>
      </c>
    </row>
    <row r="29" spans="1:9" ht="21" customHeight="1" thickTop="1">
      <c r="A29" s="23"/>
      <c r="B29" s="23"/>
      <c r="C29" s="441" t="s">
        <v>211</v>
      </c>
      <c r="D29" s="441"/>
      <c r="E29" s="441"/>
      <c r="F29" s="441"/>
      <c r="G29" s="23"/>
      <c r="H29" s="23"/>
      <c r="I29" s="23"/>
    </row>
    <row r="30" spans="1:9" ht="14.25" customHeight="1">
      <c r="A30" s="413" t="s">
        <v>61</v>
      </c>
      <c r="B30" s="422" t="s">
        <v>63</v>
      </c>
      <c r="C30" s="423"/>
      <c r="D30" s="432" t="s">
        <v>55</v>
      </c>
      <c r="E30" s="444" t="s">
        <v>56</v>
      </c>
      <c r="F30" s="417" t="s">
        <v>7</v>
      </c>
      <c r="G30" s="418"/>
      <c r="H30" s="418"/>
      <c r="I30" s="418"/>
    </row>
    <row r="31" spans="1:9" ht="21.75" customHeight="1">
      <c r="A31" s="414"/>
      <c r="B31" s="424"/>
      <c r="C31" s="425"/>
      <c r="D31" s="433"/>
      <c r="E31" s="445"/>
      <c r="F31" s="342" t="s">
        <v>361</v>
      </c>
      <c r="G31" s="227" t="s">
        <v>4</v>
      </c>
      <c r="H31" s="228" t="s">
        <v>402</v>
      </c>
      <c r="I31" s="228" t="s">
        <v>501</v>
      </c>
    </row>
    <row r="32" spans="1:9" ht="16.5" customHeight="1">
      <c r="A32" s="24">
        <v>19</v>
      </c>
      <c r="B32" s="428" t="s">
        <v>0</v>
      </c>
      <c r="C32" s="429"/>
      <c r="D32" s="281">
        <f>IF('Cover Page'!$A$12="",0,VLOOKUP('Cover Page'!$A$4&amp;"-WPCP",Counts!$C$4:$V$414,Counts!$N$418,FALSE))</f>
        <v>0</v>
      </c>
      <c r="E32" s="282">
        <f aca="true" t="shared" si="2" ref="E32:E39">D32+G32+F32+H32+I32</f>
        <v>0</v>
      </c>
      <c r="F32" s="274">
        <f>IF('Schedule 1-1'!$I$30="No",D33,IF('Schedule 1-1'!$I$30="Yes",-D32,0))</f>
        <v>0</v>
      </c>
      <c r="G32" s="274">
        <f>IF('Schedule 1-1'!I30="No",-1*_xlfn.COUNTIFS('Schedule 2'!$H$8:$H$42,"WPCP",'Schedule 2'!$B$8:$B$42,"K4",'Schedule 2'!$C$8:$C$42,""),0)</f>
        <v>0</v>
      </c>
      <c r="H32" s="275">
        <f>IF('Schedule 1-1'!I30="No",_xlfn.COUNTIFS('Schedule 3'!$N$9:$N$43,1,'Schedule 3'!$H$9:$H$43,"K4",'Schedule 3'!$G$9:$G$43,"WPCP",'Schedule 3'!$C$9:$C$43,"")+(-1*(_xlfn.COUNTIFS('Schedule 3'!$N$9:$N$43,1,'Schedule 3'!$B$9:$B$43,"K4",'Schedule 3'!$G$9:$G$43,"WPCP",'Schedule 3'!$C$9:$C$43,""))),0)</f>
        <v>0</v>
      </c>
      <c r="I32" s="275">
        <f>IF('Schedule 1-1'!I30="No",_xlfn.COUNTIFS('Schedule 4'!$F$7:$F$31,"WPCP",'Schedule 4'!$G$7:$G$31,"X",'Schedule 4'!$B$7:$B$31,"K4"),0)</f>
        <v>0</v>
      </c>
    </row>
    <row r="33" spans="1:9" ht="16.5" customHeight="1">
      <c r="A33" s="24">
        <v>20</v>
      </c>
      <c r="B33" s="419" t="s">
        <v>53</v>
      </c>
      <c r="C33" s="420"/>
      <c r="D33" s="281">
        <f>IF('Cover Page'!$A$12="",0,VLOOKUP('Cover Page'!$A$4&amp;"-WPCP",Counts!$C$4:$V$414,Counts!$O$418,FALSE))</f>
        <v>0</v>
      </c>
      <c r="E33" s="282">
        <f t="shared" si="2"/>
        <v>0</v>
      </c>
      <c r="F33" s="274">
        <f>IF('Schedule 1-1'!$I$30="Yes",D32,IF('Schedule 1-1'!$I$30="No",-D33,0))</f>
        <v>0</v>
      </c>
      <c r="G33" s="274">
        <f>IF('Schedule 1-1'!I30="Yes",-1*_xlfn.COUNTIFS('Schedule 2'!$H$8:$H$42,"WPCP",'Schedule 2'!$B$8:$B$42,"K4",'Schedule 2'!$C$8:$C$42,""),0)</f>
        <v>0</v>
      </c>
      <c r="H33" s="275">
        <f>IF('Schedule 1-1'!I30="Yes",_xlfn.COUNTIFS('Schedule 3'!$N$9:$N$43,1,'Schedule 3'!$H$9:$H$43,"K4",'Schedule 3'!$G$9:$G$43,"WPCP",'Schedule 3'!$C$9:$C$43,"")+(-1*(_xlfn.COUNTIFS('Schedule 3'!$N$9:$N$43,1,'Schedule 3'!$B$9:$B$43,"K4",'Schedule 3'!$G$9:$G$43,"WPCP",'Schedule 3'!$C$9:$C$43,""))),0)</f>
        <v>0</v>
      </c>
      <c r="I33" s="275">
        <f>IF('Schedule 1-1'!I30="Yes",_xlfn.COUNTIFS('Schedule 4'!$F$7:$F$31,"WPCP",'Schedule 4'!$G$7:$G$31,"X",'Schedule 4'!$B$7:$B$31,"K4"),0)</f>
        <v>0</v>
      </c>
    </row>
    <row r="34" spans="1:9" ht="16.5" customHeight="1">
      <c r="A34" s="24">
        <v>21</v>
      </c>
      <c r="B34" s="419" t="s">
        <v>44</v>
      </c>
      <c r="C34" s="420"/>
      <c r="D34" s="281">
        <f>IF('Cover Page'!$A$12="",0,VLOOKUP('Cover Page'!$A$4&amp;"-WPCP",Counts!$C$4:$V$414,Counts!$P$418,FALSE))</f>
        <v>0</v>
      </c>
      <c r="E34" s="282">
        <f t="shared" si="2"/>
        <v>0</v>
      </c>
      <c r="F34" s="276"/>
      <c r="G34" s="274">
        <f>-1*_xlfn.COUNTIFS('Schedule 2'!$H$8:$H$42,"WPCP",'Schedule 2'!$AK$8:$AK$42,'Schedule 1-2'!$B34,'Schedule 2'!$C$8:$C$42,"")</f>
        <v>0</v>
      </c>
      <c r="H34" s="275">
        <f>_xlfn.COUNTIFS('Schedule 3'!$N$9:$N$43,1,'Schedule 3'!$P$9:$P$43,'Schedule 1-2'!$B34,'Schedule 3'!$G$9:$G$43,"WPCP",'Schedule 3'!$C$9:$C$43,"")+(-1*(_xlfn.COUNTIFS('Schedule 3'!$N$9:$N$43,1,'Schedule 3'!$O$9:$O$43,'Schedule 1-2'!$B34,'Schedule 3'!$G$9:$G$43,"WPCP",'Schedule 3'!$C$9:$C$43,"")))</f>
        <v>0</v>
      </c>
      <c r="I34" s="275">
        <f>_xlfn.COUNTIFS('Schedule 4'!$F$7:$F$31,"WPCP",'Schedule 4'!$G$7:$G$31,"X",'Schedule 4'!$L$7:$L$31,'Schedule 1-2'!$B34)</f>
        <v>0</v>
      </c>
    </row>
    <row r="35" spans="1:9" ht="16.5" customHeight="1">
      <c r="A35" s="24">
        <v>22</v>
      </c>
      <c r="B35" s="419" t="s">
        <v>45</v>
      </c>
      <c r="C35" s="420"/>
      <c r="D35" s="281">
        <f>IF('Cover Page'!$A$12="",0,VLOOKUP('Cover Page'!$A$4&amp;"-WPCP",Counts!$C$4:$V$414,Counts!$Q$418,FALSE))</f>
        <v>0</v>
      </c>
      <c r="E35" s="282">
        <f t="shared" si="2"/>
        <v>0</v>
      </c>
      <c r="F35" s="277"/>
      <c r="G35" s="274">
        <f>-1*_xlfn.COUNTIFS('Schedule 2'!$H$8:$H$42,"WPCP",'Schedule 2'!$AK$8:$AK$42,'Schedule 1-2'!$B35,'Schedule 2'!$C$8:$C$42,"")</f>
        <v>0</v>
      </c>
      <c r="H35" s="275">
        <f>_xlfn.COUNTIFS('Schedule 3'!$N$9:$N$43,1,'Schedule 3'!$P$9:$P$43,'Schedule 1-2'!$B35,'Schedule 3'!$G$9:$G$43,"WPCP",'Schedule 3'!$C$9:$C$43,"")+(-1*(_xlfn.COUNTIFS('Schedule 3'!$N$9:$N$43,1,'Schedule 3'!$O$9:$O$43,'Schedule 1-2'!$B35,'Schedule 3'!$G$9:$G$43,"WPCP",'Schedule 3'!$C$9:$C$43,"")))</f>
        <v>0</v>
      </c>
      <c r="I35" s="275">
        <f>_xlfn.COUNTIFS('Schedule 4'!$F$7:$F$31,"WPCP",'Schedule 4'!$G$7:$G$31,"X",'Schedule 4'!$L$7:$L$31,'Schedule 1-2'!$B35)</f>
        <v>0</v>
      </c>
    </row>
    <row r="36" spans="1:9" ht="16.5" customHeight="1">
      <c r="A36" s="24">
        <v>23</v>
      </c>
      <c r="B36" s="419" t="s">
        <v>1</v>
      </c>
      <c r="C36" s="420"/>
      <c r="D36" s="281">
        <f>IF('Cover Page'!$A$12="",0,VLOOKUP('Cover Page'!$A$4&amp;"-WPCP",Counts!$C$4:$V$414,Counts!$R$418,FALSE))</f>
        <v>0</v>
      </c>
      <c r="E36" s="282">
        <f t="shared" si="2"/>
        <v>0</v>
      </c>
      <c r="F36" s="277"/>
      <c r="G36" s="274">
        <f>-1*_xlfn.COUNTIFS('Schedule 2'!$H$8:$H$42,"WPCP",'Schedule 2'!$AK$8:$AK$42,'Schedule 1-2'!$B36,'Schedule 2'!$C$8:$C$42,"")</f>
        <v>0</v>
      </c>
      <c r="H36" s="275">
        <f>_xlfn.COUNTIFS('Schedule 3'!$N$9:$N$43,1,'Schedule 3'!$P$9:$P$43,'Schedule 1-2'!$B36,'Schedule 3'!$G$9:$G$43,"WPCP",'Schedule 3'!$C$9:$C$43,"")+(-1*(_xlfn.COUNTIFS('Schedule 3'!$N$9:$N$43,1,'Schedule 3'!$O$9:$O$43,'Schedule 1-2'!$B36,'Schedule 3'!$G$9:$G$43,"WPCP",'Schedule 3'!$C$9:$C$43,"")))</f>
        <v>0</v>
      </c>
      <c r="I36" s="275">
        <f>_xlfn.COUNTIFS('Schedule 4'!$F$7:$F$31,"WPCP",'Schedule 4'!$G$7:$G$31,"X",'Schedule 4'!$L$7:$L$31,'Schedule 1-2'!$B36)</f>
        <v>0</v>
      </c>
    </row>
    <row r="37" spans="1:9" ht="16.5" customHeight="1">
      <c r="A37" s="24">
        <v>24</v>
      </c>
      <c r="B37" s="419" t="s">
        <v>2</v>
      </c>
      <c r="C37" s="420"/>
      <c r="D37" s="281">
        <f>IF('Cover Page'!$A$12="",0,VLOOKUP('Cover Page'!$A$4&amp;"-WPCP",Counts!$C$4:$V$414,Counts!$S$418,FALSE))</f>
        <v>0</v>
      </c>
      <c r="E37" s="282">
        <f t="shared" si="2"/>
        <v>0</v>
      </c>
      <c r="F37" s="277"/>
      <c r="G37" s="274">
        <f>-1*_xlfn.COUNTIFS('Schedule 2'!$H$8:$H$42,"WPCP",'Schedule 2'!$AK$8:$AK$42,'Schedule 1-2'!$B37,'Schedule 2'!$C$8:$C$42,"")</f>
        <v>0</v>
      </c>
      <c r="H37" s="275">
        <f>_xlfn.COUNTIFS('Schedule 3'!$N$9:$N$43,1,'Schedule 3'!$P$9:$P$43,'Schedule 1-2'!$B37,'Schedule 3'!$G$9:$G$43,"WPCP",'Schedule 3'!$C$9:$C$43,"")+(-1*(_xlfn.COUNTIFS('Schedule 3'!$N$9:$N$43,1,'Schedule 3'!$O$9:$O$43,'Schedule 1-2'!$B37,'Schedule 3'!$G$9:$G$43,"WPCP",'Schedule 3'!$C$9:$C$43,"")))</f>
        <v>0</v>
      </c>
      <c r="I37" s="275">
        <f>_xlfn.COUNTIFS('Schedule 4'!$F$7:$F$31,"WPCP",'Schedule 4'!$G$7:$G$31,"X",'Schedule 4'!$L$7:$L$31,'Schedule 1-2'!$B37)</f>
        <v>0</v>
      </c>
    </row>
    <row r="38" spans="1:9" ht="16.5" customHeight="1">
      <c r="A38" s="25">
        <v>25</v>
      </c>
      <c r="B38" s="71" t="s">
        <v>83</v>
      </c>
      <c r="C38" s="72"/>
      <c r="D38" s="281">
        <f>IF('Cover Page'!$A$12="",0,VLOOKUP('Cover Page'!$A$4&amp;"-WPCP",Counts!$C$4:$V$414,Counts!$T$418,FALSE))</f>
        <v>0</v>
      </c>
      <c r="E38" s="282">
        <f t="shared" si="2"/>
        <v>0</v>
      </c>
      <c r="F38" s="277"/>
      <c r="G38" s="274">
        <f>-1*_xlfn.COUNTIFS('Schedule 2'!$H$8:$H$42,"WPCP",'Schedule 2'!$AK$8:$AK$42,'Schedule 1-2'!$B38,'Schedule 2'!$C$8:$C$42,"")</f>
        <v>0</v>
      </c>
      <c r="H38" s="275">
        <f>_xlfn.COUNTIFS('Schedule 3'!$N$9:$N$43,1,'Schedule 3'!$P$9:$P$43,'Schedule 1-2'!$B38,'Schedule 3'!$G$9:$G$43,"WPCP",'Schedule 3'!$C$9:$C$43,"")+(-1*(_xlfn.COUNTIFS('Schedule 3'!$N$9:$N$43,1,'Schedule 3'!$O$9:$O$43,'Schedule 1-2'!$B38,'Schedule 3'!$G$9:$G$43,"WPCP",'Schedule 3'!$C$9:$C$43,"")))</f>
        <v>0</v>
      </c>
      <c r="I38" s="275">
        <f>_xlfn.COUNTIFS('Schedule 4'!$F$7:$F$31,"WPCP",'Schedule 4'!$G$7:$G$31,"X",'Schedule 4'!$L$7:$L$31,'Schedule 1-2'!$B38)</f>
        <v>0</v>
      </c>
    </row>
    <row r="39" spans="1:9" ht="16.5" customHeight="1" thickBot="1">
      <c r="A39" s="25">
        <v>26</v>
      </c>
      <c r="B39" s="442" t="s">
        <v>69</v>
      </c>
      <c r="C39" s="443"/>
      <c r="D39" s="281">
        <f>IF('Cover Page'!$A$12="",0,VLOOKUP('Cover Page'!$A$4&amp;"-WPCP",Counts!$C$4:$V$414,Counts!$U$418,FALSE))</f>
        <v>0</v>
      </c>
      <c r="E39" s="282">
        <f t="shared" si="2"/>
        <v>0</v>
      </c>
      <c r="F39" s="278"/>
      <c r="G39" s="274">
        <f>-1*_xlfn.COUNTIFS('Schedule 2'!$H$8:$H$42,"WPCP",'Schedule 2'!$AK$8:$AK$42,'Schedule 1-2'!$B39,'Schedule 2'!$C$8:$C$42,"")</f>
        <v>0</v>
      </c>
      <c r="H39" s="275">
        <f>_xlfn.COUNTIFS('Schedule 3'!$N$9:$N$43,1,'Schedule 3'!$P$9:$P$43,'Schedule 1-2'!$B39,'Schedule 3'!$G$9:$G$43,"WPCP",'Schedule 3'!$C$9:$C$43,"")+(-1*(_xlfn.COUNTIFS('Schedule 3'!$N$9:$N$43,1,'Schedule 3'!$O$9:$O$43,'Schedule 1-2'!$B39,'Schedule 3'!$G$9:$G$43,"WPCP",'Schedule 3'!$C$9:$C$43,"")))</f>
        <v>0</v>
      </c>
      <c r="I39" s="275">
        <f>_xlfn.COUNTIFS('Schedule 4'!$F$7:$F$31,"WPCP",'Schedule 4'!$G$7:$G$31,"X",'Schedule 4'!$L$7:$L$31,'Schedule 1-2'!$B39)</f>
        <v>0</v>
      </c>
    </row>
    <row r="40" spans="1:9" ht="16.5" customHeight="1" thickBot="1">
      <c r="A40" s="26">
        <v>27</v>
      </c>
      <c r="B40" s="439" t="s">
        <v>212</v>
      </c>
      <c r="C40" s="440"/>
      <c r="D40" s="283">
        <f>SUM(D32:D39)</f>
        <v>0</v>
      </c>
      <c r="E40" s="284">
        <f>SUM(E32:E39)</f>
        <v>0</v>
      </c>
      <c r="F40" s="280"/>
      <c r="G40" s="269">
        <f>SUM(G32:G39)</f>
        <v>0</v>
      </c>
      <c r="H40" s="269">
        <f>SUM(H32:H39)</f>
        <v>0</v>
      </c>
      <c r="I40" s="271">
        <f>SUM(I32:I39)</f>
        <v>0</v>
      </c>
    </row>
    <row r="41" ht="10.5" thickTop="1"/>
    <row r="77" ht="9.75">
      <c r="A77" s="167"/>
    </row>
  </sheetData>
  <sheetProtection password="F443" sheet="1"/>
  <mergeCells count="32">
    <mergeCell ref="A4:I4"/>
    <mergeCell ref="A3:I3"/>
    <mergeCell ref="A2:I2"/>
    <mergeCell ref="A1:I1"/>
    <mergeCell ref="A6:A7"/>
    <mergeCell ref="B6:C7"/>
    <mergeCell ref="D6:D7"/>
    <mergeCell ref="E6:E7"/>
    <mergeCell ref="F6:I6"/>
    <mergeCell ref="C5:F5"/>
    <mergeCell ref="B16:C16"/>
    <mergeCell ref="A18:A19"/>
    <mergeCell ref="B18:C19"/>
    <mergeCell ref="F18:I18"/>
    <mergeCell ref="D18:D19"/>
    <mergeCell ref="E18:E19"/>
    <mergeCell ref="C17:F17"/>
    <mergeCell ref="B28:C28"/>
    <mergeCell ref="A30:A31"/>
    <mergeCell ref="B30:C31"/>
    <mergeCell ref="D30:D31"/>
    <mergeCell ref="C29:F29"/>
    <mergeCell ref="E30:E31"/>
    <mergeCell ref="B37:C37"/>
    <mergeCell ref="B39:C39"/>
    <mergeCell ref="B40:C40"/>
    <mergeCell ref="F30:I30"/>
    <mergeCell ref="B32:C32"/>
    <mergeCell ref="B33:C33"/>
    <mergeCell ref="B34:C34"/>
    <mergeCell ref="B35:C35"/>
    <mergeCell ref="B36:C36"/>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&amp;R&amp;"Arial,Regular"&amp;8PI-PCP-103 (35-25 Lines)</oddHeader>
  </headerFooter>
</worksheet>
</file>

<file path=xl/worksheets/sheet6.xml><?xml version="1.0" encoding="utf-8"?>
<worksheet xmlns="http://schemas.openxmlformats.org/spreadsheetml/2006/main" xmlns:r="http://schemas.openxmlformats.org/officeDocument/2006/relationships">
  <dimension ref="A1:H23"/>
  <sheetViews>
    <sheetView showGridLines="0" workbookViewId="0" topLeftCell="A1">
      <selection activeCell="A1" sqref="A1:C1"/>
    </sheetView>
  </sheetViews>
  <sheetFormatPr defaultColWidth="9.140625" defaultRowHeight="15"/>
  <cols>
    <col min="1" max="1" width="25.7109375" style="14" customWidth="1"/>
    <col min="2" max="2" width="42.28125" style="14" customWidth="1"/>
    <col min="3" max="3" width="25.7109375" style="9" customWidth="1"/>
    <col min="4" max="16384" width="9.140625" style="9" customWidth="1"/>
  </cols>
  <sheetData>
    <row r="1" spans="1:7" ht="15" customHeight="1">
      <c r="A1" s="458" t="str">
        <f>IF(ISBLANK('Cover Page'!A4),"School Name",'Cover Page'!A4)</f>
        <v>School Name</v>
      </c>
      <c r="B1" s="458"/>
      <c r="C1" s="458"/>
      <c r="D1" s="39"/>
      <c r="E1" s="39"/>
      <c r="F1" s="39"/>
      <c r="G1" s="39"/>
    </row>
    <row r="2" spans="1:7" ht="15" customHeight="1">
      <c r="A2" s="454" t="str">
        <f>'Schedule 1-1'!A2:G2</f>
        <v>September 20, 2019 Choice Enrollment Audit</v>
      </c>
      <c r="B2" s="454"/>
      <c r="C2" s="454"/>
      <c r="D2" s="39"/>
      <c r="E2" s="39"/>
      <c r="F2" s="39"/>
      <c r="G2" s="39"/>
    </row>
    <row r="3" spans="1:8" ht="21" customHeight="1" thickBot="1">
      <c r="A3" s="436" t="s">
        <v>6</v>
      </c>
      <c r="B3" s="436"/>
      <c r="C3" s="436"/>
      <c r="D3" s="39"/>
      <c r="E3" s="39"/>
      <c r="F3" s="39"/>
      <c r="G3" s="39"/>
      <c r="H3" s="39"/>
    </row>
    <row r="4" spans="1:3" ht="25.5" customHeight="1" thickTop="1">
      <c r="A4" s="23"/>
      <c r="B4" s="141" t="s">
        <v>329</v>
      </c>
      <c r="C4" s="23"/>
    </row>
    <row r="5" spans="1:3" s="22" customFormat="1" ht="59.25" customHeight="1" thickBot="1">
      <c r="A5" s="449" t="s">
        <v>621</v>
      </c>
      <c r="B5" s="449"/>
      <c r="C5" s="449"/>
    </row>
    <row r="6" spans="1:3" ht="25.5" customHeight="1" thickTop="1">
      <c r="A6" s="23"/>
      <c r="B6" s="96" t="s">
        <v>182</v>
      </c>
      <c r="C6" s="23"/>
    </row>
    <row r="7" spans="1:3" s="22" customFormat="1" ht="25.5" customHeight="1">
      <c r="A7" s="459" t="s">
        <v>193</v>
      </c>
      <c r="B7" s="460"/>
      <c r="C7" s="97">
        <f>IF('Cover Page'!A10="X",VLOOKUP('Cover Page'!$A$4&amp;"-MPCP",Counts!$C$4:$AH$414,Counts!$AH$418,FALSE),0)</f>
        <v>0</v>
      </c>
    </row>
    <row r="8" spans="1:3" s="22" customFormat="1" ht="25.5" customHeight="1">
      <c r="A8" s="455" t="s">
        <v>59</v>
      </c>
      <c r="B8" s="429"/>
      <c r="C8" s="41"/>
    </row>
    <row r="9" spans="1:3" s="22" customFormat="1" ht="25.5" customHeight="1" thickBot="1">
      <c r="A9" s="456" t="s">
        <v>64</v>
      </c>
      <c r="B9" s="457"/>
      <c r="C9" s="55"/>
    </row>
    <row r="10" spans="1:3" s="22" customFormat="1" ht="25.5" customHeight="1" thickBot="1">
      <c r="A10" s="461" t="s">
        <v>186</v>
      </c>
      <c r="B10" s="462"/>
      <c r="C10" s="88">
        <f>IF(ISBLANK(C7),"",IF(C7*0.15&gt;125,ROUND(C7*0.15,0),IF(C7&lt;125,C7,125)))</f>
        <v>0</v>
      </c>
    </row>
    <row r="11" spans="1:3" s="22" customFormat="1" ht="25.5" customHeight="1" thickBot="1">
      <c r="A11" s="452" t="s">
        <v>185</v>
      </c>
      <c r="B11" s="453"/>
      <c r="C11" s="47">
        <f>IF(ISBLANK('Cover Page'!$A$4),"",IF(C7&lt;126,C7,IF(C10*(1+C9)&gt;C7,C7,C10*(1+C9))))</f>
      </c>
    </row>
    <row r="12" spans="1:3" ht="25.5" customHeight="1" thickTop="1">
      <c r="A12" s="23"/>
      <c r="B12" s="100" t="s">
        <v>184</v>
      </c>
      <c r="C12" s="23"/>
    </row>
    <row r="13" spans="1:3" s="22" customFormat="1" ht="25.5" customHeight="1">
      <c r="A13" s="459" t="s">
        <v>195</v>
      </c>
      <c r="B13" s="460"/>
      <c r="C13" s="97">
        <f>IF('Cover Page'!A11="X",VLOOKUP('Cover Page'!$A$4&amp;"-RPCP",Counts!$C$4:$AH$414,Counts!$AH$418,FALSE),0)</f>
        <v>0</v>
      </c>
    </row>
    <row r="14" spans="1:3" s="22" customFormat="1" ht="25.5" customHeight="1">
      <c r="A14" s="455" t="s">
        <v>59</v>
      </c>
      <c r="B14" s="429"/>
      <c r="C14" s="41"/>
    </row>
    <row r="15" spans="1:3" s="22" customFormat="1" ht="25.5" customHeight="1" thickBot="1">
      <c r="A15" s="456" t="s">
        <v>64</v>
      </c>
      <c r="B15" s="457"/>
      <c r="C15" s="55"/>
    </row>
    <row r="16" spans="1:3" s="22" customFormat="1" ht="25.5" customHeight="1" thickBot="1">
      <c r="A16" s="461" t="s">
        <v>191</v>
      </c>
      <c r="B16" s="462"/>
      <c r="C16" s="88">
        <f>IF(ISBLANK(C13),"",IF(C13*0.15&gt;125,ROUND(C13*0.15,0),IF(C13&lt;125,C13,125)))</f>
        <v>0</v>
      </c>
    </row>
    <row r="17" spans="1:3" s="22" customFormat="1" ht="25.5" customHeight="1" thickBot="1">
      <c r="A17" s="452" t="s">
        <v>192</v>
      </c>
      <c r="B17" s="453"/>
      <c r="C17" s="47">
        <f>IF(ISBLANK('Cover Page'!$A$4),"",IF(C13&lt;126,C13,IF(C16*(1+C15)&gt;C13,C13,C16*(1+C15))))</f>
      </c>
    </row>
    <row r="18" spans="1:3" ht="25.5" customHeight="1" thickTop="1">
      <c r="A18" s="23"/>
      <c r="B18" s="100" t="s">
        <v>183</v>
      </c>
      <c r="C18" s="23"/>
    </row>
    <row r="19" spans="1:3" s="22" customFormat="1" ht="25.5" customHeight="1">
      <c r="A19" s="459" t="s">
        <v>194</v>
      </c>
      <c r="B19" s="460"/>
      <c r="C19" s="97">
        <f>IF('Cover Page'!A12="X",VLOOKUP('Cover Page'!$A$4&amp;"-WPCP",Counts!$C$4:$AH$414,Counts!$AH$418,FALSE),0)</f>
        <v>0</v>
      </c>
    </row>
    <row r="20" spans="1:3" s="22" customFormat="1" ht="25.5" customHeight="1">
      <c r="A20" s="455" t="s">
        <v>59</v>
      </c>
      <c r="B20" s="429"/>
      <c r="C20" s="41"/>
    </row>
    <row r="21" spans="1:3" s="22" customFormat="1" ht="25.5" customHeight="1" thickBot="1">
      <c r="A21" s="456" t="s">
        <v>64</v>
      </c>
      <c r="B21" s="457"/>
      <c r="C21" s="55"/>
    </row>
    <row r="22" spans="1:3" s="22" customFormat="1" ht="25.5" customHeight="1" thickBot="1">
      <c r="A22" s="461" t="s">
        <v>189</v>
      </c>
      <c r="B22" s="462"/>
      <c r="C22" s="88">
        <f>IF(ISBLANK(C19),"",IF(C19*0.15&gt;125,ROUND(C19*0.15,0),IF(C19&lt;125,C19,125)))</f>
        <v>0</v>
      </c>
    </row>
    <row r="23" spans="1:3" s="22" customFormat="1" ht="25.5" customHeight="1" thickBot="1">
      <c r="A23" s="452" t="s">
        <v>190</v>
      </c>
      <c r="B23" s="453"/>
      <c r="C23" s="47">
        <f>IF(ISBLANK('Cover Page'!$A$4),"",IF(C19&lt;126,C19,IF(C22*(1+C21)&gt;C19,C19,C22*(1+C21))))</f>
      </c>
    </row>
    <row r="24" ht="10.5" thickTop="1"/>
  </sheetData>
  <sheetProtection password="F443" sheet="1"/>
  <mergeCells count="19">
    <mergeCell ref="A13:B13"/>
    <mergeCell ref="A22:B22"/>
    <mergeCell ref="A23:B23"/>
    <mergeCell ref="A14:B14"/>
    <mergeCell ref="A15:B15"/>
    <mergeCell ref="A16:B16"/>
    <mergeCell ref="A17:B17"/>
    <mergeCell ref="A20:B20"/>
    <mergeCell ref="A21:B21"/>
    <mergeCell ref="A19:B19"/>
    <mergeCell ref="A11:B11"/>
    <mergeCell ref="A2:C2"/>
    <mergeCell ref="A3:C3"/>
    <mergeCell ref="A8:B8"/>
    <mergeCell ref="A9:B9"/>
    <mergeCell ref="A1:C1"/>
    <mergeCell ref="A5:C5"/>
    <mergeCell ref="A7:B7"/>
    <mergeCell ref="A10:B10"/>
  </mergeCells>
  <printOptions/>
  <pageMargins left="0.38" right="0.29" top="0.75" bottom="0.75" header="0.3" footer="0.3"/>
  <pageSetup horizontalDpi="600" verticalDpi="600" orientation="portrait" r:id="rId1"/>
  <headerFooter>
    <oddHeader>&amp;L&amp;"Arial,Regular"&amp;8Page 4&amp;R&amp;"Arial,Regular"&amp;8PI-PCP-103 (35-25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K104"/>
  <sheetViews>
    <sheetView showGridLines="0" zoomScalePageLayoutView="0" workbookViewId="0" topLeftCell="A1">
      <pane xSplit="5" ySplit="7" topLeftCell="F8" activePane="bottomRight" state="frozen"/>
      <selection pane="topLeft" activeCell="J4" sqref="J4"/>
      <selection pane="topRight" activeCell="J4" sqref="J4"/>
      <selection pane="bottomLeft" activeCell="J4" sqref="J4"/>
      <selection pane="bottomRight" activeCell="A1" sqref="A1:H1"/>
    </sheetView>
  </sheetViews>
  <sheetFormatPr defaultColWidth="9.140625" defaultRowHeight="15"/>
  <cols>
    <col min="1" max="1" width="4.57421875" style="9" customWidth="1"/>
    <col min="2" max="2" width="7.7109375" style="9" customWidth="1"/>
    <col min="3" max="3" width="2.8515625" style="9" customWidth="1"/>
    <col min="4" max="4" width="9.140625" style="9" customWidth="1"/>
    <col min="5" max="5" width="17.7109375" style="9" customWidth="1"/>
    <col min="6" max="6" width="19.7109375" style="9" customWidth="1"/>
    <col min="7" max="7" width="40.7109375" style="9" customWidth="1"/>
    <col min="8" max="8" width="12.140625" style="9" customWidth="1"/>
    <col min="9" max="9" width="1.57421875" style="9" customWidth="1"/>
    <col min="10" max="15" width="9.140625" style="9" customWidth="1"/>
    <col min="16" max="16" width="8.8515625" style="9" bestFit="1" customWidth="1"/>
    <col min="17" max="20" width="8.8515625" style="9" customWidth="1"/>
    <col min="21" max="22" width="9.8515625" style="9" bestFit="1" customWidth="1"/>
    <col min="23" max="24" width="9.8515625" style="9" customWidth="1"/>
    <col min="25" max="28" width="9.8515625" style="9" bestFit="1" customWidth="1"/>
    <col min="29" max="30" width="9.8515625" style="9" customWidth="1"/>
    <col min="31" max="31" width="9.8515625" style="9" bestFit="1" customWidth="1"/>
    <col min="32" max="35" width="9.8515625" style="9" customWidth="1"/>
    <col min="36" max="36" width="1.8515625" style="9" customWidth="1"/>
    <col min="37" max="37" width="9.140625" style="9" hidden="1" customWidth="1"/>
    <col min="38" max="38" width="9.140625" style="9" customWidth="1"/>
    <col min="39" max="16384" width="9.140625" style="9" customWidth="1"/>
  </cols>
  <sheetData>
    <row r="1" spans="1:9" ht="14.25" customHeight="1">
      <c r="A1" s="434" t="str">
        <f>IF(ISBLANK('Cover Page'!A4),"School Name",'Cover Page'!A4)</f>
        <v>School Name</v>
      </c>
      <c r="B1" s="434"/>
      <c r="C1" s="434"/>
      <c r="D1" s="434"/>
      <c r="E1" s="434"/>
      <c r="F1" s="434"/>
      <c r="G1" s="434"/>
      <c r="H1" s="434"/>
      <c r="I1" s="57"/>
    </row>
    <row r="2" spans="1:10" ht="14.25" customHeight="1">
      <c r="A2" s="435" t="str">
        <f>'Error Report'!A3</f>
        <v>September 20, 2019 Choice Enrollment Audit</v>
      </c>
      <c r="B2" s="435"/>
      <c r="C2" s="435"/>
      <c r="D2" s="435"/>
      <c r="E2" s="435"/>
      <c r="F2" s="435"/>
      <c r="G2" s="435"/>
      <c r="H2" s="435"/>
      <c r="I2" s="139"/>
      <c r="J2" s="139"/>
    </row>
    <row r="3" spans="1:11" ht="14.25" customHeight="1">
      <c r="A3" s="475" t="s">
        <v>414</v>
      </c>
      <c r="B3" s="475"/>
      <c r="C3" s="475"/>
      <c r="D3" s="475"/>
      <c r="E3" s="475"/>
      <c r="F3" s="475"/>
      <c r="G3" s="475"/>
      <c r="H3" s="475"/>
      <c r="I3" s="58"/>
      <c r="K3" s="6"/>
    </row>
    <row r="4" spans="1:9" ht="92.25" customHeight="1" thickBot="1">
      <c r="A4" s="476" t="s">
        <v>549</v>
      </c>
      <c r="B4" s="476"/>
      <c r="C4" s="476"/>
      <c r="D4" s="476"/>
      <c r="E4" s="476"/>
      <c r="F4" s="476"/>
      <c r="G4" s="476"/>
      <c r="H4" s="476"/>
      <c r="I4" s="8"/>
    </row>
    <row r="5" spans="1:35" s="42" customFormat="1" ht="31.5" customHeight="1" thickBot="1" thickTop="1">
      <c r="A5" s="477" t="s">
        <v>58</v>
      </c>
      <c r="B5" s="477"/>
      <c r="C5" s="477"/>
      <c r="D5" s="477"/>
      <c r="E5" s="477"/>
      <c r="F5" s="477"/>
      <c r="G5" s="478"/>
      <c r="H5" s="122"/>
      <c r="J5" s="138" t="s">
        <v>47</v>
      </c>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40"/>
    </row>
    <row r="6" spans="1:35" ht="15" customHeight="1" thickTop="1">
      <c r="A6" s="236"/>
      <c r="B6" s="472" t="s">
        <v>434</v>
      </c>
      <c r="C6" s="473"/>
      <c r="D6" s="473"/>
      <c r="E6" s="473"/>
      <c r="F6" s="474"/>
      <c r="G6" s="469" t="s">
        <v>49</v>
      </c>
      <c r="H6" s="121"/>
      <c r="I6" s="56"/>
      <c r="J6" s="464" t="s">
        <v>89</v>
      </c>
      <c r="K6" s="465"/>
      <c r="L6" s="465"/>
      <c r="M6" s="465"/>
      <c r="N6" s="465"/>
      <c r="O6" s="466"/>
      <c r="P6" s="463" t="s">
        <v>13</v>
      </c>
      <c r="Q6" s="454"/>
      <c r="R6" s="454"/>
      <c r="S6" s="454"/>
      <c r="T6" s="454"/>
      <c r="U6" s="454"/>
      <c r="V6" s="454"/>
      <c r="W6" s="464" t="s">
        <v>34</v>
      </c>
      <c r="X6" s="465"/>
      <c r="Y6" s="465"/>
      <c r="Z6" s="465"/>
      <c r="AA6" s="465"/>
      <c r="AB6" s="465"/>
      <c r="AC6" s="465"/>
      <c r="AD6" s="466"/>
      <c r="AE6" s="463" t="s">
        <v>35</v>
      </c>
      <c r="AF6" s="454"/>
      <c r="AG6" s="454"/>
      <c r="AH6" s="454"/>
      <c r="AI6" s="454"/>
    </row>
    <row r="7" spans="1:37" ht="24" customHeight="1">
      <c r="A7" s="237" t="s">
        <v>61</v>
      </c>
      <c r="B7" s="175" t="s">
        <v>497</v>
      </c>
      <c r="C7" s="177" t="s">
        <v>57</v>
      </c>
      <c r="D7" s="176" t="s">
        <v>60</v>
      </c>
      <c r="E7" s="178" t="s">
        <v>396</v>
      </c>
      <c r="F7" s="178" t="s">
        <v>423</v>
      </c>
      <c r="G7" s="433"/>
      <c r="H7" s="144" t="s">
        <v>204</v>
      </c>
      <c r="I7" s="146"/>
      <c r="J7" s="12" t="s">
        <v>10</v>
      </c>
      <c r="K7" s="11" t="s">
        <v>11</v>
      </c>
      <c r="L7" s="11" t="s">
        <v>12</v>
      </c>
      <c r="M7" s="11" t="s">
        <v>14</v>
      </c>
      <c r="N7" s="136" t="s">
        <v>15</v>
      </c>
      <c r="O7" s="13" t="s">
        <v>16</v>
      </c>
      <c r="P7" s="12" t="s">
        <v>17</v>
      </c>
      <c r="Q7" s="11" t="s">
        <v>18</v>
      </c>
      <c r="R7" s="11" t="s">
        <v>19</v>
      </c>
      <c r="S7" s="11" t="s">
        <v>20</v>
      </c>
      <c r="T7" s="135" t="s">
        <v>21</v>
      </c>
      <c r="U7" s="95" t="s">
        <v>22</v>
      </c>
      <c r="V7" s="94" t="s">
        <v>23</v>
      </c>
      <c r="W7" s="12" t="s">
        <v>24</v>
      </c>
      <c r="X7" s="11" t="s">
        <v>25</v>
      </c>
      <c r="Y7" s="11" t="s">
        <v>26</v>
      </c>
      <c r="Z7" s="11" t="s">
        <v>27</v>
      </c>
      <c r="AA7" s="11" t="s">
        <v>28</v>
      </c>
      <c r="AB7" s="11" t="s">
        <v>29</v>
      </c>
      <c r="AC7" s="11" t="s">
        <v>30</v>
      </c>
      <c r="AD7" s="13" t="s">
        <v>31</v>
      </c>
      <c r="AE7" s="11" t="s">
        <v>32</v>
      </c>
      <c r="AF7" s="11" t="s">
        <v>33</v>
      </c>
      <c r="AG7" s="11" t="s">
        <v>36</v>
      </c>
      <c r="AH7" s="94" t="s">
        <v>37</v>
      </c>
      <c r="AI7" s="134" t="s">
        <v>304</v>
      </c>
      <c r="AK7" s="39" t="s">
        <v>367</v>
      </c>
    </row>
    <row r="8" spans="1:37" s="31" customFormat="1" ht="30" customHeight="1">
      <c r="A8" s="24">
        <v>1</v>
      </c>
      <c r="B8" s="151"/>
      <c r="C8" s="151"/>
      <c r="D8" s="28"/>
      <c r="E8" s="29"/>
      <c r="F8" s="29"/>
      <c r="G8" s="30">
        <f>IF(J8="X",'Ineligibility Reasons'!$A$4,"")&amp;IF(K8="X",'Ineligibility Reasons'!$A$5,"")&amp;IF(L8="X",'Ineligibility Reasons'!$A$6,"")&amp;IF(M8="X",'Ineligibility Reasons'!$A$7,"")&amp;IF(N8="X",'Ineligibility Reasons'!$A$8,"")&amp;IF(O8="X",'Ineligibility Reasons'!$A$9,"")&amp;IF(P8="X",'Ineligibility Reasons'!$A$11,"")&amp;IF(Q8="X",'Ineligibility Reasons'!$A$12,"")&amp;IF(R8="X",'Ineligibility Reasons'!$A$13,"")&amp;IF(S8="X",'Ineligibility Reasons'!$A$14,"")&amp;IF(T8="X",'Ineligibility Reasons'!$A$15,"")&amp;IF(U8="X",'Ineligibility Reasons'!$A$16,"")&amp;IF(V8="X",'Ineligibility Reasons'!$A$17,"")&amp;IF(W8="X",'Ineligibility Reasons'!$A$19,"")&amp;IF(X8="X",'Ineligibility Reasons'!$A$20,"")&amp;IF(Y8="X",'Ineligibility Reasons'!$A$21,"")&amp;IF(Z8="X",'Ineligibility Reasons'!$A$22,"")&amp;IF(AA8="X",'Ineligibility Reasons'!$A$23,"")&amp;IF(AB8="X",'Ineligibility Reasons'!$A$24,"")&amp;IF(AC8="X",'Ineligibility Reasons'!$A$25,"")&amp;IF(AD8="X",'Ineligibility Reasons'!$A$26,"")&amp;IF(AE8="X",'Ineligibility Reasons'!$A$28,"")&amp;IF(AF8="X",'Ineligibility Reasons'!$A$29,"")&amp;IF(AG8="X",'Ineligibility Reasons'!$A$30,"")&amp;IF(AH8="X",'Ineligibility Reasons'!$A$31,"")&amp;IF('Schedule 2'!AI8="X",'Ineligibility Reasons'!$A$32,"")</f>
      </c>
      <c r="H8" s="145"/>
      <c r="I8" s="147"/>
      <c r="J8" s="53"/>
      <c r="K8" s="52"/>
      <c r="L8" s="59"/>
      <c r="M8" s="52"/>
      <c r="N8" s="59"/>
      <c r="O8" s="54"/>
      <c r="P8" s="53"/>
      <c r="Q8" s="52"/>
      <c r="R8" s="52"/>
      <c r="S8" s="52"/>
      <c r="T8" s="52"/>
      <c r="U8" s="52"/>
      <c r="V8" s="59"/>
      <c r="W8" s="53"/>
      <c r="X8" s="52"/>
      <c r="Y8" s="52"/>
      <c r="Z8" s="52"/>
      <c r="AA8" s="52"/>
      <c r="AB8" s="52"/>
      <c r="AC8" s="52"/>
      <c r="AD8" s="54"/>
      <c r="AE8" s="52"/>
      <c r="AF8" s="52"/>
      <c r="AG8" s="52"/>
      <c r="AH8" s="59"/>
      <c r="AI8" s="59"/>
      <c r="AK8" s="31">
        <f aca="true" t="shared" si="0" ref="AK8:AK42">IF($B8="","",VLOOKUP($B8,$E$51:$G$67,2,0))</f>
      </c>
    </row>
    <row r="9" spans="1:37" s="31" customFormat="1" ht="30" customHeight="1">
      <c r="A9" s="24">
        <v>2</v>
      </c>
      <c r="B9" s="151"/>
      <c r="C9" s="27"/>
      <c r="D9" s="28"/>
      <c r="E9" s="29"/>
      <c r="F9" s="29"/>
      <c r="G9" s="30">
        <f>IF(J9="X",'Ineligibility Reasons'!$A$4,"")&amp;IF(K9="X",'Ineligibility Reasons'!$A$5,"")&amp;IF(L9="X",'Ineligibility Reasons'!$A$6,"")&amp;IF(M9="X",'Ineligibility Reasons'!$A$7,"")&amp;IF(N9="X",'Ineligibility Reasons'!$A$8,"")&amp;IF(O9="X",'Ineligibility Reasons'!$A$9,"")&amp;IF(P9="X",'Ineligibility Reasons'!$A$11,"")&amp;IF(Q9="X",'Ineligibility Reasons'!$A$12,"")&amp;IF(R9="X",'Ineligibility Reasons'!$A$13,"")&amp;IF(S9="X",'Ineligibility Reasons'!$A$14,"")&amp;IF(T9="X",'Ineligibility Reasons'!$A$15,"")&amp;IF(U9="X",'Ineligibility Reasons'!$A$16,"")&amp;IF(V9="X",'Ineligibility Reasons'!$A$17,"")&amp;IF(W9="X",'Ineligibility Reasons'!$A$19,"")&amp;IF(X9="X",'Ineligibility Reasons'!$A$20,"")&amp;IF(Y9="X",'Ineligibility Reasons'!$A$21,"")&amp;IF(Z9="X",'Ineligibility Reasons'!$A$22,"")&amp;IF(AA9="X",'Ineligibility Reasons'!$A$23,"")&amp;IF(AB9="X",'Ineligibility Reasons'!$A$24,"")&amp;IF(AC9="X",'Ineligibility Reasons'!$A$25,"")&amp;IF(AD9="X",'Ineligibility Reasons'!$A$26,"")&amp;IF(AE9="X",'Ineligibility Reasons'!$A$28,"")&amp;IF(AF9="X",'Ineligibility Reasons'!$A$29,"")&amp;IF(AG9="X",'Ineligibility Reasons'!$A$30,"")&amp;IF(AH9="X",'Ineligibility Reasons'!$A$31,"")&amp;IF('Schedule 2'!AI9="X",'Ineligibility Reasons'!$A$32,"")</f>
      </c>
      <c r="H9" s="145"/>
      <c r="I9" s="147"/>
      <c r="J9" s="53"/>
      <c r="K9" s="52"/>
      <c r="L9" s="59"/>
      <c r="M9" s="52"/>
      <c r="N9" s="59"/>
      <c r="O9" s="54"/>
      <c r="P9" s="53"/>
      <c r="Q9" s="52"/>
      <c r="R9" s="52"/>
      <c r="S9" s="52"/>
      <c r="T9" s="52"/>
      <c r="U9" s="52"/>
      <c r="V9" s="59"/>
      <c r="W9" s="53"/>
      <c r="X9" s="52"/>
      <c r="Y9" s="52"/>
      <c r="Z9" s="52"/>
      <c r="AA9" s="52"/>
      <c r="AB9" s="52"/>
      <c r="AC9" s="52"/>
      <c r="AD9" s="54"/>
      <c r="AE9" s="52"/>
      <c r="AF9" s="52"/>
      <c r="AG9" s="52"/>
      <c r="AH9" s="59"/>
      <c r="AI9" s="59"/>
      <c r="AK9" s="31">
        <f t="shared" si="0"/>
      </c>
    </row>
    <row r="10" spans="1:37" s="31" customFormat="1" ht="30" customHeight="1">
      <c r="A10" s="24">
        <v>3</v>
      </c>
      <c r="B10" s="151"/>
      <c r="C10" s="151"/>
      <c r="D10" s="28"/>
      <c r="E10" s="29"/>
      <c r="F10" s="29"/>
      <c r="G10" s="30">
        <f>IF(J10="X",'Ineligibility Reasons'!$A$4,"")&amp;IF(K10="X",'Ineligibility Reasons'!$A$5,"")&amp;IF(L10="X",'Ineligibility Reasons'!$A$6,"")&amp;IF(M10="X",'Ineligibility Reasons'!$A$7,"")&amp;IF(N10="X",'Ineligibility Reasons'!$A$8,"")&amp;IF(O10="X",'Ineligibility Reasons'!$A$9,"")&amp;IF(P10="X",'Ineligibility Reasons'!$A$11,"")&amp;IF(Q10="X",'Ineligibility Reasons'!$A$12,"")&amp;IF(R10="X",'Ineligibility Reasons'!$A$13,"")&amp;IF(S10="X",'Ineligibility Reasons'!$A$14,"")&amp;IF(T10="X",'Ineligibility Reasons'!$A$15,"")&amp;IF(U10="X",'Ineligibility Reasons'!$A$16,"")&amp;IF(V10="X",'Ineligibility Reasons'!$A$17,"")&amp;IF(W10="X",'Ineligibility Reasons'!$A$19,"")&amp;IF(X10="X",'Ineligibility Reasons'!$A$20,"")&amp;IF(Y10="X",'Ineligibility Reasons'!$A$21,"")&amp;IF(Z10="X",'Ineligibility Reasons'!$A$22,"")&amp;IF(AA10="X",'Ineligibility Reasons'!$A$23,"")&amp;IF(AB10="X",'Ineligibility Reasons'!$A$24,"")&amp;IF(AC10="X",'Ineligibility Reasons'!$A$25,"")&amp;IF(AD10="X",'Ineligibility Reasons'!$A$26,"")&amp;IF(AE10="X",'Ineligibility Reasons'!$A$28,"")&amp;IF(AF10="X",'Ineligibility Reasons'!$A$29,"")&amp;IF(AG10="X",'Ineligibility Reasons'!$A$30,"")&amp;IF(AH10="X",'Ineligibility Reasons'!$A$31,"")&amp;IF('Schedule 2'!AI10="X",'Ineligibility Reasons'!$A$32,"")</f>
      </c>
      <c r="H10" s="145"/>
      <c r="I10" s="147"/>
      <c r="J10" s="53"/>
      <c r="K10" s="52"/>
      <c r="L10" s="59"/>
      <c r="M10" s="52"/>
      <c r="N10" s="59"/>
      <c r="O10" s="54"/>
      <c r="P10" s="53"/>
      <c r="Q10" s="52"/>
      <c r="R10" s="52"/>
      <c r="S10" s="52"/>
      <c r="T10" s="52"/>
      <c r="U10" s="52"/>
      <c r="V10" s="59"/>
      <c r="W10" s="53"/>
      <c r="X10" s="52"/>
      <c r="Y10" s="52"/>
      <c r="Z10" s="52"/>
      <c r="AA10" s="52"/>
      <c r="AB10" s="52"/>
      <c r="AC10" s="52"/>
      <c r="AD10" s="54"/>
      <c r="AE10" s="52"/>
      <c r="AF10" s="52"/>
      <c r="AG10" s="52"/>
      <c r="AH10" s="59"/>
      <c r="AI10" s="59"/>
      <c r="AK10" s="31">
        <f t="shared" si="0"/>
      </c>
    </row>
    <row r="11" spans="1:37" s="31" customFormat="1" ht="30" customHeight="1">
      <c r="A11" s="24">
        <v>4</v>
      </c>
      <c r="B11" s="151"/>
      <c r="C11" s="151"/>
      <c r="D11" s="28"/>
      <c r="E11" s="29"/>
      <c r="F11" s="29"/>
      <c r="G11" s="30">
        <f>IF(J11="X",'Ineligibility Reasons'!$A$4,"")&amp;IF(K11="X",'Ineligibility Reasons'!$A$5,"")&amp;IF(L11="X",'Ineligibility Reasons'!$A$6,"")&amp;IF(M11="X",'Ineligibility Reasons'!$A$7,"")&amp;IF(N11="X",'Ineligibility Reasons'!$A$8,"")&amp;IF(O11="X",'Ineligibility Reasons'!$A$9,"")&amp;IF(P11="X",'Ineligibility Reasons'!$A$11,"")&amp;IF(Q11="X",'Ineligibility Reasons'!$A$12,"")&amp;IF(R11="X",'Ineligibility Reasons'!$A$13,"")&amp;IF(S11="X",'Ineligibility Reasons'!$A$14,"")&amp;IF(T11="X",'Ineligibility Reasons'!$A$15,"")&amp;IF(U11="X",'Ineligibility Reasons'!$A$16,"")&amp;IF(V11="X",'Ineligibility Reasons'!$A$17,"")&amp;IF(W11="X",'Ineligibility Reasons'!$A$19,"")&amp;IF(X11="X",'Ineligibility Reasons'!$A$20,"")&amp;IF(Y11="X",'Ineligibility Reasons'!$A$21,"")&amp;IF(Z11="X",'Ineligibility Reasons'!$A$22,"")&amp;IF(AA11="X",'Ineligibility Reasons'!$A$23,"")&amp;IF(AB11="X",'Ineligibility Reasons'!$A$24,"")&amp;IF(AC11="X",'Ineligibility Reasons'!$A$25,"")&amp;IF(AD11="X",'Ineligibility Reasons'!$A$26,"")&amp;IF(AE11="X",'Ineligibility Reasons'!$A$28,"")&amp;IF(AF11="X",'Ineligibility Reasons'!$A$29,"")&amp;IF(AG11="X",'Ineligibility Reasons'!$A$30,"")&amp;IF(AH11="X",'Ineligibility Reasons'!$A$31,"")&amp;IF('Schedule 2'!AI11="X",'Ineligibility Reasons'!$A$32,"")</f>
      </c>
      <c r="H11" s="145"/>
      <c r="I11" s="147"/>
      <c r="J11" s="53"/>
      <c r="K11" s="52"/>
      <c r="L11" s="59"/>
      <c r="M11" s="52"/>
      <c r="N11" s="59"/>
      <c r="O11" s="54"/>
      <c r="P11" s="53"/>
      <c r="Q11" s="52"/>
      <c r="R11" s="52"/>
      <c r="S11" s="52"/>
      <c r="T11" s="52"/>
      <c r="U11" s="52"/>
      <c r="V11" s="59"/>
      <c r="W11" s="53"/>
      <c r="X11" s="52"/>
      <c r="Y11" s="52"/>
      <c r="Z11" s="52"/>
      <c r="AA11" s="52"/>
      <c r="AB11" s="52"/>
      <c r="AC11" s="52"/>
      <c r="AD11" s="54"/>
      <c r="AE11" s="52"/>
      <c r="AF11" s="52"/>
      <c r="AG11" s="52"/>
      <c r="AH11" s="59"/>
      <c r="AI11" s="59"/>
      <c r="AK11" s="31">
        <f t="shared" si="0"/>
      </c>
    </row>
    <row r="12" spans="1:37" s="31" customFormat="1" ht="30" customHeight="1">
      <c r="A12" s="24">
        <v>5</v>
      </c>
      <c r="B12" s="151"/>
      <c r="C12" s="27"/>
      <c r="D12" s="28"/>
      <c r="E12" s="29"/>
      <c r="F12" s="29"/>
      <c r="G12" s="30">
        <f>IF(J12="X",'Ineligibility Reasons'!$A$4,"")&amp;IF(K12="X",'Ineligibility Reasons'!$A$5,"")&amp;IF(L12="X",'Ineligibility Reasons'!$A$6,"")&amp;IF(M12="X",'Ineligibility Reasons'!$A$7,"")&amp;IF(N12="X",'Ineligibility Reasons'!$A$8,"")&amp;IF(O12="X",'Ineligibility Reasons'!$A$9,"")&amp;IF(P12="X",'Ineligibility Reasons'!$A$11,"")&amp;IF(Q12="X",'Ineligibility Reasons'!$A$12,"")&amp;IF(R12="X",'Ineligibility Reasons'!$A$13,"")&amp;IF(S12="X",'Ineligibility Reasons'!$A$14,"")&amp;IF(T12="X",'Ineligibility Reasons'!$A$15,"")&amp;IF(U12="X",'Ineligibility Reasons'!$A$16,"")&amp;IF(V12="X",'Ineligibility Reasons'!$A$17,"")&amp;IF(W12="X",'Ineligibility Reasons'!$A$19,"")&amp;IF(X12="X",'Ineligibility Reasons'!$A$20,"")&amp;IF(Y12="X",'Ineligibility Reasons'!$A$21,"")&amp;IF(Z12="X",'Ineligibility Reasons'!$A$22,"")&amp;IF(AA12="X",'Ineligibility Reasons'!$A$23,"")&amp;IF(AB12="X",'Ineligibility Reasons'!$A$24,"")&amp;IF(AC12="X",'Ineligibility Reasons'!$A$25,"")&amp;IF(AD12="X",'Ineligibility Reasons'!$A$26,"")&amp;IF(AE12="X",'Ineligibility Reasons'!$A$28,"")&amp;IF(AF12="X",'Ineligibility Reasons'!$A$29,"")&amp;IF(AG12="X",'Ineligibility Reasons'!$A$30,"")&amp;IF(AH12="X",'Ineligibility Reasons'!$A$31,"")&amp;IF('Schedule 2'!AI12="X",'Ineligibility Reasons'!$A$32,"")</f>
      </c>
      <c r="H12" s="145"/>
      <c r="I12" s="147"/>
      <c r="J12" s="53"/>
      <c r="K12" s="52"/>
      <c r="L12" s="59"/>
      <c r="M12" s="52"/>
      <c r="N12" s="59"/>
      <c r="O12" s="54"/>
      <c r="P12" s="53"/>
      <c r="Q12" s="52"/>
      <c r="R12" s="52"/>
      <c r="S12" s="52"/>
      <c r="T12" s="52"/>
      <c r="U12" s="52"/>
      <c r="V12" s="59"/>
      <c r="W12" s="53"/>
      <c r="X12" s="52"/>
      <c r="Y12" s="52"/>
      <c r="Z12" s="52"/>
      <c r="AA12" s="52"/>
      <c r="AB12" s="52"/>
      <c r="AC12" s="52"/>
      <c r="AD12" s="54"/>
      <c r="AE12" s="52"/>
      <c r="AF12" s="52"/>
      <c r="AG12" s="52"/>
      <c r="AH12" s="59"/>
      <c r="AI12" s="59"/>
      <c r="AK12" s="31">
        <f t="shared" si="0"/>
      </c>
    </row>
    <row r="13" spans="1:37" s="31" customFormat="1" ht="30" customHeight="1">
      <c r="A13" s="24">
        <v>6</v>
      </c>
      <c r="B13" s="151"/>
      <c r="C13" s="27"/>
      <c r="D13" s="28"/>
      <c r="E13" s="29"/>
      <c r="F13" s="29"/>
      <c r="G13" s="30">
        <f>IF(J13="X",'Ineligibility Reasons'!$A$4,"")&amp;IF(K13="X",'Ineligibility Reasons'!$A$5,"")&amp;IF(L13="X",'Ineligibility Reasons'!$A$6,"")&amp;IF(M13="X",'Ineligibility Reasons'!$A$7,"")&amp;IF(N13="X",'Ineligibility Reasons'!$A$8,"")&amp;IF(O13="X",'Ineligibility Reasons'!$A$9,"")&amp;IF(P13="X",'Ineligibility Reasons'!$A$11,"")&amp;IF(Q13="X",'Ineligibility Reasons'!$A$12,"")&amp;IF(R13="X",'Ineligibility Reasons'!$A$13,"")&amp;IF(S13="X",'Ineligibility Reasons'!$A$14,"")&amp;IF(T13="X",'Ineligibility Reasons'!$A$15,"")&amp;IF(U13="X",'Ineligibility Reasons'!$A$16,"")&amp;IF(V13="X",'Ineligibility Reasons'!$A$17,"")&amp;IF(W13="X",'Ineligibility Reasons'!$A$19,"")&amp;IF(X13="X",'Ineligibility Reasons'!$A$20,"")&amp;IF(Y13="X",'Ineligibility Reasons'!$A$21,"")&amp;IF(Z13="X",'Ineligibility Reasons'!$A$22,"")&amp;IF(AA13="X",'Ineligibility Reasons'!$A$23,"")&amp;IF(AB13="X",'Ineligibility Reasons'!$A$24,"")&amp;IF(AC13="X",'Ineligibility Reasons'!$A$25,"")&amp;IF(AD13="X",'Ineligibility Reasons'!$A$26,"")&amp;IF(AE13="X",'Ineligibility Reasons'!$A$28,"")&amp;IF(AF13="X",'Ineligibility Reasons'!$A$29,"")&amp;IF(AG13="X",'Ineligibility Reasons'!$A$30,"")&amp;IF(AH13="X",'Ineligibility Reasons'!$A$31,"")&amp;IF('Schedule 2'!AI13="X",'Ineligibility Reasons'!$A$32,"")</f>
      </c>
      <c r="H13" s="145"/>
      <c r="I13" s="147"/>
      <c r="J13" s="53"/>
      <c r="K13" s="52"/>
      <c r="L13" s="59"/>
      <c r="M13" s="52"/>
      <c r="N13" s="59"/>
      <c r="O13" s="54"/>
      <c r="P13" s="53"/>
      <c r="Q13" s="52"/>
      <c r="R13" s="52"/>
      <c r="S13" s="52"/>
      <c r="T13" s="52"/>
      <c r="U13" s="52"/>
      <c r="V13" s="59"/>
      <c r="W13" s="53"/>
      <c r="X13" s="52"/>
      <c r="Y13" s="52"/>
      <c r="Z13" s="52"/>
      <c r="AA13" s="52"/>
      <c r="AB13" s="52"/>
      <c r="AC13" s="52"/>
      <c r="AD13" s="54"/>
      <c r="AE13" s="52"/>
      <c r="AF13" s="52"/>
      <c r="AG13" s="52"/>
      <c r="AH13" s="59"/>
      <c r="AI13" s="59"/>
      <c r="AK13" s="31">
        <f t="shared" si="0"/>
      </c>
    </row>
    <row r="14" spans="1:37" s="31" customFormat="1" ht="30" customHeight="1">
      <c r="A14" s="24">
        <v>7</v>
      </c>
      <c r="B14" s="151"/>
      <c r="C14" s="27"/>
      <c r="D14" s="28"/>
      <c r="E14" s="29"/>
      <c r="F14" s="29"/>
      <c r="G14" s="30">
        <f>IF(J14="X",'Ineligibility Reasons'!$A$4,"")&amp;IF(K14="X",'Ineligibility Reasons'!$A$5,"")&amp;IF(L14="X",'Ineligibility Reasons'!$A$6,"")&amp;IF(M14="X",'Ineligibility Reasons'!$A$7,"")&amp;IF(N14="X",'Ineligibility Reasons'!$A$8,"")&amp;IF(O14="X",'Ineligibility Reasons'!$A$9,"")&amp;IF(P14="X",'Ineligibility Reasons'!$A$11,"")&amp;IF(Q14="X",'Ineligibility Reasons'!$A$12,"")&amp;IF(R14="X",'Ineligibility Reasons'!$A$13,"")&amp;IF(S14="X",'Ineligibility Reasons'!$A$14,"")&amp;IF(T14="X",'Ineligibility Reasons'!$A$15,"")&amp;IF(U14="X",'Ineligibility Reasons'!$A$16,"")&amp;IF(V14="X",'Ineligibility Reasons'!$A$17,"")&amp;IF(W14="X",'Ineligibility Reasons'!$A$19,"")&amp;IF(X14="X",'Ineligibility Reasons'!$A$20,"")&amp;IF(Y14="X",'Ineligibility Reasons'!$A$21,"")&amp;IF(Z14="X",'Ineligibility Reasons'!$A$22,"")&amp;IF(AA14="X",'Ineligibility Reasons'!$A$23,"")&amp;IF(AB14="X",'Ineligibility Reasons'!$A$24,"")&amp;IF(AC14="X",'Ineligibility Reasons'!$A$25,"")&amp;IF(AD14="X",'Ineligibility Reasons'!$A$26,"")&amp;IF(AE14="X",'Ineligibility Reasons'!$A$28,"")&amp;IF(AF14="X",'Ineligibility Reasons'!$A$29,"")&amp;IF(AG14="X",'Ineligibility Reasons'!$A$30,"")&amp;IF(AH14="X",'Ineligibility Reasons'!$A$31,"")&amp;IF('Schedule 2'!AI14="X",'Ineligibility Reasons'!$A$32,"")</f>
      </c>
      <c r="H14" s="145"/>
      <c r="I14" s="147"/>
      <c r="J14" s="53"/>
      <c r="K14" s="52"/>
      <c r="L14" s="59"/>
      <c r="M14" s="52"/>
      <c r="N14" s="59"/>
      <c r="O14" s="54"/>
      <c r="P14" s="53"/>
      <c r="Q14" s="52"/>
      <c r="R14" s="52"/>
      <c r="S14" s="52"/>
      <c r="T14" s="52"/>
      <c r="U14" s="52"/>
      <c r="V14" s="59"/>
      <c r="W14" s="53"/>
      <c r="X14" s="52"/>
      <c r="Y14" s="52"/>
      <c r="Z14" s="52"/>
      <c r="AA14" s="52"/>
      <c r="AB14" s="52"/>
      <c r="AC14" s="52"/>
      <c r="AD14" s="54"/>
      <c r="AE14" s="52"/>
      <c r="AF14" s="52"/>
      <c r="AG14" s="52"/>
      <c r="AH14" s="59"/>
      <c r="AI14" s="59"/>
      <c r="AK14" s="31">
        <f t="shared" si="0"/>
      </c>
    </row>
    <row r="15" spans="1:37" s="31" customFormat="1" ht="30" customHeight="1">
      <c r="A15" s="24">
        <v>8</v>
      </c>
      <c r="B15" s="151"/>
      <c r="C15" s="27"/>
      <c r="D15" s="28"/>
      <c r="E15" s="29"/>
      <c r="F15" s="29"/>
      <c r="G15" s="30">
        <f>IF(J15="X",'Ineligibility Reasons'!$A$4,"")&amp;IF(K15="X",'Ineligibility Reasons'!$A$5,"")&amp;IF(L15="X",'Ineligibility Reasons'!$A$6,"")&amp;IF(M15="X",'Ineligibility Reasons'!$A$7,"")&amp;IF(N15="X",'Ineligibility Reasons'!$A$8,"")&amp;IF(O15="X",'Ineligibility Reasons'!$A$9,"")&amp;IF(P15="X",'Ineligibility Reasons'!$A$11,"")&amp;IF(Q15="X",'Ineligibility Reasons'!$A$12,"")&amp;IF(R15="X",'Ineligibility Reasons'!$A$13,"")&amp;IF(S15="X",'Ineligibility Reasons'!$A$14,"")&amp;IF(T15="X",'Ineligibility Reasons'!$A$15,"")&amp;IF(U15="X",'Ineligibility Reasons'!$A$16,"")&amp;IF(V15="X",'Ineligibility Reasons'!$A$17,"")&amp;IF(W15="X",'Ineligibility Reasons'!$A$19,"")&amp;IF(X15="X",'Ineligibility Reasons'!$A$20,"")&amp;IF(Y15="X",'Ineligibility Reasons'!$A$21,"")&amp;IF(Z15="X",'Ineligibility Reasons'!$A$22,"")&amp;IF(AA15="X",'Ineligibility Reasons'!$A$23,"")&amp;IF(AB15="X",'Ineligibility Reasons'!$A$24,"")&amp;IF(AC15="X",'Ineligibility Reasons'!$A$25,"")&amp;IF(AD15="X",'Ineligibility Reasons'!$A$26,"")&amp;IF(AE15="X",'Ineligibility Reasons'!$A$28,"")&amp;IF(AF15="X",'Ineligibility Reasons'!$A$29,"")&amp;IF(AG15="X",'Ineligibility Reasons'!$A$30,"")&amp;IF(AH15="X",'Ineligibility Reasons'!$A$31,"")&amp;IF('Schedule 2'!AI15="X",'Ineligibility Reasons'!$A$32,"")</f>
      </c>
      <c r="H15" s="145"/>
      <c r="I15" s="147"/>
      <c r="J15" s="53"/>
      <c r="K15" s="52"/>
      <c r="L15" s="59"/>
      <c r="M15" s="52"/>
      <c r="N15" s="59"/>
      <c r="O15" s="54"/>
      <c r="P15" s="53"/>
      <c r="Q15" s="52"/>
      <c r="R15" s="52"/>
      <c r="S15" s="52"/>
      <c r="T15" s="52"/>
      <c r="U15" s="52"/>
      <c r="V15" s="59"/>
      <c r="W15" s="53"/>
      <c r="X15" s="52"/>
      <c r="Y15" s="52"/>
      <c r="Z15" s="52"/>
      <c r="AA15" s="52"/>
      <c r="AB15" s="52"/>
      <c r="AC15" s="52"/>
      <c r="AD15" s="54"/>
      <c r="AE15" s="52"/>
      <c r="AF15" s="52"/>
      <c r="AG15" s="52"/>
      <c r="AH15" s="59"/>
      <c r="AI15" s="59"/>
      <c r="AK15" s="31">
        <f t="shared" si="0"/>
      </c>
    </row>
    <row r="16" spans="1:37" s="31" customFormat="1" ht="30" customHeight="1">
      <c r="A16" s="24">
        <v>9</v>
      </c>
      <c r="B16" s="151"/>
      <c r="C16" s="27"/>
      <c r="D16" s="28"/>
      <c r="E16" s="29"/>
      <c r="F16" s="29"/>
      <c r="G16" s="30">
        <f>IF(J16="X",'Ineligibility Reasons'!$A$4,"")&amp;IF(K16="X",'Ineligibility Reasons'!$A$5,"")&amp;IF(L16="X",'Ineligibility Reasons'!$A$6,"")&amp;IF(M16="X",'Ineligibility Reasons'!$A$7,"")&amp;IF(N16="X",'Ineligibility Reasons'!$A$8,"")&amp;IF(O16="X",'Ineligibility Reasons'!$A$9,"")&amp;IF(P16="X",'Ineligibility Reasons'!$A$11,"")&amp;IF(Q16="X",'Ineligibility Reasons'!$A$12,"")&amp;IF(R16="X",'Ineligibility Reasons'!$A$13,"")&amp;IF(S16="X",'Ineligibility Reasons'!$A$14,"")&amp;IF(T16="X",'Ineligibility Reasons'!$A$15,"")&amp;IF(U16="X",'Ineligibility Reasons'!$A$16,"")&amp;IF(V16="X",'Ineligibility Reasons'!$A$17,"")&amp;IF(W16="X",'Ineligibility Reasons'!$A$19,"")&amp;IF(X16="X",'Ineligibility Reasons'!$A$20,"")&amp;IF(Y16="X",'Ineligibility Reasons'!$A$21,"")&amp;IF(Z16="X",'Ineligibility Reasons'!$A$22,"")&amp;IF(AA16="X",'Ineligibility Reasons'!$A$23,"")&amp;IF(AB16="X",'Ineligibility Reasons'!$A$24,"")&amp;IF(AC16="X",'Ineligibility Reasons'!$A$25,"")&amp;IF(AD16="X",'Ineligibility Reasons'!$A$26,"")&amp;IF(AE16="X",'Ineligibility Reasons'!$A$28,"")&amp;IF(AF16="X",'Ineligibility Reasons'!$A$29,"")&amp;IF(AG16="X",'Ineligibility Reasons'!$A$30,"")&amp;IF(AH16="X",'Ineligibility Reasons'!$A$31,"")&amp;IF('Schedule 2'!AI16="X",'Ineligibility Reasons'!$A$32,"")</f>
      </c>
      <c r="H16" s="145"/>
      <c r="I16" s="147"/>
      <c r="J16" s="53"/>
      <c r="K16" s="52"/>
      <c r="L16" s="59"/>
      <c r="M16" s="52"/>
      <c r="N16" s="59"/>
      <c r="O16" s="54"/>
      <c r="P16" s="53"/>
      <c r="Q16" s="52"/>
      <c r="R16" s="52"/>
      <c r="S16" s="52"/>
      <c r="T16" s="52"/>
      <c r="U16" s="52"/>
      <c r="V16" s="59"/>
      <c r="W16" s="53"/>
      <c r="X16" s="52"/>
      <c r="Y16" s="52"/>
      <c r="Z16" s="52"/>
      <c r="AA16" s="52"/>
      <c r="AB16" s="52"/>
      <c r="AC16" s="52"/>
      <c r="AD16" s="54"/>
      <c r="AE16" s="52"/>
      <c r="AF16" s="52"/>
      <c r="AG16" s="52"/>
      <c r="AH16" s="59"/>
      <c r="AI16" s="59"/>
      <c r="AK16" s="31">
        <f t="shared" si="0"/>
      </c>
    </row>
    <row r="17" spans="1:37" s="31" customFormat="1" ht="30" customHeight="1">
      <c r="A17" s="24">
        <v>10</v>
      </c>
      <c r="B17" s="151"/>
      <c r="C17" s="27"/>
      <c r="D17" s="28"/>
      <c r="E17" s="29"/>
      <c r="F17" s="29"/>
      <c r="G17" s="30">
        <f>IF(J17="X",'Ineligibility Reasons'!$A$4,"")&amp;IF(K17="X",'Ineligibility Reasons'!$A$5,"")&amp;IF(L17="X",'Ineligibility Reasons'!$A$6,"")&amp;IF(M17="X",'Ineligibility Reasons'!$A$7,"")&amp;IF(N17="X",'Ineligibility Reasons'!$A$8,"")&amp;IF(O17="X",'Ineligibility Reasons'!$A$9,"")&amp;IF(P17="X",'Ineligibility Reasons'!$A$11,"")&amp;IF(Q17="X",'Ineligibility Reasons'!$A$12,"")&amp;IF(R17="X",'Ineligibility Reasons'!$A$13,"")&amp;IF(S17="X",'Ineligibility Reasons'!$A$14,"")&amp;IF(T17="X",'Ineligibility Reasons'!$A$15,"")&amp;IF(U17="X",'Ineligibility Reasons'!$A$16,"")&amp;IF(V17="X",'Ineligibility Reasons'!$A$17,"")&amp;IF(W17="X",'Ineligibility Reasons'!$A$19,"")&amp;IF(X17="X",'Ineligibility Reasons'!$A$20,"")&amp;IF(Y17="X",'Ineligibility Reasons'!$A$21,"")&amp;IF(Z17="X",'Ineligibility Reasons'!$A$22,"")&amp;IF(AA17="X",'Ineligibility Reasons'!$A$23,"")&amp;IF(AB17="X",'Ineligibility Reasons'!$A$24,"")&amp;IF(AC17="X",'Ineligibility Reasons'!$A$25,"")&amp;IF(AD17="X",'Ineligibility Reasons'!$A$26,"")&amp;IF(AE17="X",'Ineligibility Reasons'!$A$28,"")&amp;IF(AF17="X",'Ineligibility Reasons'!$A$29,"")&amp;IF(AG17="X",'Ineligibility Reasons'!$A$30,"")&amp;IF(AH17="X",'Ineligibility Reasons'!$A$31,"")&amp;IF('Schedule 2'!AI17="X",'Ineligibility Reasons'!$A$32,"")</f>
      </c>
      <c r="H17" s="145"/>
      <c r="I17" s="147"/>
      <c r="J17" s="53"/>
      <c r="K17" s="52"/>
      <c r="L17" s="59"/>
      <c r="M17" s="52"/>
      <c r="N17" s="59"/>
      <c r="O17" s="54"/>
      <c r="P17" s="53"/>
      <c r="Q17" s="52"/>
      <c r="R17" s="52"/>
      <c r="S17" s="52"/>
      <c r="T17" s="52"/>
      <c r="U17" s="52"/>
      <c r="V17" s="59"/>
      <c r="W17" s="53"/>
      <c r="X17" s="52"/>
      <c r="Y17" s="52"/>
      <c r="Z17" s="52"/>
      <c r="AA17" s="52"/>
      <c r="AB17" s="52"/>
      <c r="AC17" s="52"/>
      <c r="AD17" s="54"/>
      <c r="AE17" s="52"/>
      <c r="AF17" s="52"/>
      <c r="AG17" s="52"/>
      <c r="AH17" s="59"/>
      <c r="AI17" s="59"/>
      <c r="AK17" s="31">
        <f t="shared" si="0"/>
      </c>
    </row>
    <row r="18" spans="1:37" s="31" customFormat="1" ht="30" customHeight="1">
      <c r="A18" s="24">
        <v>11</v>
      </c>
      <c r="B18" s="151"/>
      <c r="C18" s="27"/>
      <c r="D18" s="28"/>
      <c r="E18" s="29"/>
      <c r="F18" s="29"/>
      <c r="G18" s="30">
        <f>IF(J18="X",'Ineligibility Reasons'!$A$4,"")&amp;IF(K18="X",'Ineligibility Reasons'!$A$5,"")&amp;IF(L18="X",'Ineligibility Reasons'!$A$6,"")&amp;IF(M18="X",'Ineligibility Reasons'!$A$7,"")&amp;IF(N18="X",'Ineligibility Reasons'!$A$8,"")&amp;IF(O18="X",'Ineligibility Reasons'!$A$9,"")&amp;IF(P18="X",'Ineligibility Reasons'!$A$11,"")&amp;IF(Q18="X",'Ineligibility Reasons'!$A$12,"")&amp;IF(R18="X",'Ineligibility Reasons'!$A$13,"")&amp;IF(S18="X",'Ineligibility Reasons'!$A$14,"")&amp;IF(T18="X",'Ineligibility Reasons'!$A$15,"")&amp;IF(U18="X",'Ineligibility Reasons'!$A$16,"")&amp;IF(V18="X",'Ineligibility Reasons'!$A$17,"")&amp;IF(W18="X",'Ineligibility Reasons'!$A$19,"")&amp;IF(X18="X",'Ineligibility Reasons'!$A$20,"")&amp;IF(Y18="X",'Ineligibility Reasons'!$A$21,"")&amp;IF(Z18="X",'Ineligibility Reasons'!$A$22,"")&amp;IF(AA18="X",'Ineligibility Reasons'!$A$23,"")&amp;IF(AB18="X",'Ineligibility Reasons'!$A$24,"")&amp;IF(AC18="X",'Ineligibility Reasons'!$A$25,"")&amp;IF(AD18="X",'Ineligibility Reasons'!$A$26,"")&amp;IF(AE18="X",'Ineligibility Reasons'!$A$28,"")&amp;IF(AF18="X",'Ineligibility Reasons'!$A$29,"")&amp;IF(AG18="X",'Ineligibility Reasons'!$A$30,"")&amp;IF(AH18="X",'Ineligibility Reasons'!$A$31,"")&amp;IF('Schedule 2'!AI18="X",'Ineligibility Reasons'!$A$32,"")</f>
      </c>
      <c r="H18" s="145"/>
      <c r="I18" s="147"/>
      <c r="J18" s="53"/>
      <c r="K18" s="52"/>
      <c r="L18" s="59"/>
      <c r="M18" s="52"/>
      <c r="N18" s="59"/>
      <c r="O18" s="54"/>
      <c r="P18" s="53"/>
      <c r="Q18" s="52"/>
      <c r="R18" s="52"/>
      <c r="S18" s="52"/>
      <c r="T18" s="52"/>
      <c r="U18" s="52"/>
      <c r="V18" s="59"/>
      <c r="W18" s="53"/>
      <c r="X18" s="52"/>
      <c r="Y18" s="52"/>
      <c r="Z18" s="52"/>
      <c r="AA18" s="52"/>
      <c r="AB18" s="52"/>
      <c r="AC18" s="52"/>
      <c r="AD18" s="54"/>
      <c r="AE18" s="52"/>
      <c r="AF18" s="52"/>
      <c r="AG18" s="52"/>
      <c r="AH18" s="59"/>
      <c r="AI18" s="59"/>
      <c r="AK18" s="31">
        <f t="shared" si="0"/>
      </c>
    </row>
    <row r="19" spans="1:37" s="31" customFormat="1" ht="30" customHeight="1">
      <c r="A19" s="24">
        <v>12</v>
      </c>
      <c r="B19" s="151"/>
      <c r="C19" s="27"/>
      <c r="D19" s="28"/>
      <c r="E19" s="29"/>
      <c r="F19" s="29"/>
      <c r="G19" s="30">
        <f>IF(J19="X",'Ineligibility Reasons'!$A$4,"")&amp;IF(K19="X",'Ineligibility Reasons'!$A$5,"")&amp;IF(L19="X",'Ineligibility Reasons'!$A$6,"")&amp;IF(M19="X",'Ineligibility Reasons'!$A$7,"")&amp;IF(N19="X",'Ineligibility Reasons'!$A$8,"")&amp;IF(O19="X",'Ineligibility Reasons'!$A$9,"")&amp;IF(P19="X",'Ineligibility Reasons'!$A$11,"")&amp;IF(Q19="X",'Ineligibility Reasons'!$A$12,"")&amp;IF(R19="X",'Ineligibility Reasons'!$A$13,"")&amp;IF(S19="X",'Ineligibility Reasons'!$A$14,"")&amp;IF(T19="X",'Ineligibility Reasons'!$A$15,"")&amp;IF(U19="X",'Ineligibility Reasons'!$A$16,"")&amp;IF(V19="X",'Ineligibility Reasons'!$A$17,"")&amp;IF(W19="X",'Ineligibility Reasons'!$A$19,"")&amp;IF(X19="X",'Ineligibility Reasons'!$A$20,"")&amp;IF(Y19="X",'Ineligibility Reasons'!$A$21,"")&amp;IF(Z19="X",'Ineligibility Reasons'!$A$22,"")&amp;IF(AA19="X",'Ineligibility Reasons'!$A$23,"")&amp;IF(AB19="X",'Ineligibility Reasons'!$A$24,"")&amp;IF(AC19="X",'Ineligibility Reasons'!$A$25,"")&amp;IF(AD19="X",'Ineligibility Reasons'!$A$26,"")&amp;IF(AE19="X",'Ineligibility Reasons'!$A$28,"")&amp;IF(AF19="X",'Ineligibility Reasons'!$A$29,"")&amp;IF(AG19="X",'Ineligibility Reasons'!$A$30,"")&amp;IF(AH19="X",'Ineligibility Reasons'!$A$31,"")&amp;IF('Schedule 2'!AI19="X",'Ineligibility Reasons'!$A$32,"")</f>
      </c>
      <c r="H19" s="145"/>
      <c r="I19" s="147"/>
      <c r="J19" s="53"/>
      <c r="K19" s="52"/>
      <c r="L19" s="59"/>
      <c r="M19" s="52"/>
      <c r="N19" s="59"/>
      <c r="O19" s="54"/>
      <c r="P19" s="53"/>
      <c r="Q19" s="52"/>
      <c r="R19" s="52"/>
      <c r="S19" s="52"/>
      <c r="T19" s="52"/>
      <c r="U19" s="52"/>
      <c r="V19" s="59"/>
      <c r="W19" s="53"/>
      <c r="X19" s="52"/>
      <c r="Y19" s="52"/>
      <c r="Z19" s="52"/>
      <c r="AA19" s="52"/>
      <c r="AB19" s="52"/>
      <c r="AC19" s="52"/>
      <c r="AD19" s="54"/>
      <c r="AE19" s="52"/>
      <c r="AF19" s="52"/>
      <c r="AG19" s="52"/>
      <c r="AH19" s="59"/>
      <c r="AI19" s="59"/>
      <c r="AK19" s="31">
        <f t="shared" si="0"/>
      </c>
    </row>
    <row r="20" spans="1:37" s="31" customFormat="1" ht="30" customHeight="1">
      <c r="A20" s="24">
        <v>13</v>
      </c>
      <c r="B20" s="151"/>
      <c r="C20" s="27"/>
      <c r="D20" s="28"/>
      <c r="E20" s="29"/>
      <c r="F20" s="29"/>
      <c r="G20" s="30">
        <f>IF(J20="X",'Ineligibility Reasons'!$A$4,"")&amp;IF(K20="X",'Ineligibility Reasons'!$A$5,"")&amp;IF(L20="X",'Ineligibility Reasons'!$A$6,"")&amp;IF(M20="X",'Ineligibility Reasons'!$A$7,"")&amp;IF(N20="X",'Ineligibility Reasons'!$A$8,"")&amp;IF(O20="X",'Ineligibility Reasons'!$A$9,"")&amp;IF(P20="X",'Ineligibility Reasons'!$A$11,"")&amp;IF(Q20="X",'Ineligibility Reasons'!$A$12,"")&amp;IF(R20="X",'Ineligibility Reasons'!$A$13,"")&amp;IF(S20="X",'Ineligibility Reasons'!$A$14,"")&amp;IF(T20="X",'Ineligibility Reasons'!$A$15,"")&amp;IF(U20="X",'Ineligibility Reasons'!$A$16,"")&amp;IF(V20="X",'Ineligibility Reasons'!$A$17,"")&amp;IF(W20="X",'Ineligibility Reasons'!$A$19,"")&amp;IF(X20="X",'Ineligibility Reasons'!$A$20,"")&amp;IF(Y20="X",'Ineligibility Reasons'!$A$21,"")&amp;IF(Z20="X",'Ineligibility Reasons'!$A$22,"")&amp;IF(AA20="X",'Ineligibility Reasons'!$A$23,"")&amp;IF(AB20="X",'Ineligibility Reasons'!$A$24,"")&amp;IF(AC20="X",'Ineligibility Reasons'!$A$25,"")&amp;IF(AD20="X",'Ineligibility Reasons'!$A$26,"")&amp;IF(AE20="X",'Ineligibility Reasons'!$A$28,"")&amp;IF(AF20="X",'Ineligibility Reasons'!$A$29,"")&amp;IF(AG20="X",'Ineligibility Reasons'!$A$30,"")&amp;IF(AH20="X",'Ineligibility Reasons'!$A$31,"")&amp;IF('Schedule 2'!AI20="X",'Ineligibility Reasons'!$A$32,"")</f>
      </c>
      <c r="H20" s="145"/>
      <c r="I20" s="147"/>
      <c r="J20" s="53"/>
      <c r="K20" s="52"/>
      <c r="L20" s="59"/>
      <c r="M20" s="52"/>
      <c r="N20" s="59"/>
      <c r="O20" s="54"/>
      <c r="P20" s="53"/>
      <c r="Q20" s="52"/>
      <c r="R20" s="52"/>
      <c r="S20" s="52"/>
      <c r="T20" s="52"/>
      <c r="U20" s="52"/>
      <c r="V20" s="59"/>
      <c r="W20" s="53"/>
      <c r="X20" s="52"/>
      <c r="Y20" s="52"/>
      <c r="Z20" s="52"/>
      <c r="AA20" s="52"/>
      <c r="AB20" s="52"/>
      <c r="AC20" s="52"/>
      <c r="AD20" s="54"/>
      <c r="AE20" s="52"/>
      <c r="AF20" s="52"/>
      <c r="AG20" s="52"/>
      <c r="AH20" s="59"/>
      <c r="AI20" s="59"/>
      <c r="AK20" s="31">
        <f t="shared" si="0"/>
      </c>
    </row>
    <row r="21" spans="1:37" s="31" customFormat="1" ht="30" customHeight="1">
      <c r="A21" s="24">
        <v>14</v>
      </c>
      <c r="B21" s="151"/>
      <c r="C21" s="27"/>
      <c r="D21" s="28"/>
      <c r="E21" s="29"/>
      <c r="F21" s="29"/>
      <c r="G21" s="30">
        <f>IF(J21="X",'Ineligibility Reasons'!$A$4,"")&amp;IF(K21="X",'Ineligibility Reasons'!$A$5,"")&amp;IF(L21="X",'Ineligibility Reasons'!$A$6,"")&amp;IF(M21="X",'Ineligibility Reasons'!$A$7,"")&amp;IF(N21="X",'Ineligibility Reasons'!$A$8,"")&amp;IF(O21="X",'Ineligibility Reasons'!$A$9,"")&amp;IF(P21="X",'Ineligibility Reasons'!$A$11,"")&amp;IF(Q21="X",'Ineligibility Reasons'!$A$12,"")&amp;IF(R21="X",'Ineligibility Reasons'!$A$13,"")&amp;IF(S21="X",'Ineligibility Reasons'!$A$14,"")&amp;IF(T21="X",'Ineligibility Reasons'!$A$15,"")&amp;IF(U21="X",'Ineligibility Reasons'!$A$16,"")&amp;IF(V21="X",'Ineligibility Reasons'!$A$17,"")&amp;IF(W21="X",'Ineligibility Reasons'!$A$19,"")&amp;IF(X21="X",'Ineligibility Reasons'!$A$20,"")&amp;IF(Y21="X",'Ineligibility Reasons'!$A$21,"")&amp;IF(Z21="X",'Ineligibility Reasons'!$A$22,"")&amp;IF(AA21="X",'Ineligibility Reasons'!$A$23,"")&amp;IF(AB21="X",'Ineligibility Reasons'!$A$24,"")&amp;IF(AC21="X",'Ineligibility Reasons'!$A$25,"")&amp;IF(AD21="X",'Ineligibility Reasons'!$A$26,"")&amp;IF(AE21="X",'Ineligibility Reasons'!$A$28,"")&amp;IF(AF21="X",'Ineligibility Reasons'!$A$29,"")&amp;IF(AG21="X",'Ineligibility Reasons'!$A$30,"")&amp;IF(AH21="X",'Ineligibility Reasons'!$A$31,"")&amp;IF('Schedule 2'!AI21="X",'Ineligibility Reasons'!$A$32,"")</f>
      </c>
      <c r="H21" s="145"/>
      <c r="I21" s="147"/>
      <c r="J21" s="53"/>
      <c r="K21" s="52"/>
      <c r="L21" s="59"/>
      <c r="M21" s="52"/>
      <c r="N21" s="59"/>
      <c r="O21" s="54"/>
      <c r="P21" s="53"/>
      <c r="Q21" s="52"/>
      <c r="R21" s="52"/>
      <c r="S21" s="52"/>
      <c r="T21" s="52"/>
      <c r="U21" s="52"/>
      <c r="V21" s="59"/>
      <c r="W21" s="53"/>
      <c r="X21" s="52"/>
      <c r="Y21" s="52"/>
      <c r="Z21" s="52"/>
      <c r="AA21" s="52"/>
      <c r="AB21" s="52"/>
      <c r="AC21" s="52"/>
      <c r="AD21" s="54"/>
      <c r="AE21" s="52"/>
      <c r="AF21" s="52"/>
      <c r="AG21" s="52"/>
      <c r="AH21" s="59"/>
      <c r="AI21" s="59"/>
      <c r="AK21" s="31">
        <f t="shared" si="0"/>
      </c>
    </row>
    <row r="22" spans="1:37" s="31" customFormat="1" ht="30" customHeight="1">
      <c r="A22" s="24">
        <v>15</v>
      </c>
      <c r="B22" s="151"/>
      <c r="C22" s="27"/>
      <c r="D22" s="28"/>
      <c r="E22" s="29"/>
      <c r="F22" s="29"/>
      <c r="G22" s="30">
        <f>IF(J22="X",'Ineligibility Reasons'!$A$4,"")&amp;IF(K22="X",'Ineligibility Reasons'!$A$5,"")&amp;IF(L22="X",'Ineligibility Reasons'!$A$6,"")&amp;IF(M22="X",'Ineligibility Reasons'!$A$7,"")&amp;IF(N22="X",'Ineligibility Reasons'!$A$8,"")&amp;IF(O22="X",'Ineligibility Reasons'!$A$9,"")&amp;IF(P22="X",'Ineligibility Reasons'!$A$11,"")&amp;IF(Q22="X",'Ineligibility Reasons'!$A$12,"")&amp;IF(R22="X",'Ineligibility Reasons'!$A$13,"")&amp;IF(S22="X",'Ineligibility Reasons'!$A$14,"")&amp;IF(T22="X",'Ineligibility Reasons'!$A$15,"")&amp;IF(U22="X",'Ineligibility Reasons'!$A$16,"")&amp;IF(V22="X",'Ineligibility Reasons'!$A$17,"")&amp;IF(W22="X",'Ineligibility Reasons'!$A$19,"")&amp;IF(X22="X",'Ineligibility Reasons'!$A$20,"")&amp;IF(Y22="X",'Ineligibility Reasons'!$A$21,"")&amp;IF(Z22="X",'Ineligibility Reasons'!$A$22,"")&amp;IF(AA22="X",'Ineligibility Reasons'!$A$23,"")&amp;IF(AB22="X",'Ineligibility Reasons'!$A$24,"")&amp;IF(AC22="X",'Ineligibility Reasons'!$A$25,"")&amp;IF(AD22="X",'Ineligibility Reasons'!$A$26,"")&amp;IF(AE22="X",'Ineligibility Reasons'!$A$28,"")&amp;IF(AF22="X",'Ineligibility Reasons'!$A$29,"")&amp;IF(AG22="X",'Ineligibility Reasons'!$A$30,"")&amp;IF(AH22="X",'Ineligibility Reasons'!$A$31,"")&amp;IF('Schedule 2'!AI22="X",'Ineligibility Reasons'!$A$32,"")</f>
      </c>
      <c r="H22" s="145"/>
      <c r="I22" s="147"/>
      <c r="J22" s="53"/>
      <c r="K22" s="52"/>
      <c r="L22" s="59"/>
      <c r="M22" s="52"/>
      <c r="N22" s="59"/>
      <c r="O22" s="54"/>
      <c r="P22" s="53"/>
      <c r="Q22" s="52"/>
      <c r="R22" s="52"/>
      <c r="S22" s="52"/>
      <c r="T22" s="52"/>
      <c r="U22" s="52"/>
      <c r="V22" s="59"/>
      <c r="W22" s="53"/>
      <c r="X22" s="52"/>
      <c r="Y22" s="52"/>
      <c r="Z22" s="52"/>
      <c r="AA22" s="52"/>
      <c r="AB22" s="52"/>
      <c r="AC22" s="52"/>
      <c r="AD22" s="54"/>
      <c r="AE22" s="52"/>
      <c r="AF22" s="52"/>
      <c r="AG22" s="52"/>
      <c r="AH22" s="59"/>
      <c r="AI22" s="59"/>
      <c r="AK22" s="31">
        <f t="shared" si="0"/>
      </c>
    </row>
    <row r="23" spans="1:37" s="31" customFormat="1" ht="30" customHeight="1">
      <c r="A23" s="24">
        <v>16</v>
      </c>
      <c r="B23" s="151"/>
      <c r="C23" s="27"/>
      <c r="D23" s="28"/>
      <c r="E23" s="29"/>
      <c r="F23" s="29"/>
      <c r="G23" s="30">
        <f>IF(J23="X",'Ineligibility Reasons'!$A$4,"")&amp;IF(K23="X",'Ineligibility Reasons'!$A$5,"")&amp;IF(L23="X",'Ineligibility Reasons'!$A$6,"")&amp;IF(M23="X",'Ineligibility Reasons'!$A$7,"")&amp;IF(N23="X",'Ineligibility Reasons'!$A$8,"")&amp;IF(O23="X",'Ineligibility Reasons'!$A$9,"")&amp;IF(P23="X",'Ineligibility Reasons'!$A$11,"")&amp;IF(Q23="X",'Ineligibility Reasons'!$A$12,"")&amp;IF(R23="X",'Ineligibility Reasons'!$A$13,"")&amp;IF(S23="X",'Ineligibility Reasons'!$A$14,"")&amp;IF(T23="X",'Ineligibility Reasons'!$A$15,"")&amp;IF(U23="X",'Ineligibility Reasons'!$A$16,"")&amp;IF(V23="X",'Ineligibility Reasons'!$A$17,"")&amp;IF(W23="X",'Ineligibility Reasons'!$A$19,"")&amp;IF(X23="X",'Ineligibility Reasons'!$A$20,"")&amp;IF(Y23="X",'Ineligibility Reasons'!$A$21,"")&amp;IF(Z23="X",'Ineligibility Reasons'!$A$22,"")&amp;IF(AA23="X",'Ineligibility Reasons'!$A$23,"")&amp;IF(AB23="X",'Ineligibility Reasons'!$A$24,"")&amp;IF(AC23="X",'Ineligibility Reasons'!$A$25,"")&amp;IF(AD23="X",'Ineligibility Reasons'!$A$26,"")&amp;IF(AE23="X",'Ineligibility Reasons'!$A$28,"")&amp;IF(AF23="X",'Ineligibility Reasons'!$A$29,"")&amp;IF(AG23="X",'Ineligibility Reasons'!$A$30,"")&amp;IF(AH23="X",'Ineligibility Reasons'!$A$31,"")&amp;IF('Schedule 2'!AI23="X",'Ineligibility Reasons'!$A$32,"")</f>
      </c>
      <c r="H23" s="145"/>
      <c r="I23" s="147"/>
      <c r="J23" s="53"/>
      <c r="K23" s="52"/>
      <c r="L23" s="59"/>
      <c r="M23" s="52"/>
      <c r="N23" s="59"/>
      <c r="O23" s="54"/>
      <c r="P23" s="53"/>
      <c r="Q23" s="52"/>
      <c r="R23" s="52"/>
      <c r="S23" s="52"/>
      <c r="T23" s="52"/>
      <c r="U23" s="52"/>
      <c r="V23" s="59"/>
      <c r="W23" s="53"/>
      <c r="X23" s="52"/>
      <c r="Y23" s="52"/>
      <c r="Z23" s="52"/>
      <c r="AA23" s="52"/>
      <c r="AB23" s="52"/>
      <c r="AC23" s="52"/>
      <c r="AD23" s="54"/>
      <c r="AE23" s="52"/>
      <c r="AF23" s="52"/>
      <c r="AG23" s="52"/>
      <c r="AH23" s="59"/>
      <c r="AI23" s="59"/>
      <c r="AK23" s="31">
        <f t="shared" si="0"/>
      </c>
    </row>
    <row r="24" spans="1:37" s="31" customFormat="1" ht="30" customHeight="1">
      <c r="A24" s="24">
        <v>17</v>
      </c>
      <c r="B24" s="151"/>
      <c r="C24" s="27"/>
      <c r="D24" s="28"/>
      <c r="E24" s="29"/>
      <c r="F24" s="29"/>
      <c r="G24" s="30">
        <f>IF(J24="X",'Ineligibility Reasons'!$A$4,"")&amp;IF(K24="X",'Ineligibility Reasons'!$A$5,"")&amp;IF(L24="X",'Ineligibility Reasons'!$A$6,"")&amp;IF(M24="X",'Ineligibility Reasons'!$A$7,"")&amp;IF(N24="X",'Ineligibility Reasons'!$A$8,"")&amp;IF(O24="X",'Ineligibility Reasons'!$A$9,"")&amp;IF(P24="X",'Ineligibility Reasons'!$A$11,"")&amp;IF(Q24="X",'Ineligibility Reasons'!$A$12,"")&amp;IF(R24="X",'Ineligibility Reasons'!$A$13,"")&amp;IF(S24="X",'Ineligibility Reasons'!$A$14,"")&amp;IF(T24="X",'Ineligibility Reasons'!$A$15,"")&amp;IF(U24="X",'Ineligibility Reasons'!$A$16,"")&amp;IF(V24="X",'Ineligibility Reasons'!$A$17,"")&amp;IF(W24="X",'Ineligibility Reasons'!$A$19,"")&amp;IF(X24="X",'Ineligibility Reasons'!$A$20,"")&amp;IF(Y24="X",'Ineligibility Reasons'!$A$21,"")&amp;IF(Z24="X",'Ineligibility Reasons'!$A$22,"")&amp;IF(AA24="X",'Ineligibility Reasons'!$A$23,"")&amp;IF(AB24="X",'Ineligibility Reasons'!$A$24,"")&amp;IF(AC24="X",'Ineligibility Reasons'!$A$25,"")&amp;IF(AD24="X",'Ineligibility Reasons'!$A$26,"")&amp;IF(AE24="X",'Ineligibility Reasons'!$A$28,"")&amp;IF(AF24="X",'Ineligibility Reasons'!$A$29,"")&amp;IF(AG24="X",'Ineligibility Reasons'!$A$30,"")&amp;IF(AH24="X",'Ineligibility Reasons'!$A$31,"")&amp;IF('Schedule 2'!AI24="X",'Ineligibility Reasons'!$A$32,"")</f>
      </c>
      <c r="H24" s="145"/>
      <c r="I24" s="147"/>
      <c r="J24" s="53"/>
      <c r="K24" s="52"/>
      <c r="L24" s="59"/>
      <c r="M24" s="52"/>
      <c r="N24" s="59"/>
      <c r="O24" s="54"/>
      <c r="P24" s="53"/>
      <c r="Q24" s="52"/>
      <c r="R24" s="52"/>
      <c r="S24" s="52"/>
      <c r="T24" s="52"/>
      <c r="U24" s="52"/>
      <c r="V24" s="59"/>
      <c r="W24" s="53"/>
      <c r="X24" s="52"/>
      <c r="Y24" s="52"/>
      <c r="Z24" s="52"/>
      <c r="AA24" s="52"/>
      <c r="AB24" s="52"/>
      <c r="AC24" s="52"/>
      <c r="AD24" s="54"/>
      <c r="AE24" s="52"/>
      <c r="AF24" s="52"/>
      <c r="AG24" s="52"/>
      <c r="AH24" s="59"/>
      <c r="AI24" s="59"/>
      <c r="AK24" s="31">
        <f t="shared" si="0"/>
      </c>
    </row>
    <row r="25" spans="1:37" s="31" customFormat="1" ht="30" customHeight="1">
      <c r="A25" s="24">
        <v>18</v>
      </c>
      <c r="B25" s="151"/>
      <c r="C25" s="27"/>
      <c r="D25" s="28"/>
      <c r="E25" s="29"/>
      <c r="F25" s="29"/>
      <c r="G25" s="30">
        <f>IF(J25="X",'Ineligibility Reasons'!$A$4,"")&amp;IF(K25="X",'Ineligibility Reasons'!$A$5,"")&amp;IF(L25="X",'Ineligibility Reasons'!$A$6,"")&amp;IF(M25="X",'Ineligibility Reasons'!$A$7,"")&amp;IF(N25="X",'Ineligibility Reasons'!$A$8,"")&amp;IF(O25="X",'Ineligibility Reasons'!$A$9,"")&amp;IF(P25="X",'Ineligibility Reasons'!$A$11,"")&amp;IF(Q25="X",'Ineligibility Reasons'!$A$12,"")&amp;IF(R25="X",'Ineligibility Reasons'!$A$13,"")&amp;IF(S25="X",'Ineligibility Reasons'!$A$14,"")&amp;IF(T25="X",'Ineligibility Reasons'!$A$15,"")&amp;IF(U25="X",'Ineligibility Reasons'!$A$16,"")&amp;IF(V25="X",'Ineligibility Reasons'!$A$17,"")&amp;IF(W25="X",'Ineligibility Reasons'!$A$19,"")&amp;IF(X25="X",'Ineligibility Reasons'!$A$20,"")&amp;IF(Y25="X",'Ineligibility Reasons'!$A$21,"")&amp;IF(Z25="X",'Ineligibility Reasons'!$A$22,"")&amp;IF(AA25="X",'Ineligibility Reasons'!$A$23,"")&amp;IF(AB25="X",'Ineligibility Reasons'!$A$24,"")&amp;IF(AC25="X",'Ineligibility Reasons'!$A$25,"")&amp;IF(AD25="X",'Ineligibility Reasons'!$A$26,"")&amp;IF(AE25="X",'Ineligibility Reasons'!$A$28,"")&amp;IF(AF25="X",'Ineligibility Reasons'!$A$29,"")&amp;IF(AG25="X",'Ineligibility Reasons'!$A$30,"")&amp;IF(AH25="X",'Ineligibility Reasons'!$A$31,"")&amp;IF('Schedule 2'!AI25="X",'Ineligibility Reasons'!$A$32,"")</f>
      </c>
      <c r="H25" s="145"/>
      <c r="I25" s="147"/>
      <c r="J25" s="53"/>
      <c r="K25" s="52"/>
      <c r="L25" s="59"/>
      <c r="M25" s="52"/>
      <c r="N25" s="59"/>
      <c r="O25" s="54"/>
      <c r="P25" s="53"/>
      <c r="Q25" s="52"/>
      <c r="R25" s="52"/>
      <c r="S25" s="52"/>
      <c r="T25" s="52"/>
      <c r="U25" s="52"/>
      <c r="V25" s="59"/>
      <c r="W25" s="53"/>
      <c r="X25" s="52"/>
      <c r="Y25" s="52"/>
      <c r="Z25" s="52"/>
      <c r="AA25" s="52"/>
      <c r="AB25" s="52"/>
      <c r="AC25" s="52"/>
      <c r="AD25" s="54"/>
      <c r="AE25" s="52"/>
      <c r="AF25" s="52"/>
      <c r="AG25" s="52"/>
      <c r="AH25" s="59"/>
      <c r="AI25" s="59"/>
      <c r="AK25" s="31">
        <f t="shared" si="0"/>
      </c>
    </row>
    <row r="26" spans="1:37" s="31" customFormat="1" ht="30" customHeight="1">
      <c r="A26" s="24">
        <v>19</v>
      </c>
      <c r="B26" s="151"/>
      <c r="C26" s="27"/>
      <c r="D26" s="28"/>
      <c r="E26" s="29"/>
      <c r="F26" s="29"/>
      <c r="G26" s="30">
        <f>IF(J26="X",'Ineligibility Reasons'!$A$4,"")&amp;IF(K26="X",'Ineligibility Reasons'!$A$5,"")&amp;IF(L26="X",'Ineligibility Reasons'!$A$6,"")&amp;IF(M26="X",'Ineligibility Reasons'!$A$7,"")&amp;IF(N26="X",'Ineligibility Reasons'!$A$8,"")&amp;IF(O26="X",'Ineligibility Reasons'!$A$9,"")&amp;IF(P26="X",'Ineligibility Reasons'!$A$11,"")&amp;IF(Q26="X",'Ineligibility Reasons'!$A$12,"")&amp;IF(R26="X",'Ineligibility Reasons'!$A$13,"")&amp;IF(S26="X",'Ineligibility Reasons'!$A$14,"")&amp;IF(T26="X",'Ineligibility Reasons'!$A$15,"")&amp;IF(U26="X",'Ineligibility Reasons'!$A$16,"")&amp;IF(V26="X",'Ineligibility Reasons'!$A$17,"")&amp;IF(W26="X",'Ineligibility Reasons'!$A$19,"")&amp;IF(X26="X",'Ineligibility Reasons'!$A$20,"")&amp;IF(Y26="X",'Ineligibility Reasons'!$A$21,"")&amp;IF(Z26="X",'Ineligibility Reasons'!$A$22,"")&amp;IF(AA26="X",'Ineligibility Reasons'!$A$23,"")&amp;IF(AB26="X",'Ineligibility Reasons'!$A$24,"")&amp;IF(AC26="X",'Ineligibility Reasons'!$A$25,"")&amp;IF(AD26="X",'Ineligibility Reasons'!$A$26,"")&amp;IF(AE26="X",'Ineligibility Reasons'!$A$28,"")&amp;IF(AF26="X",'Ineligibility Reasons'!$A$29,"")&amp;IF(AG26="X",'Ineligibility Reasons'!$A$30,"")&amp;IF(AH26="X",'Ineligibility Reasons'!$A$31,"")&amp;IF('Schedule 2'!AI26="X",'Ineligibility Reasons'!$A$32,"")</f>
      </c>
      <c r="H26" s="145"/>
      <c r="I26" s="147"/>
      <c r="J26" s="53"/>
      <c r="K26" s="52"/>
      <c r="L26" s="59"/>
      <c r="M26" s="52"/>
      <c r="N26" s="59"/>
      <c r="O26" s="54"/>
      <c r="P26" s="53"/>
      <c r="Q26" s="52"/>
      <c r="R26" s="52"/>
      <c r="S26" s="52"/>
      <c r="T26" s="52"/>
      <c r="U26" s="52"/>
      <c r="V26" s="59"/>
      <c r="W26" s="53"/>
      <c r="X26" s="52"/>
      <c r="Y26" s="52"/>
      <c r="Z26" s="52"/>
      <c r="AA26" s="52"/>
      <c r="AB26" s="52"/>
      <c r="AC26" s="52"/>
      <c r="AD26" s="54"/>
      <c r="AE26" s="52"/>
      <c r="AF26" s="52"/>
      <c r="AG26" s="52"/>
      <c r="AH26" s="59"/>
      <c r="AI26" s="59"/>
      <c r="AK26" s="31">
        <f t="shared" si="0"/>
      </c>
    </row>
    <row r="27" spans="1:37" s="31" customFormat="1" ht="30" customHeight="1">
      <c r="A27" s="24">
        <v>20</v>
      </c>
      <c r="B27" s="151"/>
      <c r="C27" s="27"/>
      <c r="D27" s="28"/>
      <c r="E27" s="29"/>
      <c r="F27" s="29"/>
      <c r="G27" s="30">
        <f>IF(J27="X",'Ineligibility Reasons'!$A$4,"")&amp;IF(K27="X",'Ineligibility Reasons'!$A$5,"")&amp;IF(L27="X",'Ineligibility Reasons'!$A$6,"")&amp;IF(M27="X",'Ineligibility Reasons'!$A$7,"")&amp;IF(N27="X",'Ineligibility Reasons'!$A$8,"")&amp;IF(O27="X",'Ineligibility Reasons'!$A$9,"")&amp;IF(P27="X",'Ineligibility Reasons'!$A$11,"")&amp;IF(Q27="X",'Ineligibility Reasons'!$A$12,"")&amp;IF(R27="X",'Ineligibility Reasons'!$A$13,"")&amp;IF(S27="X",'Ineligibility Reasons'!$A$14,"")&amp;IF(T27="X",'Ineligibility Reasons'!$A$15,"")&amp;IF(U27="X",'Ineligibility Reasons'!$A$16,"")&amp;IF(V27="X",'Ineligibility Reasons'!$A$17,"")&amp;IF(W27="X",'Ineligibility Reasons'!$A$19,"")&amp;IF(X27="X",'Ineligibility Reasons'!$A$20,"")&amp;IF(Y27="X",'Ineligibility Reasons'!$A$21,"")&amp;IF(Z27="X",'Ineligibility Reasons'!$A$22,"")&amp;IF(AA27="X",'Ineligibility Reasons'!$A$23,"")&amp;IF(AB27="X",'Ineligibility Reasons'!$A$24,"")&amp;IF(AC27="X",'Ineligibility Reasons'!$A$25,"")&amp;IF(AD27="X",'Ineligibility Reasons'!$A$26,"")&amp;IF(AE27="X",'Ineligibility Reasons'!$A$28,"")&amp;IF(AF27="X",'Ineligibility Reasons'!$A$29,"")&amp;IF(AG27="X",'Ineligibility Reasons'!$A$30,"")&amp;IF(AH27="X",'Ineligibility Reasons'!$A$31,"")&amp;IF('Schedule 2'!AI27="X",'Ineligibility Reasons'!$A$32,"")</f>
      </c>
      <c r="H27" s="145"/>
      <c r="I27" s="147"/>
      <c r="J27" s="53"/>
      <c r="K27" s="52"/>
      <c r="L27" s="59"/>
      <c r="M27" s="52"/>
      <c r="N27" s="59"/>
      <c r="O27" s="54"/>
      <c r="P27" s="53"/>
      <c r="Q27" s="52"/>
      <c r="R27" s="52"/>
      <c r="S27" s="52"/>
      <c r="T27" s="52"/>
      <c r="U27" s="52"/>
      <c r="V27" s="59"/>
      <c r="W27" s="53"/>
      <c r="X27" s="52"/>
      <c r="Y27" s="52"/>
      <c r="Z27" s="52"/>
      <c r="AA27" s="52"/>
      <c r="AB27" s="52"/>
      <c r="AC27" s="52"/>
      <c r="AD27" s="54"/>
      <c r="AE27" s="52"/>
      <c r="AF27" s="52"/>
      <c r="AG27" s="52"/>
      <c r="AH27" s="59"/>
      <c r="AI27" s="59"/>
      <c r="AK27" s="31">
        <f t="shared" si="0"/>
      </c>
    </row>
    <row r="28" spans="1:37" s="31" customFormat="1" ht="30" customHeight="1">
      <c r="A28" s="24">
        <v>21</v>
      </c>
      <c r="B28" s="151"/>
      <c r="C28" s="27"/>
      <c r="D28" s="28"/>
      <c r="E28" s="29"/>
      <c r="F28" s="29"/>
      <c r="G28" s="30">
        <f>IF(J28="X",'Ineligibility Reasons'!$A$4,"")&amp;IF(K28="X",'Ineligibility Reasons'!$A$5,"")&amp;IF(L28="X",'Ineligibility Reasons'!$A$6,"")&amp;IF(M28="X",'Ineligibility Reasons'!$A$7,"")&amp;IF(N28="X",'Ineligibility Reasons'!$A$8,"")&amp;IF(O28="X",'Ineligibility Reasons'!$A$9,"")&amp;IF(P28="X",'Ineligibility Reasons'!$A$11,"")&amp;IF(Q28="X",'Ineligibility Reasons'!$A$12,"")&amp;IF(R28="X",'Ineligibility Reasons'!$A$13,"")&amp;IF(S28="X",'Ineligibility Reasons'!$A$14,"")&amp;IF(T28="X",'Ineligibility Reasons'!$A$15,"")&amp;IF(U28="X",'Ineligibility Reasons'!$A$16,"")&amp;IF(V28="X",'Ineligibility Reasons'!$A$17,"")&amp;IF(W28="X",'Ineligibility Reasons'!$A$19,"")&amp;IF(X28="X",'Ineligibility Reasons'!$A$20,"")&amp;IF(Y28="X",'Ineligibility Reasons'!$A$21,"")&amp;IF(Z28="X",'Ineligibility Reasons'!$A$22,"")&amp;IF(AA28="X",'Ineligibility Reasons'!$A$23,"")&amp;IF(AB28="X",'Ineligibility Reasons'!$A$24,"")&amp;IF(AC28="X",'Ineligibility Reasons'!$A$25,"")&amp;IF(AD28="X",'Ineligibility Reasons'!$A$26,"")&amp;IF(AE28="X",'Ineligibility Reasons'!$A$28,"")&amp;IF(AF28="X",'Ineligibility Reasons'!$A$29,"")&amp;IF(AG28="X",'Ineligibility Reasons'!$A$30,"")&amp;IF(AH28="X",'Ineligibility Reasons'!$A$31,"")&amp;IF('Schedule 2'!AI28="X",'Ineligibility Reasons'!$A$32,"")</f>
      </c>
      <c r="H28" s="145"/>
      <c r="I28" s="147"/>
      <c r="J28" s="53"/>
      <c r="K28" s="52"/>
      <c r="L28" s="59"/>
      <c r="M28" s="52"/>
      <c r="N28" s="59"/>
      <c r="O28" s="54"/>
      <c r="P28" s="53"/>
      <c r="Q28" s="52"/>
      <c r="R28" s="52"/>
      <c r="S28" s="52"/>
      <c r="T28" s="52"/>
      <c r="U28" s="52"/>
      <c r="V28" s="59"/>
      <c r="W28" s="53"/>
      <c r="X28" s="52"/>
      <c r="Y28" s="52"/>
      <c r="Z28" s="52"/>
      <c r="AA28" s="52"/>
      <c r="AB28" s="52"/>
      <c r="AC28" s="52"/>
      <c r="AD28" s="54"/>
      <c r="AE28" s="52"/>
      <c r="AF28" s="52"/>
      <c r="AG28" s="52"/>
      <c r="AH28" s="59"/>
      <c r="AI28" s="59"/>
      <c r="AK28" s="31">
        <f t="shared" si="0"/>
      </c>
    </row>
    <row r="29" spans="1:37" s="31" customFormat="1" ht="30" customHeight="1">
      <c r="A29" s="24">
        <v>22</v>
      </c>
      <c r="B29" s="151"/>
      <c r="C29" s="27"/>
      <c r="D29" s="28"/>
      <c r="E29" s="29"/>
      <c r="F29" s="29"/>
      <c r="G29" s="30">
        <f>IF(J29="X",'Ineligibility Reasons'!$A$4,"")&amp;IF(K29="X",'Ineligibility Reasons'!$A$5,"")&amp;IF(L29="X",'Ineligibility Reasons'!$A$6,"")&amp;IF(M29="X",'Ineligibility Reasons'!$A$7,"")&amp;IF(N29="X",'Ineligibility Reasons'!$A$8,"")&amp;IF(O29="X",'Ineligibility Reasons'!$A$9,"")&amp;IF(P29="X",'Ineligibility Reasons'!$A$11,"")&amp;IF(Q29="X",'Ineligibility Reasons'!$A$12,"")&amp;IF(R29="X",'Ineligibility Reasons'!$A$13,"")&amp;IF(S29="X",'Ineligibility Reasons'!$A$14,"")&amp;IF(T29="X",'Ineligibility Reasons'!$A$15,"")&amp;IF(U29="X",'Ineligibility Reasons'!$A$16,"")&amp;IF(V29="X",'Ineligibility Reasons'!$A$17,"")&amp;IF(W29="X",'Ineligibility Reasons'!$A$19,"")&amp;IF(X29="X",'Ineligibility Reasons'!$A$20,"")&amp;IF(Y29="X",'Ineligibility Reasons'!$A$21,"")&amp;IF(Z29="X",'Ineligibility Reasons'!$A$22,"")&amp;IF(AA29="X",'Ineligibility Reasons'!$A$23,"")&amp;IF(AB29="X",'Ineligibility Reasons'!$A$24,"")&amp;IF(AC29="X",'Ineligibility Reasons'!$A$25,"")&amp;IF(AD29="X",'Ineligibility Reasons'!$A$26,"")&amp;IF(AE29="X",'Ineligibility Reasons'!$A$28,"")&amp;IF(AF29="X",'Ineligibility Reasons'!$A$29,"")&amp;IF(AG29="X",'Ineligibility Reasons'!$A$30,"")&amp;IF(AH29="X",'Ineligibility Reasons'!$A$31,"")&amp;IF('Schedule 2'!AI29="X",'Ineligibility Reasons'!$A$32,"")</f>
      </c>
      <c r="H29" s="145"/>
      <c r="I29" s="147"/>
      <c r="J29" s="53"/>
      <c r="K29" s="52"/>
      <c r="L29" s="59"/>
      <c r="M29" s="52"/>
      <c r="N29" s="59"/>
      <c r="O29" s="54"/>
      <c r="P29" s="53"/>
      <c r="Q29" s="52"/>
      <c r="R29" s="52"/>
      <c r="S29" s="52"/>
      <c r="T29" s="52"/>
      <c r="U29" s="52"/>
      <c r="V29" s="59"/>
      <c r="W29" s="53"/>
      <c r="X29" s="52"/>
      <c r="Y29" s="52"/>
      <c r="Z29" s="52"/>
      <c r="AA29" s="52"/>
      <c r="AB29" s="52"/>
      <c r="AC29" s="52"/>
      <c r="AD29" s="54"/>
      <c r="AE29" s="52"/>
      <c r="AF29" s="52"/>
      <c r="AG29" s="52"/>
      <c r="AH29" s="59"/>
      <c r="AI29" s="59"/>
      <c r="AK29" s="31">
        <f t="shared" si="0"/>
      </c>
    </row>
    <row r="30" spans="1:37" s="31" customFormat="1" ht="30" customHeight="1">
      <c r="A30" s="24">
        <v>23</v>
      </c>
      <c r="B30" s="151"/>
      <c r="C30" s="27"/>
      <c r="D30" s="28"/>
      <c r="E30" s="29"/>
      <c r="F30" s="29"/>
      <c r="G30" s="30">
        <f>IF(J30="X",'Ineligibility Reasons'!$A$4,"")&amp;IF(K30="X",'Ineligibility Reasons'!$A$5,"")&amp;IF(L30="X",'Ineligibility Reasons'!$A$6,"")&amp;IF(M30="X",'Ineligibility Reasons'!$A$7,"")&amp;IF(N30="X",'Ineligibility Reasons'!$A$8,"")&amp;IF(O30="X",'Ineligibility Reasons'!$A$9,"")&amp;IF(P30="X",'Ineligibility Reasons'!$A$11,"")&amp;IF(Q30="X",'Ineligibility Reasons'!$A$12,"")&amp;IF(R30="X",'Ineligibility Reasons'!$A$13,"")&amp;IF(S30="X",'Ineligibility Reasons'!$A$14,"")&amp;IF(T30="X",'Ineligibility Reasons'!$A$15,"")&amp;IF(U30="X",'Ineligibility Reasons'!$A$16,"")&amp;IF(V30="X",'Ineligibility Reasons'!$A$17,"")&amp;IF(W30="X",'Ineligibility Reasons'!$A$19,"")&amp;IF(X30="X",'Ineligibility Reasons'!$A$20,"")&amp;IF(Y30="X",'Ineligibility Reasons'!$A$21,"")&amp;IF(Z30="X",'Ineligibility Reasons'!$A$22,"")&amp;IF(AA30="X",'Ineligibility Reasons'!$A$23,"")&amp;IF(AB30="X",'Ineligibility Reasons'!$A$24,"")&amp;IF(AC30="X",'Ineligibility Reasons'!$A$25,"")&amp;IF(AD30="X",'Ineligibility Reasons'!$A$26,"")&amp;IF(AE30="X",'Ineligibility Reasons'!$A$28,"")&amp;IF(AF30="X",'Ineligibility Reasons'!$A$29,"")&amp;IF(AG30="X",'Ineligibility Reasons'!$A$30,"")&amp;IF(AH30="X",'Ineligibility Reasons'!$A$31,"")&amp;IF('Schedule 2'!AI30="X",'Ineligibility Reasons'!$A$32,"")</f>
      </c>
      <c r="H30" s="145"/>
      <c r="I30" s="147"/>
      <c r="J30" s="53"/>
      <c r="K30" s="52"/>
      <c r="L30" s="59"/>
      <c r="M30" s="52"/>
      <c r="N30" s="59"/>
      <c r="O30" s="54"/>
      <c r="P30" s="53"/>
      <c r="Q30" s="52"/>
      <c r="R30" s="52"/>
      <c r="S30" s="52"/>
      <c r="T30" s="52"/>
      <c r="U30" s="52"/>
      <c r="V30" s="59"/>
      <c r="W30" s="53"/>
      <c r="X30" s="52"/>
      <c r="Y30" s="52"/>
      <c r="Z30" s="52"/>
      <c r="AA30" s="52"/>
      <c r="AB30" s="52"/>
      <c r="AC30" s="52"/>
      <c r="AD30" s="54"/>
      <c r="AE30" s="52"/>
      <c r="AF30" s="52"/>
      <c r="AG30" s="52"/>
      <c r="AH30" s="59"/>
      <c r="AI30" s="59"/>
      <c r="AK30" s="31">
        <f t="shared" si="0"/>
      </c>
    </row>
    <row r="31" spans="1:37" s="31" customFormat="1" ht="30" customHeight="1">
      <c r="A31" s="24">
        <v>24</v>
      </c>
      <c r="B31" s="151"/>
      <c r="C31" s="27"/>
      <c r="D31" s="28"/>
      <c r="E31" s="29"/>
      <c r="F31" s="29"/>
      <c r="G31" s="30">
        <f>IF(J31="X",'Ineligibility Reasons'!$A$4,"")&amp;IF(K31="X",'Ineligibility Reasons'!$A$5,"")&amp;IF(L31="X",'Ineligibility Reasons'!$A$6,"")&amp;IF(M31="X",'Ineligibility Reasons'!$A$7,"")&amp;IF(N31="X",'Ineligibility Reasons'!$A$8,"")&amp;IF(O31="X",'Ineligibility Reasons'!$A$9,"")&amp;IF(P31="X",'Ineligibility Reasons'!$A$11,"")&amp;IF(Q31="X",'Ineligibility Reasons'!$A$12,"")&amp;IF(R31="X",'Ineligibility Reasons'!$A$13,"")&amp;IF(S31="X",'Ineligibility Reasons'!$A$14,"")&amp;IF(T31="X",'Ineligibility Reasons'!$A$15,"")&amp;IF(U31="X",'Ineligibility Reasons'!$A$16,"")&amp;IF(V31="X",'Ineligibility Reasons'!$A$17,"")&amp;IF(W31="X",'Ineligibility Reasons'!$A$19,"")&amp;IF(X31="X",'Ineligibility Reasons'!$A$20,"")&amp;IF(Y31="X",'Ineligibility Reasons'!$A$21,"")&amp;IF(Z31="X",'Ineligibility Reasons'!$A$22,"")&amp;IF(AA31="X",'Ineligibility Reasons'!$A$23,"")&amp;IF(AB31="X",'Ineligibility Reasons'!$A$24,"")&amp;IF(AC31="X",'Ineligibility Reasons'!$A$25,"")&amp;IF(AD31="X",'Ineligibility Reasons'!$A$26,"")&amp;IF(AE31="X",'Ineligibility Reasons'!$A$28,"")&amp;IF(AF31="X",'Ineligibility Reasons'!$A$29,"")&amp;IF(AG31="X",'Ineligibility Reasons'!$A$30,"")&amp;IF(AH31="X",'Ineligibility Reasons'!$A$31,"")&amp;IF('Schedule 2'!AI31="X",'Ineligibility Reasons'!$A$32,"")</f>
      </c>
      <c r="H31" s="145"/>
      <c r="I31" s="147"/>
      <c r="J31" s="53"/>
      <c r="K31" s="52"/>
      <c r="L31" s="59"/>
      <c r="M31" s="52"/>
      <c r="N31" s="59"/>
      <c r="O31" s="54"/>
      <c r="P31" s="53"/>
      <c r="Q31" s="52"/>
      <c r="R31" s="52"/>
      <c r="S31" s="52"/>
      <c r="T31" s="52"/>
      <c r="U31" s="52"/>
      <c r="V31" s="59"/>
      <c r="W31" s="53"/>
      <c r="X31" s="52"/>
      <c r="Y31" s="52"/>
      <c r="Z31" s="52"/>
      <c r="AA31" s="52"/>
      <c r="AB31" s="52"/>
      <c r="AC31" s="52"/>
      <c r="AD31" s="54"/>
      <c r="AE31" s="52"/>
      <c r="AF31" s="52"/>
      <c r="AG31" s="52"/>
      <c r="AH31" s="59"/>
      <c r="AI31" s="59"/>
      <c r="AK31" s="31">
        <f t="shared" si="0"/>
      </c>
    </row>
    <row r="32" spans="1:37" s="31" customFormat="1" ht="30" customHeight="1">
      <c r="A32" s="24">
        <v>25</v>
      </c>
      <c r="B32" s="151"/>
      <c r="C32" s="27"/>
      <c r="D32" s="28"/>
      <c r="E32" s="29"/>
      <c r="F32" s="29"/>
      <c r="G32" s="30">
        <f>IF(J32="X",'Ineligibility Reasons'!$A$4,"")&amp;IF(K32="X",'Ineligibility Reasons'!$A$5,"")&amp;IF(L32="X",'Ineligibility Reasons'!$A$6,"")&amp;IF(M32="X",'Ineligibility Reasons'!$A$7,"")&amp;IF(N32="X",'Ineligibility Reasons'!$A$8,"")&amp;IF(O32="X",'Ineligibility Reasons'!$A$9,"")&amp;IF(P32="X",'Ineligibility Reasons'!$A$11,"")&amp;IF(Q32="X",'Ineligibility Reasons'!$A$12,"")&amp;IF(R32="X",'Ineligibility Reasons'!$A$13,"")&amp;IF(S32="X",'Ineligibility Reasons'!$A$14,"")&amp;IF(T32="X",'Ineligibility Reasons'!$A$15,"")&amp;IF(U32="X",'Ineligibility Reasons'!$A$16,"")&amp;IF(V32="X",'Ineligibility Reasons'!$A$17,"")&amp;IF(W32="X",'Ineligibility Reasons'!$A$19,"")&amp;IF(X32="X",'Ineligibility Reasons'!$A$20,"")&amp;IF(Y32="X",'Ineligibility Reasons'!$A$21,"")&amp;IF(Z32="X",'Ineligibility Reasons'!$A$22,"")&amp;IF(AA32="X",'Ineligibility Reasons'!$A$23,"")&amp;IF(AB32="X",'Ineligibility Reasons'!$A$24,"")&amp;IF(AC32="X",'Ineligibility Reasons'!$A$25,"")&amp;IF(AD32="X",'Ineligibility Reasons'!$A$26,"")&amp;IF(AE32="X",'Ineligibility Reasons'!$A$28,"")&amp;IF(AF32="X",'Ineligibility Reasons'!$A$29,"")&amp;IF(AG32="X",'Ineligibility Reasons'!$A$30,"")&amp;IF(AH32="X",'Ineligibility Reasons'!$A$31,"")&amp;IF('Schedule 2'!AI32="X",'Ineligibility Reasons'!$A$32,"")</f>
      </c>
      <c r="H32" s="145"/>
      <c r="I32" s="147"/>
      <c r="J32" s="53"/>
      <c r="K32" s="52"/>
      <c r="L32" s="59"/>
      <c r="M32" s="52"/>
      <c r="N32" s="59"/>
      <c r="O32" s="54"/>
      <c r="P32" s="53"/>
      <c r="Q32" s="52"/>
      <c r="R32" s="52"/>
      <c r="S32" s="52"/>
      <c r="T32" s="52"/>
      <c r="U32" s="52"/>
      <c r="V32" s="59"/>
      <c r="W32" s="53"/>
      <c r="X32" s="52"/>
      <c r="Y32" s="52"/>
      <c r="Z32" s="52"/>
      <c r="AA32" s="52"/>
      <c r="AB32" s="52"/>
      <c r="AC32" s="52"/>
      <c r="AD32" s="54"/>
      <c r="AE32" s="52"/>
      <c r="AF32" s="52"/>
      <c r="AG32" s="52"/>
      <c r="AH32" s="59"/>
      <c r="AI32" s="59"/>
      <c r="AK32" s="31">
        <f t="shared" si="0"/>
      </c>
    </row>
    <row r="33" spans="1:37" s="31" customFormat="1" ht="30" customHeight="1">
      <c r="A33" s="24">
        <v>26</v>
      </c>
      <c r="B33" s="151"/>
      <c r="C33" s="27"/>
      <c r="D33" s="28"/>
      <c r="E33" s="29"/>
      <c r="F33" s="29"/>
      <c r="G33" s="30">
        <f>IF(J33="X",'Ineligibility Reasons'!$A$4,"")&amp;IF(K33="X",'Ineligibility Reasons'!$A$5,"")&amp;IF(L33="X",'Ineligibility Reasons'!$A$6,"")&amp;IF(M33="X",'Ineligibility Reasons'!$A$7,"")&amp;IF(N33="X",'Ineligibility Reasons'!$A$8,"")&amp;IF(O33="X",'Ineligibility Reasons'!$A$9,"")&amp;IF(P33="X",'Ineligibility Reasons'!$A$11,"")&amp;IF(Q33="X",'Ineligibility Reasons'!$A$12,"")&amp;IF(R33="X",'Ineligibility Reasons'!$A$13,"")&amp;IF(S33="X",'Ineligibility Reasons'!$A$14,"")&amp;IF(T33="X",'Ineligibility Reasons'!$A$15,"")&amp;IF(U33="X",'Ineligibility Reasons'!$A$16,"")&amp;IF(V33="X",'Ineligibility Reasons'!$A$17,"")&amp;IF(W33="X",'Ineligibility Reasons'!$A$19,"")&amp;IF(X33="X",'Ineligibility Reasons'!$A$20,"")&amp;IF(Y33="X",'Ineligibility Reasons'!$A$21,"")&amp;IF(Z33="X",'Ineligibility Reasons'!$A$22,"")&amp;IF(AA33="X",'Ineligibility Reasons'!$A$23,"")&amp;IF(AB33="X",'Ineligibility Reasons'!$A$24,"")&amp;IF(AC33="X",'Ineligibility Reasons'!$A$25,"")&amp;IF(AD33="X",'Ineligibility Reasons'!$A$26,"")&amp;IF(AE33="X",'Ineligibility Reasons'!$A$28,"")&amp;IF(AF33="X",'Ineligibility Reasons'!$A$29,"")&amp;IF(AG33="X",'Ineligibility Reasons'!$A$30,"")&amp;IF(AH33="X",'Ineligibility Reasons'!$A$31,"")&amp;IF('Schedule 2'!AI33="X",'Ineligibility Reasons'!$A$32,"")</f>
      </c>
      <c r="H33" s="145"/>
      <c r="I33" s="147"/>
      <c r="J33" s="53"/>
      <c r="K33" s="52"/>
      <c r="L33" s="59"/>
      <c r="M33" s="52"/>
      <c r="N33" s="59"/>
      <c r="O33" s="54"/>
      <c r="P33" s="53"/>
      <c r="Q33" s="52"/>
      <c r="R33" s="52"/>
      <c r="S33" s="52"/>
      <c r="T33" s="52"/>
      <c r="U33" s="52"/>
      <c r="V33" s="59"/>
      <c r="W33" s="53"/>
      <c r="X33" s="52"/>
      <c r="Y33" s="52"/>
      <c r="Z33" s="52"/>
      <c r="AA33" s="52"/>
      <c r="AB33" s="52"/>
      <c r="AC33" s="52"/>
      <c r="AD33" s="54"/>
      <c r="AE33" s="52"/>
      <c r="AF33" s="52"/>
      <c r="AG33" s="52"/>
      <c r="AH33" s="59"/>
      <c r="AI33" s="59"/>
      <c r="AK33" s="31">
        <f t="shared" si="0"/>
      </c>
    </row>
    <row r="34" spans="1:37" s="31" customFormat="1" ht="30" customHeight="1">
      <c r="A34" s="24">
        <v>27</v>
      </c>
      <c r="B34" s="151"/>
      <c r="C34" s="27"/>
      <c r="D34" s="28"/>
      <c r="E34" s="29"/>
      <c r="F34" s="29"/>
      <c r="G34" s="30">
        <f>IF(J34="X",'Ineligibility Reasons'!$A$4,"")&amp;IF(K34="X",'Ineligibility Reasons'!$A$5,"")&amp;IF(L34="X",'Ineligibility Reasons'!$A$6,"")&amp;IF(M34="X",'Ineligibility Reasons'!$A$7,"")&amp;IF(N34="X",'Ineligibility Reasons'!$A$8,"")&amp;IF(O34="X",'Ineligibility Reasons'!$A$9,"")&amp;IF(P34="X",'Ineligibility Reasons'!$A$11,"")&amp;IF(Q34="X",'Ineligibility Reasons'!$A$12,"")&amp;IF(R34="X",'Ineligibility Reasons'!$A$13,"")&amp;IF(S34="X",'Ineligibility Reasons'!$A$14,"")&amp;IF(T34="X",'Ineligibility Reasons'!$A$15,"")&amp;IF(U34="X",'Ineligibility Reasons'!$A$16,"")&amp;IF(V34="X",'Ineligibility Reasons'!$A$17,"")&amp;IF(W34="X",'Ineligibility Reasons'!$A$19,"")&amp;IF(X34="X",'Ineligibility Reasons'!$A$20,"")&amp;IF(Y34="X",'Ineligibility Reasons'!$A$21,"")&amp;IF(Z34="X",'Ineligibility Reasons'!$A$22,"")&amp;IF(AA34="X",'Ineligibility Reasons'!$A$23,"")&amp;IF(AB34="X",'Ineligibility Reasons'!$A$24,"")&amp;IF(AC34="X",'Ineligibility Reasons'!$A$25,"")&amp;IF(AD34="X",'Ineligibility Reasons'!$A$26,"")&amp;IF(AE34="X",'Ineligibility Reasons'!$A$28,"")&amp;IF(AF34="X",'Ineligibility Reasons'!$A$29,"")&amp;IF(AG34="X",'Ineligibility Reasons'!$A$30,"")&amp;IF(AH34="X",'Ineligibility Reasons'!$A$31,"")&amp;IF('Schedule 2'!AI34="X",'Ineligibility Reasons'!$A$32,"")</f>
      </c>
      <c r="H34" s="145"/>
      <c r="I34" s="147"/>
      <c r="J34" s="53"/>
      <c r="K34" s="52"/>
      <c r="L34" s="59"/>
      <c r="M34" s="52"/>
      <c r="N34" s="59"/>
      <c r="O34" s="54"/>
      <c r="P34" s="53"/>
      <c r="Q34" s="52"/>
      <c r="R34" s="52"/>
      <c r="S34" s="52"/>
      <c r="T34" s="52"/>
      <c r="U34" s="52"/>
      <c r="V34" s="59"/>
      <c r="W34" s="53"/>
      <c r="X34" s="52"/>
      <c r="Y34" s="52"/>
      <c r="Z34" s="52"/>
      <c r="AA34" s="52"/>
      <c r="AB34" s="52"/>
      <c r="AC34" s="52"/>
      <c r="AD34" s="54"/>
      <c r="AE34" s="52"/>
      <c r="AF34" s="52"/>
      <c r="AG34" s="52"/>
      <c r="AH34" s="59"/>
      <c r="AI34" s="59"/>
      <c r="AK34" s="31">
        <f t="shared" si="0"/>
      </c>
    </row>
    <row r="35" spans="1:37" s="31" customFormat="1" ht="30" customHeight="1">
      <c r="A35" s="24">
        <v>28</v>
      </c>
      <c r="B35" s="151"/>
      <c r="C35" s="27"/>
      <c r="D35" s="28"/>
      <c r="E35" s="29"/>
      <c r="F35" s="29"/>
      <c r="G35" s="30">
        <f>IF(J35="X",'Ineligibility Reasons'!$A$4,"")&amp;IF(K35="X",'Ineligibility Reasons'!$A$5,"")&amp;IF(L35="X",'Ineligibility Reasons'!$A$6,"")&amp;IF(M35="X",'Ineligibility Reasons'!$A$7,"")&amp;IF(N35="X",'Ineligibility Reasons'!$A$8,"")&amp;IF(O35="X",'Ineligibility Reasons'!$A$9,"")&amp;IF(P35="X",'Ineligibility Reasons'!$A$11,"")&amp;IF(Q35="X",'Ineligibility Reasons'!$A$12,"")&amp;IF(R35="X",'Ineligibility Reasons'!$A$13,"")&amp;IF(S35="X",'Ineligibility Reasons'!$A$14,"")&amp;IF(T35="X",'Ineligibility Reasons'!$A$15,"")&amp;IF(U35="X",'Ineligibility Reasons'!$A$16,"")&amp;IF(V35="X",'Ineligibility Reasons'!$A$17,"")&amp;IF(W35="X",'Ineligibility Reasons'!$A$19,"")&amp;IF(X35="X",'Ineligibility Reasons'!$A$20,"")&amp;IF(Y35="X",'Ineligibility Reasons'!$A$21,"")&amp;IF(Z35="X",'Ineligibility Reasons'!$A$22,"")&amp;IF(AA35="X",'Ineligibility Reasons'!$A$23,"")&amp;IF(AB35="X",'Ineligibility Reasons'!$A$24,"")&amp;IF(AC35="X",'Ineligibility Reasons'!$A$25,"")&amp;IF(AD35="X",'Ineligibility Reasons'!$A$26,"")&amp;IF(AE35="X",'Ineligibility Reasons'!$A$28,"")&amp;IF(AF35="X",'Ineligibility Reasons'!$A$29,"")&amp;IF(AG35="X",'Ineligibility Reasons'!$A$30,"")&amp;IF(AH35="X",'Ineligibility Reasons'!$A$31,"")&amp;IF('Schedule 2'!AI35="X",'Ineligibility Reasons'!$A$32,"")</f>
      </c>
      <c r="H35" s="145"/>
      <c r="I35" s="147"/>
      <c r="J35" s="53"/>
      <c r="K35" s="52"/>
      <c r="L35" s="59"/>
      <c r="M35" s="52"/>
      <c r="N35" s="59"/>
      <c r="O35" s="54"/>
      <c r="P35" s="53"/>
      <c r="Q35" s="52"/>
      <c r="R35" s="52"/>
      <c r="S35" s="52"/>
      <c r="T35" s="52"/>
      <c r="U35" s="52"/>
      <c r="V35" s="59"/>
      <c r="W35" s="53"/>
      <c r="X35" s="52"/>
      <c r="Y35" s="52"/>
      <c r="Z35" s="52"/>
      <c r="AA35" s="52"/>
      <c r="AB35" s="52"/>
      <c r="AC35" s="52"/>
      <c r="AD35" s="54"/>
      <c r="AE35" s="52"/>
      <c r="AF35" s="52"/>
      <c r="AG35" s="52"/>
      <c r="AH35" s="59"/>
      <c r="AI35" s="59"/>
      <c r="AK35" s="31">
        <f t="shared" si="0"/>
      </c>
    </row>
    <row r="36" spans="1:37" s="31" customFormat="1" ht="30" customHeight="1">
      <c r="A36" s="24">
        <v>29</v>
      </c>
      <c r="B36" s="151"/>
      <c r="C36" s="27"/>
      <c r="D36" s="28"/>
      <c r="E36" s="29"/>
      <c r="F36" s="29"/>
      <c r="G36" s="30">
        <f>IF(J36="X",'Ineligibility Reasons'!$A$4,"")&amp;IF(K36="X",'Ineligibility Reasons'!$A$5,"")&amp;IF(L36="X",'Ineligibility Reasons'!$A$6,"")&amp;IF(M36="X",'Ineligibility Reasons'!$A$7,"")&amp;IF(N36="X",'Ineligibility Reasons'!$A$8,"")&amp;IF(O36="X",'Ineligibility Reasons'!$A$9,"")&amp;IF(P36="X",'Ineligibility Reasons'!$A$11,"")&amp;IF(Q36="X",'Ineligibility Reasons'!$A$12,"")&amp;IF(R36="X",'Ineligibility Reasons'!$A$13,"")&amp;IF(S36="X",'Ineligibility Reasons'!$A$14,"")&amp;IF(T36="X",'Ineligibility Reasons'!$A$15,"")&amp;IF(U36="X",'Ineligibility Reasons'!$A$16,"")&amp;IF(V36="X",'Ineligibility Reasons'!$A$17,"")&amp;IF(W36="X",'Ineligibility Reasons'!$A$19,"")&amp;IF(X36="X",'Ineligibility Reasons'!$A$20,"")&amp;IF(Y36="X",'Ineligibility Reasons'!$A$21,"")&amp;IF(Z36="X",'Ineligibility Reasons'!$A$22,"")&amp;IF(AA36="X",'Ineligibility Reasons'!$A$23,"")&amp;IF(AB36="X",'Ineligibility Reasons'!$A$24,"")&amp;IF(AC36="X",'Ineligibility Reasons'!$A$25,"")&amp;IF(AD36="X",'Ineligibility Reasons'!$A$26,"")&amp;IF(AE36="X",'Ineligibility Reasons'!$A$28,"")&amp;IF(AF36="X",'Ineligibility Reasons'!$A$29,"")&amp;IF(AG36="X",'Ineligibility Reasons'!$A$30,"")&amp;IF(AH36="X",'Ineligibility Reasons'!$A$31,"")&amp;IF('Schedule 2'!AI36="X",'Ineligibility Reasons'!$A$32,"")</f>
      </c>
      <c r="H36" s="145"/>
      <c r="I36" s="147"/>
      <c r="J36" s="53"/>
      <c r="K36" s="52"/>
      <c r="L36" s="59"/>
      <c r="M36" s="52"/>
      <c r="N36" s="59"/>
      <c r="O36" s="54"/>
      <c r="P36" s="53"/>
      <c r="Q36" s="52"/>
      <c r="R36" s="52"/>
      <c r="S36" s="52"/>
      <c r="T36" s="52"/>
      <c r="U36" s="52"/>
      <c r="V36" s="59"/>
      <c r="W36" s="53"/>
      <c r="X36" s="52"/>
      <c r="Y36" s="52"/>
      <c r="Z36" s="52"/>
      <c r="AA36" s="52"/>
      <c r="AB36" s="52"/>
      <c r="AC36" s="52"/>
      <c r="AD36" s="54"/>
      <c r="AE36" s="52"/>
      <c r="AF36" s="52"/>
      <c r="AG36" s="52"/>
      <c r="AH36" s="59"/>
      <c r="AI36" s="59"/>
      <c r="AK36" s="31">
        <f t="shared" si="0"/>
      </c>
    </row>
    <row r="37" spans="1:37" s="31" customFormat="1" ht="30" customHeight="1">
      <c r="A37" s="24">
        <v>30</v>
      </c>
      <c r="B37" s="151"/>
      <c r="C37" s="27"/>
      <c r="D37" s="28"/>
      <c r="E37" s="29"/>
      <c r="F37" s="29"/>
      <c r="G37" s="30">
        <f>IF(J37="X",'Ineligibility Reasons'!$A$4,"")&amp;IF(K37="X",'Ineligibility Reasons'!$A$5,"")&amp;IF(L37="X",'Ineligibility Reasons'!$A$6,"")&amp;IF(M37="X",'Ineligibility Reasons'!$A$7,"")&amp;IF(N37="X",'Ineligibility Reasons'!$A$8,"")&amp;IF(O37="X",'Ineligibility Reasons'!$A$9,"")&amp;IF(P37="X",'Ineligibility Reasons'!$A$11,"")&amp;IF(Q37="X",'Ineligibility Reasons'!$A$12,"")&amp;IF(R37="X",'Ineligibility Reasons'!$A$13,"")&amp;IF(S37="X",'Ineligibility Reasons'!$A$14,"")&amp;IF(T37="X",'Ineligibility Reasons'!$A$15,"")&amp;IF(U37="X",'Ineligibility Reasons'!$A$16,"")&amp;IF(V37="X",'Ineligibility Reasons'!$A$17,"")&amp;IF(W37="X",'Ineligibility Reasons'!$A$19,"")&amp;IF(X37="X",'Ineligibility Reasons'!$A$20,"")&amp;IF(Y37="X",'Ineligibility Reasons'!$A$21,"")&amp;IF(Z37="X",'Ineligibility Reasons'!$A$22,"")&amp;IF(AA37="X",'Ineligibility Reasons'!$A$23,"")&amp;IF(AB37="X",'Ineligibility Reasons'!$A$24,"")&amp;IF(AC37="X",'Ineligibility Reasons'!$A$25,"")&amp;IF(AD37="X",'Ineligibility Reasons'!$A$26,"")&amp;IF(AE37="X",'Ineligibility Reasons'!$A$28,"")&amp;IF(AF37="X",'Ineligibility Reasons'!$A$29,"")&amp;IF(AG37="X",'Ineligibility Reasons'!$A$30,"")&amp;IF(AH37="X",'Ineligibility Reasons'!$A$31,"")&amp;IF('Schedule 2'!AI37="X",'Ineligibility Reasons'!$A$32,"")</f>
      </c>
      <c r="H37" s="145"/>
      <c r="I37" s="147"/>
      <c r="J37" s="53"/>
      <c r="K37" s="52"/>
      <c r="L37" s="59"/>
      <c r="M37" s="52"/>
      <c r="N37" s="59"/>
      <c r="O37" s="54"/>
      <c r="P37" s="53"/>
      <c r="Q37" s="52"/>
      <c r="R37" s="52"/>
      <c r="S37" s="52"/>
      <c r="T37" s="52"/>
      <c r="U37" s="52"/>
      <c r="V37" s="59"/>
      <c r="W37" s="53"/>
      <c r="X37" s="52"/>
      <c r="Y37" s="52"/>
      <c r="Z37" s="52"/>
      <c r="AA37" s="52"/>
      <c r="AB37" s="52"/>
      <c r="AC37" s="52"/>
      <c r="AD37" s="54"/>
      <c r="AE37" s="52"/>
      <c r="AF37" s="52"/>
      <c r="AG37" s="52"/>
      <c r="AH37" s="59"/>
      <c r="AI37" s="59"/>
      <c r="AK37" s="31">
        <f t="shared" si="0"/>
      </c>
    </row>
    <row r="38" spans="1:37" s="31" customFormat="1" ht="30" customHeight="1">
      <c r="A38" s="24">
        <v>31</v>
      </c>
      <c r="B38" s="151"/>
      <c r="C38" s="27"/>
      <c r="D38" s="28"/>
      <c r="E38" s="29"/>
      <c r="F38" s="29"/>
      <c r="G38" s="30">
        <f>IF(J38="X",'Ineligibility Reasons'!$A$4,"")&amp;IF(K38="X",'Ineligibility Reasons'!$A$5,"")&amp;IF(L38="X",'Ineligibility Reasons'!$A$6,"")&amp;IF(M38="X",'Ineligibility Reasons'!$A$7,"")&amp;IF(N38="X",'Ineligibility Reasons'!$A$8,"")&amp;IF(O38="X",'Ineligibility Reasons'!$A$9,"")&amp;IF(P38="X",'Ineligibility Reasons'!$A$11,"")&amp;IF(Q38="X",'Ineligibility Reasons'!$A$12,"")&amp;IF(R38="X",'Ineligibility Reasons'!$A$13,"")&amp;IF(S38="X",'Ineligibility Reasons'!$A$14,"")&amp;IF(T38="X",'Ineligibility Reasons'!$A$15,"")&amp;IF(U38="X",'Ineligibility Reasons'!$A$16,"")&amp;IF(V38="X",'Ineligibility Reasons'!$A$17,"")&amp;IF(W38="X",'Ineligibility Reasons'!$A$19,"")&amp;IF(X38="X",'Ineligibility Reasons'!$A$20,"")&amp;IF(Y38="X",'Ineligibility Reasons'!$A$21,"")&amp;IF(Z38="X",'Ineligibility Reasons'!$A$22,"")&amp;IF(AA38="X",'Ineligibility Reasons'!$A$23,"")&amp;IF(AB38="X",'Ineligibility Reasons'!$A$24,"")&amp;IF(AC38="X",'Ineligibility Reasons'!$A$25,"")&amp;IF(AD38="X",'Ineligibility Reasons'!$A$26,"")&amp;IF(AE38="X",'Ineligibility Reasons'!$A$28,"")&amp;IF(AF38="X",'Ineligibility Reasons'!$A$29,"")&amp;IF(AG38="X",'Ineligibility Reasons'!$A$30,"")&amp;IF(AH38="X",'Ineligibility Reasons'!$A$31,"")&amp;IF('Schedule 2'!AI38="X",'Ineligibility Reasons'!$A$32,"")</f>
      </c>
      <c r="H38" s="145"/>
      <c r="I38" s="147"/>
      <c r="J38" s="53"/>
      <c r="K38" s="52"/>
      <c r="L38" s="59"/>
      <c r="M38" s="52"/>
      <c r="N38" s="59"/>
      <c r="O38" s="54"/>
      <c r="P38" s="53"/>
      <c r="Q38" s="52"/>
      <c r="R38" s="52"/>
      <c r="S38" s="52"/>
      <c r="T38" s="52"/>
      <c r="U38" s="52"/>
      <c r="V38" s="59"/>
      <c r="W38" s="53"/>
      <c r="X38" s="52"/>
      <c r="Y38" s="52"/>
      <c r="Z38" s="52"/>
      <c r="AA38" s="52"/>
      <c r="AB38" s="52"/>
      <c r="AC38" s="52"/>
      <c r="AD38" s="54"/>
      <c r="AE38" s="52"/>
      <c r="AF38" s="52"/>
      <c r="AG38" s="52"/>
      <c r="AH38" s="59"/>
      <c r="AI38" s="59"/>
      <c r="AK38" s="31">
        <f t="shared" si="0"/>
      </c>
    </row>
    <row r="39" spans="1:37" s="31" customFormat="1" ht="30" customHeight="1">
      <c r="A39" s="24">
        <v>32</v>
      </c>
      <c r="B39" s="151"/>
      <c r="C39" s="27"/>
      <c r="D39" s="28"/>
      <c r="E39" s="29"/>
      <c r="F39" s="29"/>
      <c r="G39" s="30">
        <f>IF(J39="X",'Ineligibility Reasons'!$A$4,"")&amp;IF(K39="X",'Ineligibility Reasons'!$A$5,"")&amp;IF(L39="X",'Ineligibility Reasons'!$A$6,"")&amp;IF(M39="X",'Ineligibility Reasons'!$A$7,"")&amp;IF(N39="X",'Ineligibility Reasons'!$A$8,"")&amp;IF(O39="X",'Ineligibility Reasons'!$A$9,"")&amp;IF(P39="X",'Ineligibility Reasons'!$A$11,"")&amp;IF(Q39="X",'Ineligibility Reasons'!$A$12,"")&amp;IF(R39="X",'Ineligibility Reasons'!$A$13,"")&amp;IF(S39="X",'Ineligibility Reasons'!$A$14,"")&amp;IF(T39="X",'Ineligibility Reasons'!$A$15,"")&amp;IF(U39="X",'Ineligibility Reasons'!$A$16,"")&amp;IF(V39="X",'Ineligibility Reasons'!$A$17,"")&amp;IF(W39="X",'Ineligibility Reasons'!$A$19,"")&amp;IF(X39="X",'Ineligibility Reasons'!$A$20,"")&amp;IF(Y39="X",'Ineligibility Reasons'!$A$21,"")&amp;IF(Z39="X",'Ineligibility Reasons'!$A$22,"")&amp;IF(AA39="X",'Ineligibility Reasons'!$A$23,"")&amp;IF(AB39="X",'Ineligibility Reasons'!$A$24,"")&amp;IF(AC39="X",'Ineligibility Reasons'!$A$25,"")&amp;IF(AD39="X",'Ineligibility Reasons'!$A$26,"")&amp;IF(AE39="X",'Ineligibility Reasons'!$A$28,"")&amp;IF(AF39="X",'Ineligibility Reasons'!$A$29,"")&amp;IF(AG39="X",'Ineligibility Reasons'!$A$30,"")&amp;IF(AH39="X",'Ineligibility Reasons'!$A$31,"")&amp;IF('Schedule 2'!AI39="X",'Ineligibility Reasons'!$A$32,"")</f>
      </c>
      <c r="H39" s="145"/>
      <c r="I39" s="147"/>
      <c r="J39" s="53"/>
      <c r="K39" s="52"/>
      <c r="L39" s="59"/>
      <c r="M39" s="52"/>
      <c r="N39" s="59"/>
      <c r="O39" s="54"/>
      <c r="P39" s="53"/>
      <c r="Q39" s="52"/>
      <c r="R39" s="52"/>
      <c r="S39" s="52"/>
      <c r="T39" s="52"/>
      <c r="U39" s="52"/>
      <c r="V39" s="59"/>
      <c r="W39" s="53"/>
      <c r="X39" s="52"/>
      <c r="Y39" s="52"/>
      <c r="Z39" s="52"/>
      <c r="AA39" s="52"/>
      <c r="AB39" s="52"/>
      <c r="AC39" s="52"/>
      <c r="AD39" s="54"/>
      <c r="AE39" s="52"/>
      <c r="AF39" s="52"/>
      <c r="AG39" s="52"/>
      <c r="AH39" s="59"/>
      <c r="AI39" s="59"/>
      <c r="AK39" s="31">
        <f t="shared" si="0"/>
      </c>
    </row>
    <row r="40" spans="1:37" s="31" customFormat="1" ht="30" customHeight="1">
      <c r="A40" s="24">
        <v>33</v>
      </c>
      <c r="B40" s="151"/>
      <c r="C40" s="27"/>
      <c r="D40" s="28"/>
      <c r="E40" s="29"/>
      <c r="F40" s="29"/>
      <c r="G40" s="30">
        <f>IF(J40="X",'Ineligibility Reasons'!$A$4,"")&amp;IF(K40="X",'Ineligibility Reasons'!$A$5,"")&amp;IF(L40="X",'Ineligibility Reasons'!$A$6,"")&amp;IF(M40="X",'Ineligibility Reasons'!$A$7,"")&amp;IF(N40="X",'Ineligibility Reasons'!$A$8,"")&amp;IF(O40="X",'Ineligibility Reasons'!$A$9,"")&amp;IF(P40="X",'Ineligibility Reasons'!$A$11,"")&amp;IF(Q40="X",'Ineligibility Reasons'!$A$12,"")&amp;IF(R40="X",'Ineligibility Reasons'!$A$13,"")&amp;IF(S40="X",'Ineligibility Reasons'!$A$14,"")&amp;IF(T40="X",'Ineligibility Reasons'!$A$15,"")&amp;IF(U40="X",'Ineligibility Reasons'!$A$16,"")&amp;IF(V40="X",'Ineligibility Reasons'!$A$17,"")&amp;IF(W40="X",'Ineligibility Reasons'!$A$19,"")&amp;IF(X40="X",'Ineligibility Reasons'!$A$20,"")&amp;IF(Y40="X",'Ineligibility Reasons'!$A$21,"")&amp;IF(Z40="X",'Ineligibility Reasons'!$A$22,"")&amp;IF(AA40="X",'Ineligibility Reasons'!$A$23,"")&amp;IF(AB40="X",'Ineligibility Reasons'!$A$24,"")&amp;IF(AC40="X",'Ineligibility Reasons'!$A$25,"")&amp;IF(AD40="X",'Ineligibility Reasons'!$A$26,"")&amp;IF(AE40="X",'Ineligibility Reasons'!$A$28,"")&amp;IF(AF40="X",'Ineligibility Reasons'!$A$29,"")&amp;IF(AG40="X",'Ineligibility Reasons'!$A$30,"")&amp;IF(AH40="X",'Ineligibility Reasons'!$A$31,"")&amp;IF('Schedule 2'!AI40="X",'Ineligibility Reasons'!$A$32,"")</f>
      </c>
      <c r="H40" s="145"/>
      <c r="I40" s="147"/>
      <c r="J40" s="53"/>
      <c r="K40" s="52"/>
      <c r="L40" s="59"/>
      <c r="M40" s="52"/>
      <c r="N40" s="59"/>
      <c r="O40" s="54"/>
      <c r="P40" s="53"/>
      <c r="Q40" s="52"/>
      <c r="R40" s="52"/>
      <c r="S40" s="52"/>
      <c r="T40" s="52"/>
      <c r="U40" s="52"/>
      <c r="V40" s="59"/>
      <c r="W40" s="53"/>
      <c r="X40" s="52"/>
      <c r="Y40" s="52"/>
      <c r="Z40" s="52"/>
      <c r="AA40" s="52"/>
      <c r="AB40" s="52"/>
      <c r="AC40" s="52"/>
      <c r="AD40" s="54"/>
      <c r="AE40" s="52"/>
      <c r="AF40" s="52"/>
      <c r="AG40" s="52"/>
      <c r="AH40" s="59"/>
      <c r="AI40" s="59"/>
      <c r="AK40" s="31">
        <f t="shared" si="0"/>
      </c>
    </row>
    <row r="41" spans="1:37" s="31" customFormat="1" ht="30" customHeight="1">
      <c r="A41" s="24">
        <v>34</v>
      </c>
      <c r="B41" s="151"/>
      <c r="C41" s="27"/>
      <c r="D41" s="28"/>
      <c r="E41" s="29"/>
      <c r="F41" s="29"/>
      <c r="G41" s="30">
        <f>IF(J41="X",'Ineligibility Reasons'!$A$4,"")&amp;IF(K41="X",'Ineligibility Reasons'!$A$5,"")&amp;IF(L41="X",'Ineligibility Reasons'!$A$6,"")&amp;IF(M41="X",'Ineligibility Reasons'!$A$7,"")&amp;IF(N41="X",'Ineligibility Reasons'!$A$8,"")&amp;IF(O41="X",'Ineligibility Reasons'!$A$9,"")&amp;IF(P41="X",'Ineligibility Reasons'!$A$11,"")&amp;IF(Q41="X",'Ineligibility Reasons'!$A$12,"")&amp;IF(R41="X",'Ineligibility Reasons'!$A$13,"")&amp;IF(S41="X",'Ineligibility Reasons'!$A$14,"")&amp;IF(T41="X",'Ineligibility Reasons'!$A$15,"")&amp;IF(U41="X",'Ineligibility Reasons'!$A$16,"")&amp;IF(V41="X",'Ineligibility Reasons'!$A$17,"")&amp;IF(W41="X",'Ineligibility Reasons'!$A$19,"")&amp;IF(X41="X",'Ineligibility Reasons'!$A$20,"")&amp;IF(Y41="X",'Ineligibility Reasons'!$A$21,"")&amp;IF(Z41="X",'Ineligibility Reasons'!$A$22,"")&amp;IF(AA41="X",'Ineligibility Reasons'!$A$23,"")&amp;IF(AB41="X",'Ineligibility Reasons'!$A$24,"")&amp;IF(AC41="X",'Ineligibility Reasons'!$A$25,"")&amp;IF(AD41="X",'Ineligibility Reasons'!$A$26,"")&amp;IF(AE41="X",'Ineligibility Reasons'!$A$28,"")&amp;IF(AF41="X",'Ineligibility Reasons'!$A$29,"")&amp;IF(AG41="X",'Ineligibility Reasons'!$A$30,"")&amp;IF(AH41="X",'Ineligibility Reasons'!$A$31,"")&amp;IF('Schedule 2'!AI41="X",'Ineligibility Reasons'!$A$32,"")</f>
      </c>
      <c r="H41" s="145"/>
      <c r="I41" s="147"/>
      <c r="J41" s="53"/>
      <c r="K41" s="52"/>
      <c r="L41" s="59"/>
      <c r="M41" s="52"/>
      <c r="N41" s="59"/>
      <c r="O41" s="54"/>
      <c r="P41" s="53"/>
      <c r="Q41" s="52"/>
      <c r="R41" s="52"/>
      <c r="S41" s="52"/>
      <c r="T41" s="52"/>
      <c r="U41" s="52"/>
      <c r="V41" s="59"/>
      <c r="W41" s="53"/>
      <c r="X41" s="52"/>
      <c r="Y41" s="52"/>
      <c r="Z41" s="52"/>
      <c r="AA41" s="52"/>
      <c r="AB41" s="52"/>
      <c r="AC41" s="52"/>
      <c r="AD41" s="54"/>
      <c r="AE41" s="52"/>
      <c r="AF41" s="52"/>
      <c r="AG41" s="52"/>
      <c r="AH41" s="59"/>
      <c r="AI41" s="59"/>
      <c r="AK41" s="31">
        <f t="shared" si="0"/>
      </c>
    </row>
    <row r="42" spans="1:37" s="31" customFormat="1" ht="30" customHeight="1" thickBot="1">
      <c r="A42" s="24">
        <v>35</v>
      </c>
      <c r="B42" s="151"/>
      <c r="C42" s="27"/>
      <c r="D42" s="28"/>
      <c r="E42" s="29"/>
      <c r="F42" s="29"/>
      <c r="G42" s="30">
        <f>IF(J42="X",'Ineligibility Reasons'!$A$4,"")&amp;IF(K42="X",'Ineligibility Reasons'!$A$5,"")&amp;IF(L42="X",'Ineligibility Reasons'!$A$6,"")&amp;IF(M42="X",'Ineligibility Reasons'!$A$7,"")&amp;IF(N42="X",'Ineligibility Reasons'!$A$8,"")&amp;IF(O42="X",'Ineligibility Reasons'!$A$9,"")&amp;IF(P42="X",'Ineligibility Reasons'!$A$11,"")&amp;IF(Q42="X",'Ineligibility Reasons'!$A$12,"")&amp;IF(R42="X",'Ineligibility Reasons'!$A$13,"")&amp;IF(S42="X",'Ineligibility Reasons'!$A$14,"")&amp;IF(T42="X",'Ineligibility Reasons'!$A$15,"")&amp;IF(U42="X",'Ineligibility Reasons'!$A$16,"")&amp;IF(V42="X",'Ineligibility Reasons'!$A$17,"")&amp;IF(W42="X",'Ineligibility Reasons'!$A$19,"")&amp;IF(X42="X",'Ineligibility Reasons'!$A$20,"")&amp;IF(Y42="X",'Ineligibility Reasons'!$A$21,"")&amp;IF(Z42="X",'Ineligibility Reasons'!$A$22,"")&amp;IF(AA42="X",'Ineligibility Reasons'!$A$23,"")&amp;IF(AB42="X",'Ineligibility Reasons'!$A$24,"")&amp;IF(AC42="X",'Ineligibility Reasons'!$A$25,"")&amp;IF(AD42="X",'Ineligibility Reasons'!$A$26,"")&amp;IF(AE42="X",'Ineligibility Reasons'!$A$28,"")&amp;IF(AF42="X",'Ineligibility Reasons'!$A$29,"")&amp;IF(AG42="X",'Ineligibility Reasons'!$A$30,"")&amp;IF(AH42="X",'Ineligibility Reasons'!$A$31,"")&amp;IF('Schedule 2'!AI42="X",'Ineligibility Reasons'!$A$32,"")</f>
      </c>
      <c r="H42" s="145"/>
      <c r="I42" s="147"/>
      <c r="J42" s="53"/>
      <c r="K42" s="52"/>
      <c r="L42" s="59"/>
      <c r="M42" s="52"/>
      <c r="N42" s="59"/>
      <c r="O42" s="54"/>
      <c r="P42" s="53"/>
      <c r="Q42" s="52"/>
      <c r="R42" s="52"/>
      <c r="S42" s="52"/>
      <c r="T42" s="52"/>
      <c r="U42" s="52"/>
      <c r="V42" s="59"/>
      <c r="W42" s="53"/>
      <c r="X42" s="52"/>
      <c r="Y42" s="52"/>
      <c r="Z42" s="52"/>
      <c r="AA42" s="52"/>
      <c r="AB42" s="52"/>
      <c r="AC42" s="52"/>
      <c r="AD42" s="54"/>
      <c r="AE42" s="52"/>
      <c r="AF42" s="52"/>
      <c r="AG42" s="52"/>
      <c r="AH42" s="59"/>
      <c r="AI42" s="59"/>
      <c r="AK42" s="31">
        <f t="shared" si="0"/>
      </c>
    </row>
    <row r="43" spans="1:9" s="22" customFormat="1" ht="22.5" customHeight="1" thickBot="1">
      <c r="A43" s="232" t="s">
        <v>491</v>
      </c>
      <c r="B43" s="234">
        <f>IF(ISBLANK('Cover Page'!$A$4),"",COUNTA(B8:B42))</f>
      </c>
      <c r="C43" s="234">
        <f>IF(ISBLANK('Cover Page'!$A$4),"",COUNTA(C8:C42))</f>
      </c>
      <c r="D43" s="234">
        <f>IF(ISBLANK('Cover Page'!$A$4),"",COUNTA(D8:D42))</f>
      </c>
      <c r="E43" s="234">
        <f>IF(ISBLANK('Cover Page'!$A$4),"",COUNTA(E8:E42))</f>
      </c>
      <c r="F43" s="234">
        <f>IF(ISBLANK('Cover Page'!$A$4),"",COUNTA(F8:F42))</f>
      </c>
      <c r="G43" s="234">
        <f>COUNTA($G$8:$G$42)-COUNTIF($G$8:$G$42,"")</f>
        <v>0</v>
      </c>
      <c r="H43" s="235">
        <f>IF(ISBLANK('Cover Page'!$A$4),"",COUNTA(H8:H42))</f>
      </c>
      <c r="I43" s="143"/>
    </row>
    <row r="44" spans="2:9" ht="7.5" customHeight="1" thickTop="1">
      <c r="B44" s="470"/>
      <c r="C44" s="470"/>
      <c r="D44" s="470"/>
      <c r="E44" s="470"/>
      <c r="F44" s="470"/>
      <c r="G44" s="470"/>
      <c r="H44" s="470"/>
      <c r="I44" s="14"/>
    </row>
    <row r="45" spans="2:9" s="35" customFormat="1" ht="30" customHeight="1">
      <c r="B45" s="471" t="s">
        <v>494</v>
      </c>
      <c r="C45" s="471"/>
      <c r="D45" s="471"/>
      <c r="E45" s="471"/>
      <c r="F45" s="471"/>
      <c r="G45" s="471"/>
      <c r="H45" s="471"/>
      <c r="I45" s="34"/>
    </row>
    <row r="46" spans="2:8" s="35" customFormat="1" ht="30" customHeight="1">
      <c r="B46" s="467" t="s">
        <v>48</v>
      </c>
      <c r="C46" s="467"/>
      <c r="D46" s="468"/>
      <c r="E46" s="468"/>
      <c r="F46" s="468"/>
      <c r="G46" s="468"/>
      <c r="H46" s="468"/>
    </row>
    <row r="47" ht="9.75">
      <c r="B47" s="123"/>
    </row>
    <row r="50" spans="5:7" ht="14.25" hidden="1">
      <c r="E50" s="183" t="s">
        <v>366</v>
      </c>
      <c r="F50" s="183" t="s">
        <v>367</v>
      </c>
      <c r="G50" s="183"/>
    </row>
    <row r="51" spans="5:7" ht="14.25" hidden="1">
      <c r="E51" s="181" t="s">
        <v>8</v>
      </c>
      <c r="F51" t="s">
        <v>8</v>
      </c>
      <c r="G51"/>
    </row>
    <row r="52" spans="5:7" ht="14.25" hidden="1">
      <c r="E52" s="181" t="s">
        <v>364</v>
      </c>
      <c r="F52" t="s">
        <v>44</v>
      </c>
      <c r="G52"/>
    </row>
    <row r="53" spans="5:7" ht="14.25" hidden="1">
      <c r="E53" s="181" t="s">
        <v>392</v>
      </c>
      <c r="F53" t="s">
        <v>45</v>
      </c>
      <c r="G53"/>
    </row>
    <row r="54" spans="5:7" ht="14.25" hidden="1">
      <c r="E54" s="181" t="s">
        <v>395</v>
      </c>
      <c r="F54" t="s">
        <v>1</v>
      </c>
      <c r="G54"/>
    </row>
    <row r="55" spans="5:7" ht="14.25" hidden="1">
      <c r="E55" s="181" t="s">
        <v>365</v>
      </c>
      <c r="F55" t="s">
        <v>2</v>
      </c>
      <c r="G55"/>
    </row>
    <row r="56" spans="5:7" ht="14.25" hidden="1">
      <c r="E56" s="181">
        <v>1</v>
      </c>
      <c r="F56" t="s">
        <v>83</v>
      </c>
      <c r="G56"/>
    </row>
    <row r="57" spans="5:7" ht="14.25" hidden="1">
      <c r="E57" s="181">
        <v>2</v>
      </c>
      <c r="F57" t="s">
        <v>83</v>
      </c>
      <c r="G57"/>
    </row>
    <row r="58" spans="5:7" ht="14.25" hidden="1">
      <c r="E58" s="181">
        <v>3</v>
      </c>
      <c r="F58" t="s">
        <v>83</v>
      </c>
      <c r="G58"/>
    </row>
    <row r="59" spans="5:7" ht="14.25" hidden="1">
      <c r="E59" s="181">
        <v>4</v>
      </c>
      <c r="F59" t="s">
        <v>83</v>
      </c>
      <c r="G59"/>
    </row>
    <row r="60" spans="5:7" ht="14.25" hidden="1">
      <c r="E60" s="181">
        <v>5</v>
      </c>
      <c r="F60" t="s">
        <v>83</v>
      </c>
      <c r="G60"/>
    </row>
    <row r="61" spans="5:7" ht="14.25" hidden="1">
      <c r="E61" s="181">
        <v>6</v>
      </c>
      <c r="F61" t="s">
        <v>83</v>
      </c>
      <c r="G61"/>
    </row>
    <row r="62" spans="5:7" ht="14.25" hidden="1">
      <c r="E62" s="181">
        <v>7</v>
      </c>
      <c r="F62" t="s">
        <v>83</v>
      </c>
      <c r="G62"/>
    </row>
    <row r="63" spans="5:7" ht="14.25" hidden="1">
      <c r="E63" s="181">
        <v>8</v>
      </c>
      <c r="F63" t="s">
        <v>83</v>
      </c>
      <c r="G63"/>
    </row>
    <row r="64" spans="5:7" ht="14.25" hidden="1">
      <c r="E64" s="181">
        <v>9</v>
      </c>
      <c r="F64" t="s">
        <v>69</v>
      </c>
      <c r="G64"/>
    </row>
    <row r="65" spans="5:7" ht="14.25" hidden="1">
      <c r="E65" s="181">
        <v>10</v>
      </c>
      <c r="F65" t="s">
        <v>69</v>
      </c>
      <c r="G65"/>
    </row>
    <row r="66" spans="5:7" ht="14.25" hidden="1">
      <c r="E66" s="181">
        <v>11</v>
      </c>
      <c r="F66" t="s">
        <v>69</v>
      </c>
      <c r="G66"/>
    </row>
    <row r="67" spans="5:7" ht="14.25" hidden="1">
      <c r="E67" s="181">
        <v>12</v>
      </c>
      <c r="F67" t="s">
        <v>69</v>
      </c>
      <c r="G67"/>
    </row>
    <row r="91" spans="2:3" ht="9.75" hidden="1">
      <c r="B91" s="5" t="s">
        <v>8</v>
      </c>
      <c r="C91" s="5"/>
    </row>
    <row r="92" spans="2:3" ht="9.75" hidden="1">
      <c r="B92" s="5" t="s">
        <v>9</v>
      </c>
      <c r="C92" s="5"/>
    </row>
    <row r="93" ht="9.75" hidden="1">
      <c r="B93" s="9">
        <v>1</v>
      </c>
    </row>
    <row r="94" ht="9.75" hidden="1">
      <c r="B94" s="9">
        <v>2</v>
      </c>
    </row>
    <row r="95" ht="9.75" hidden="1">
      <c r="B95" s="9">
        <v>3</v>
      </c>
    </row>
    <row r="96" ht="9.75" hidden="1">
      <c r="B96" s="9">
        <v>4</v>
      </c>
    </row>
    <row r="97" ht="9.75" hidden="1">
      <c r="B97" s="9">
        <v>5</v>
      </c>
    </row>
    <row r="98" ht="9.75" hidden="1">
      <c r="B98" s="9">
        <v>6</v>
      </c>
    </row>
    <row r="99" ht="9.75" hidden="1">
      <c r="B99" s="9">
        <v>7</v>
      </c>
    </row>
    <row r="100" ht="9.75" hidden="1">
      <c r="B100" s="9">
        <v>8</v>
      </c>
    </row>
    <row r="101" ht="9.75" hidden="1">
      <c r="B101" s="9">
        <v>9</v>
      </c>
    </row>
    <row r="102" ht="9.75" hidden="1">
      <c r="B102" s="9">
        <v>10</v>
      </c>
    </row>
    <row r="103" ht="9.75" hidden="1">
      <c r="B103" s="9">
        <v>11</v>
      </c>
    </row>
    <row r="104" ht="9.75" hidden="1">
      <c r="B104" s="9">
        <v>12</v>
      </c>
    </row>
  </sheetData>
  <sheetProtection password="F443" sheet="1" formatRows="0"/>
  <mergeCells count="14">
    <mergeCell ref="A1:H1"/>
    <mergeCell ref="A2:H2"/>
    <mergeCell ref="A3:H3"/>
    <mergeCell ref="A4:H4"/>
    <mergeCell ref="A5:G5"/>
    <mergeCell ref="AE6:AI6"/>
    <mergeCell ref="P6:V6"/>
    <mergeCell ref="W6:AD6"/>
    <mergeCell ref="J6:O6"/>
    <mergeCell ref="B46:H46"/>
    <mergeCell ref="G6:G7"/>
    <mergeCell ref="B44:H44"/>
    <mergeCell ref="B45:H45"/>
    <mergeCell ref="B6:F6"/>
  </mergeCells>
  <dataValidations count="4">
    <dataValidation type="list" allowBlank="1" showDropDown="1" showInputMessage="1" showErrorMessage="1" prompt="Insert W if this pupil is on DPl's waiting list." sqref="C8:C42">
      <formula1>"W,w"</formula1>
    </dataValidation>
    <dataValidation type="list" allowBlank="1" showDropDown="1" showInputMessage="1" showErrorMessage="1" prompt="Insert &quot;X&quot; if this Reason is applicable." error="Input X if the reason is applicable.  If not applicable, leave this cell blank." sqref="J8:AI42">
      <formula1>"X,x"</formula1>
    </dataValidation>
    <dataValidation type="list" allowBlank="1" showInputMessage="1" showErrorMessage="1" sqref="B8:B42">
      <formula1>"K4, K5-0.5 FTE,K5-0.6 FTE, K5-0.8 FTE, K5-1.0 FTE,1,2,3,4,5,6,7,8,9,10,11,12"</formula1>
    </dataValidation>
    <dataValidation type="list" allowBlank="1" showInputMessage="1" showErrorMessage="1" sqref="H8:H42">
      <formula1>"MPCP,RPCP,WPCP"</formula1>
    </dataValidation>
  </dataValidations>
  <printOptions horizontalCentered="1"/>
  <pageMargins left="0.5" right="0.5" top="0.5" bottom="0.5" header="0.3" footer="0.3"/>
  <pageSetup fitToHeight="100" fitToWidth="1" horizontalDpi="600" verticalDpi="600" orientation="landscape" r:id="rId2"/>
  <headerFooter>
    <oddHeader>&amp;L&amp;"Arial,Regular"&amp;8Page 5&amp;R&amp;"Arial,Regular"&amp;8PI-PCP-103 (35-25 Lines)</oddHead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78"/>
  <sheetViews>
    <sheetView workbookViewId="0" topLeftCell="A1">
      <selection activeCell="C23" sqref="C23"/>
    </sheetView>
  </sheetViews>
  <sheetFormatPr defaultColWidth="9.140625" defaultRowHeight="15"/>
  <cols>
    <col min="1" max="1" width="109.57421875" style="290" customWidth="1"/>
    <col min="2" max="16384" width="9.140625" style="10" customWidth="1"/>
  </cols>
  <sheetData>
    <row r="1" ht="30.75">
      <c r="A1" s="285" t="s">
        <v>306</v>
      </c>
    </row>
    <row r="2" ht="12.75">
      <c r="A2" s="286"/>
    </row>
    <row r="3" s="33" customFormat="1" ht="18" customHeight="1">
      <c r="A3" s="354" t="s">
        <v>524</v>
      </c>
    </row>
    <row r="4" s="33" customFormat="1" ht="18" customHeight="1">
      <c r="A4" s="287" t="s">
        <v>85</v>
      </c>
    </row>
    <row r="5" s="33" customFormat="1" ht="18" customHeight="1">
      <c r="A5" s="287" t="s">
        <v>86</v>
      </c>
    </row>
    <row r="6" s="33" customFormat="1" ht="50.25" customHeight="1">
      <c r="A6" s="287" t="s">
        <v>92</v>
      </c>
    </row>
    <row r="7" s="33" customFormat="1" ht="18" customHeight="1">
      <c r="A7" s="287" t="s">
        <v>87</v>
      </c>
    </row>
    <row r="8" s="33" customFormat="1" ht="18" customHeight="1">
      <c r="A8" s="287" t="s">
        <v>88</v>
      </c>
    </row>
    <row r="9" s="33" customFormat="1" ht="18" customHeight="1">
      <c r="A9" s="287" t="s">
        <v>289</v>
      </c>
    </row>
    <row r="10" s="33" customFormat="1" ht="18" customHeight="1">
      <c r="A10" s="354" t="s">
        <v>13</v>
      </c>
    </row>
    <row r="11" s="33" customFormat="1" ht="18" customHeight="1">
      <c r="A11" s="287" t="s">
        <v>290</v>
      </c>
    </row>
    <row r="12" s="33" customFormat="1" ht="18" customHeight="1">
      <c r="A12" s="287" t="s">
        <v>291</v>
      </c>
    </row>
    <row r="13" s="33" customFormat="1" ht="18" customHeight="1">
      <c r="A13" s="287" t="s">
        <v>292</v>
      </c>
    </row>
    <row r="14" s="33" customFormat="1" ht="18" customHeight="1">
      <c r="A14" s="287" t="s">
        <v>373</v>
      </c>
    </row>
    <row r="15" s="33" customFormat="1" ht="25.5" customHeight="1">
      <c r="A15" s="287" t="s">
        <v>293</v>
      </c>
    </row>
    <row r="16" s="33" customFormat="1" ht="25.5" customHeight="1">
      <c r="A16" s="287" t="s">
        <v>294</v>
      </c>
    </row>
    <row r="17" s="33" customFormat="1" ht="12.75">
      <c r="A17" s="287" t="s">
        <v>295</v>
      </c>
    </row>
    <row r="18" s="33" customFormat="1" ht="18" customHeight="1">
      <c r="A18" s="354" t="s">
        <v>34</v>
      </c>
    </row>
    <row r="19" s="33" customFormat="1" ht="25.5" customHeight="1">
      <c r="A19" s="287" t="s">
        <v>296</v>
      </c>
    </row>
    <row r="20" s="33" customFormat="1" ht="18" customHeight="1">
      <c r="A20" s="287" t="s">
        <v>297</v>
      </c>
    </row>
    <row r="21" s="33" customFormat="1" ht="25.5" customHeight="1">
      <c r="A21" s="287" t="s">
        <v>629</v>
      </c>
    </row>
    <row r="22" s="33" customFormat="1" ht="36.75" customHeight="1">
      <c r="A22" s="287" t="s">
        <v>298</v>
      </c>
    </row>
    <row r="23" s="33" customFormat="1" ht="18" customHeight="1">
      <c r="A23" s="287" t="s">
        <v>299</v>
      </c>
    </row>
    <row r="24" s="33" customFormat="1" ht="18" customHeight="1">
      <c r="A24" s="287" t="s">
        <v>300</v>
      </c>
    </row>
    <row r="25" s="33" customFormat="1" ht="18" customHeight="1">
      <c r="A25" s="287" t="s">
        <v>301</v>
      </c>
    </row>
    <row r="26" s="33" customFormat="1" ht="25.5" customHeight="1">
      <c r="A26" s="288" t="s">
        <v>302</v>
      </c>
    </row>
    <row r="27" s="33" customFormat="1" ht="18" customHeight="1">
      <c r="A27" s="355" t="s">
        <v>35</v>
      </c>
    </row>
    <row r="28" s="33" customFormat="1" ht="18" customHeight="1">
      <c r="A28" s="287" t="s">
        <v>90</v>
      </c>
    </row>
    <row r="29" s="33" customFormat="1" ht="18" customHeight="1">
      <c r="A29" s="287" t="s">
        <v>91</v>
      </c>
    </row>
    <row r="30" s="33" customFormat="1" ht="18" customHeight="1">
      <c r="A30" s="287" t="s">
        <v>384</v>
      </c>
    </row>
    <row r="31" s="33" customFormat="1" ht="18" customHeight="1">
      <c r="A31" s="289" t="s">
        <v>385</v>
      </c>
    </row>
    <row r="32" ht="18" customHeight="1">
      <c r="A32" s="289" t="s">
        <v>303</v>
      </c>
    </row>
    <row r="78" ht="12.75">
      <c r="A78" s="168"/>
    </row>
  </sheetData>
  <sheetProtection password="F443" sheet="1"/>
  <printOptions horizontalCentered="1"/>
  <pageMargins left="0.25" right="0.25" top="0.5" bottom="0.5" header="0.3" footer="0.3"/>
  <pageSetup fitToHeight="1" fitToWidth="1" horizontalDpi="600" verticalDpi="600" orientation="portrait" scale="93" r:id="rId1"/>
  <headerFooter>
    <oddHeader xml:space="preserve">&amp;C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P68"/>
  <sheetViews>
    <sheetView showGridLines="0" workbookViewId="0" topLeftCell="A1">
      <pane xSplit="1" ySplit="8" topLeftCell="B9" activePane="bottomRight" state="frozen"/>
      <selection pane="topLeft" activeCell="J4" sqref="J4"/>
      <selection pane="topRight" activeCell="J4" sqref="J4"/>
      <selection pane="bottomLeft" activeCell="J4" sqref="J4"/>
      <selection pane="bottomRight" activeCell="A1" sqref="A1:L1"/>
    </sheetView>
  </sheetViews>
  <sheetFormatPr defaultColWidth="9.140625" defaultRowHeight="15"/>
  <cols>
    <col min="1" max="1" width="4.57421875" style="9" customWidth="1"/>
    <col min="2" max="2" width="5.7109375" style="9" bestFit="1" customWidth="1"/>
    <col min="3" max="3" width="3.00390625" style="9" customWidth="1"/>
    <col min="4" max="4" width="9.421875" style="9" customWidth="1"/>
    <col min="5" max="5" width="17.7109375" style="9" customWidth="1"/>
    <col min="6" max="6" width="19.7109375" style="9" customWidth="1"/>
    <col min="7" max="7" width="7.8515625" style="9" bestFit="1" customWidth="1"/>
    <col min="8" max="8" width="9.421875" style="9" customWidth="1"/>
    <col min="9" max="9" width="17.7109375" style="9" customWidth="1"/>
    <col min="10" max="10" width="19.7109375" style="9" customWidth="1"/>
    <col min="11" max="11" width="15.140625" style="9" customWidth="1"/>
    <col min="12" max="12" width="40.140625" style="9" customWidth="1"/>
    <col min="13" max="13" width="0.71875" style="42" customWidth="1"/>
    <col min="14" max="16" width="9.140625" style="9" hidden="1" customWidth="1"/>
    <col min="17" max="16384" width="9.140625" style="9" customWidth="1"/>
  </cols>
  <sheetData>
    <row r="1" spans="1:12" ht="15" customHeight="1">
      <c r="A1" s="490" t="str">
        <f>IF(ISBLANK('Cover Page'!A4),"School Name",'Cover Page'!A4)</f>
        <v>School Name</v>
      </c>
      <c r="B1" s="490"/>
      <c r="C1" s="490"/>
      <c r="D1" s="490"/>
      <c r="E1" s="490"/>
      <c r="F1" s="490"/>
      <c r="G1" s="490"/>
      <c r="H1" s="490"/>
      <c r="I1" s="490"/>
      <c r="J1" s="490"/>
      <c r="K1" s="490"/>
      <c r="L1" s="490"/>
    </row>
    <row r="2" spans="1:12" ht="15" customHeight="1">
      <c r="A2" s="435" t="str">
        <f>'Error Report'!A3</f>
        <v>September 20, 2019 Choice Enrollment Audit</v>
      </c>
      <c r="B2" s="435"/>
      <c r="C2" s="435"/>
      <c r="D2" s="435"/>
      <c r="E2" s="435"/>
      <c r="F2" s="435"/>
      <c r="G2" s="435"/>
      <c r="H2" s="435"/>
      <c r="I2" s="435"/>
      <c r="J2" s="435"/>
      <c r="K2" s="435"/>
      <c r="L2" s="435"/>
    </row>
    <row r="3" spans="1:12" ht="12.75" customHeight="1">
      <c r="A3" s="491" t="s">
        <v>413</v>
      </c>
      <c r="B3" s="491"/>
      <c r="C3" s="491"/>
      <c r="D3" s="491"/>
      <c r="E3" s="491"/>
      <c r="F3" s="491"/>
      <c r="G3" s="491"/>
      <c r="H3" s="491"/>
      <c r="I3" s="491"/>
      <c r="J3" s="491"/>
      <c r="K3" s="491"/>
      <c r="L3" s="491"/>
    </row>
    <row r="4" spans="1:13" ht="87" customHeight="1" thickBot="1">
      <c r="A4" s="492" t="s">
        <v>550</v>
      </c>
      <c r="B4" s="492"/>
      <c r="C4" s="492"/>
      <c r="D4" s="492"/>
      <c r="E4" s="492"/>
      <c r="F4" s="492"/>
      <c r="G4" s="492"/>
      <c r="H4" s="492"/>
      <c r="I4" s="492"/>
      <c r="J4" s="492"/>
      <c r="K4" s="492"/>
      <c r="L4" s="492"/>
      <c r="M4" s="321"/>
    </row>
    <row r="5" spans="1:10" s="42" customFormat="1" ht="27" customHeight="1" thickTop="1">
      <c r="A5" s="493" t="s">
        <v>502</v>
      </c>
      <c r="B5" s="493"/>
      <c r="C5" s="493"/>
      <c r="D5" s="493"/>
      <c r="E5" s="493"/>
      <c r="F5" s="493"/>
      <c r="G5" s="493"/>
      <c r="H5" s="493"/>
      <c r="I5" s="494"/>
      <c r="J5" s="299"/>
    </row>
    <row r="6" spans="1:12" ht="24" customHeight="1" thickBot="1">
      <c r="A6" s="495" t="s">
        <v>551</v>
      </c>
      <c r="B6" s="495"/>
      <c r="C6" s="495"/>
      <c r="D6" s="495"/>
      <c r="E6" s="495"/>
      <c r="F6" s="495"/>
      <c r="G6" s="495"/>
      <c r="H6" s="495"/>
      <c r="I6" s="495"/>
      <c r="J6" s="351"/>
      <c r="K6" s="42"/>
      <c r="L6" s="42"/>
    </row>
    <row r="7" spans="2:13" ht="23.25" customHeight="1" thickTop="1">
      <c r="B7" s="479" t="s">
        <v>434</v>
      </c>
      <c r="C7" s="480"/>
      <c r="D7" s="480"/>
      <c r="E7" s="480"/>
      <c r="F7" s="480"/>
      <c r="G7" s="480"/>
      <c r="H7" s="483" t="s">
        <v>503</v>
      </c>
      <c r="I7" s="483"/>
      <c r="J7" s="483"/>
      <c r="K7" s="481" t="s">
        <v>525</v>
      </c>
      <c r="L7" s="481"/>
      <c r="M7" s="233"/>
    </row>
    <row r="8" spans="1:16" ht="34.5" customHeight="1">
      <c r="A8" s="238" t="s">
        <v>61</v>
      </c>
      <c r="B8" s="175" t="s">
        <v>498</v>
      </c>
      <c r="C8" s="177" t="s">
        <v>57</v>
      </c>
      <c r="D8" s="176" t="s">
        <v>60</v>
      </c>
      <c r="E8" s="178" t="s">
        <v>396</v>
      </c>
      <c r="F8" s="178" t="s">
        <v>423</v>
      </c>
      <c r="G8" s="291" t="s">
        <v>204</v>
      </c>
      <c r="H8" s="292" t="s">
        <v>397</v>
      </c>
      <c r="I8" s="227" t="s">
        <v>398</v>
      </c>
      <c r="J8" s="297" t="s">
        <v>399</v>
      </c>
      <c r="K8" s="482"/>
      <c r="L8" s="482"/>
      <c r="M8" s="233"/>
      <c r="N8" s="179" t="s">
        <v>391</v>
      </c>
      <c r="O8" s="179" t="s">
        <v>393</v>
      </c>
      <c r="P8" s="179" t="s">
        <v>394</v>
      </c>
    </row>
    <row r="9" spans="1:16" s="36" customFormat="1" ht="30" customHeight="1">
      <c r="A9" s="24">
        <v>1</v>
      </c>
      <c r="B9" s="151"/>
      <c r="C9" s="151"/>
      <c r="D9" s="29"/>
      <c r="E9" s="29"/>
      <c r="F9" s="29"/>
      <c r="G9" s="293"/>
      <c r="H9" s="294"/>
      <c r="I9" s="29"/>
      <c r="J9" s="298"/>
      <c r="K9" s="484"/>
      <c r="L9" s="484"/>
      <c r="M9" s="322"/>
      <c r="N9" s="180">
        <f>IF(H9&lt;&gt;"",IF(B9=H9,0,1),"")</f>
      </c>
      <c r="O9" s="182">
        <f aca="true" t="shared" si="0" ref="O9:O43">IF($N9=1,VLOOKUP($B9,$E$52:$F$68,2,0),"")</f>
      </c>
      <c r="P9" s="182">
        <f aca="true" t="shared" si="1" ref="P9:P43">IF($N9=1,VLOOKUP($H9,$E$52:$F$68,2,0),"")</f>
      </c>
    </row>
    <row r="10" spans="1:16" s="36" customFormat="1" ht="30" customHeight="1">
      <c r="A10" s="24">
        <v>2</v>
      </c>
      <c r="B10" s="151"/>
      <c r="C10" s="151"/>
      <c r="D10" s="29"/>
      <c r="E10" s="29"/>
      <c r="F10" s="29"/>
      <c r="G10" s="293"/>
      <c r="H10" s="294"/>
      <c r="I10" s="29"/>
      <c r="J10" s="298"/>
      <c r="K10" s="485"/>
      <c r="L10" s="485"/>
      <c r="M10" s="322"/>
      <c r="N10" s="180">
        <f aca="true" t="shared" si="2" ref="N10:N43">IF(H10&lt;&gt;"",IF(B10=H10,0,1),"")</f>
      </c>
      <c r="O10" s="182">
        <f t="shared" si="0"/>
      </c>
      <c r="P10" s="182">
        <f t="shared" si="1"/>
      </c>
    </row>
    <row r="11" spans="1:16" s="36" customFormat="1" ht="30" customHeight="1">
      <c r="A11" s="24">
        <v>3</v>
      </c>
      <c r="B11" s="151"/>
      <c r="C11" s="151"/>
      <c r="D11" s="29"/>
      <c r="E11" s="29"/>
      <c r="F11" s="29"/>
      <c r="G11" s="293"/>
      <c r="H11" s="294"/>
      <c r="I11" s="29"/>
      <c r="J11" s="298"/>
      <c r="K11" s="485"/>
      <c r="L11" s="485"/>
      <c r="M11" s="322"/>
      <c r="N11" s="180">
        <f t="shared" si="2"/>
      </c>
      <c r="O11" s="182">
        <f t="shared" si="0"/>
      </c>
      <c r="P11" s="182">
        <f t="shared" si="1"/>
      </c>
    </row>
    <row r="12" spans="1:16" s="36" customFormat="1" ht="30" customHeight="1">
      <c r="A12" s="24">
        <v>4</v>
      </c>
      <c r="B12" s="151"/>
      <c r="C12" s="151"/>
      <c r="D12" s="29"/>
      <c r="E12" s="29"/>
      <c r="F12" s="29"/>
      <c r="G12" s="293"/>
      <c r="H12" s="294"/>
      <c r="I12" s="29"/>
      <c r="J12" s="298"/>
      <c r="K12" s="484"/>
      <c r="L12" s="484"/>
      <c r="M12" s="322"/>
      <c r="N12" s="180">
        <f t="shared" si="2"/>
      </c>
      <c r="O12" s="182">
        <f t="shared" si="0"/>
      </c>
      <c r="P12" s="182">
        <f t="shared" si="1"/>
      </c>
    </row>
    <row r="13" spans="1:16" s="36" customFormat="1" ht="30" customHeight="1">
      <c r="A13" s="24">
        <v>5</v>
      </c>
      <c r="B13" s="151"/>
      <c r="C13" s="151"/>
      <c r="D13" s="29"/>
      <c r="E13" s="29"/>
      <c r="F13" s="29"/>
      <c r="G13" s="293"/>
      <c r="H13" s="294"/>
      <c r="I13" s="29"/>
      <c r="J13" s="298"/>
      <c r="K13" s="485"/>
      <c r="L13" s="485"/>
      <c r="M13" s="322"/>
      <c r="N13" s="180">
        <f t="shared" si="2"/>
      </c>
      <c r="O13" s="182">
        <f t="shared" si="0"/>
      </c>
      <c r="P13" s="182">
        <f t="shared" si="1"/>
      </c>
    </row>
    <row r="14" spans="1:16" s="36" customFormat="1" ht="30" customHeight="1">
      <c r="A14" s="24">
        <v>6</v>
      </c>
      <c r="B14" s="151"/>
      <c r="C14" s="151"/>
      <c r="D14" s="29"/>
      <c r="E14" s="29"/>
      <c r="F14" s="29"/>
      <c r="G14" s="293"/>
      <c r="H14" s="294"/>
      <c r="I14" s="29"/>
      <c r="J14" s="298"/>
      <c r="K14" s="485"/>
      <c r="L14" s="485"/>
      <c r="M14" s="322"/>
      <c r="N14" s="180">
        <f t="shared" si="2"/>
      </c>
      <c r="O14" s="182">
        <f t="shared" si="0"/>
      </c>
      <c r="P14" s="182">
        <f t="shared" si="1"/>
      </c>
    </row>
    <row r="15" spans="1:16" s="36" customFormat="1" ht="30" customHeight="1">
      <c r="A15" s="24">
        <v>7</v>
      </c>
      <c r="B15" s="151"/>
      <c r="C15" s="151"/>
      <c r="D15" s="29"/>
      <c r="E15" s="29"/>
      <c r="F15" s="29"/>
      <c r="G15" s="293"/>
      <c r="H15" s="294"/>
      <c r="I15" s="29"/>
      <c r="J15" s="298"/>
      <c r="K15" s="484"/>
      <c r="L15" s="484"/>
      <c r="M15" s="322"/>
      <c r="N15" s="180">
        <f t="shared" si="2"/>
      </c>
      <c r="O15" s="182">
        <f t="shared" si="0"/>
      </c>
      <c r="P15" s="182">
        <f t="shared" si="1"/>
      </c>
    </row>
    <row r="16" spans="1:16" s="36" customFormat="1" ht="30" customHeight="1">
      <c r="A16" s="24">
        <v>8</v>
      </c>
      <c r="B16" s="151"/>
      <c r="C16" s="151"/>
      <c r="D16" s="29"/>
      <c r="E16" s="29"/>
      <c r="F16" s="29"/>
      <c r="G16" s="293"/>
      <c r="H16" s="294"/>
      <c r="I16" s="29"/>
      <c r="J16" s="298"/>
      <c r="K16" s="485"/>
      <c r="L16" s="485"/>
      <c r="M16" s="322"/>
      <c r="N16" s="180">
        <f t="shared" si="2"/>
      </c>
      <c r="O16" s="182">
        <f t="shared" si="0"/>
      </c>
      <c r="P16" s="182">
        <f t="shared" si="1"/>
      </c>
    </row>
    <row r="17" spans="1:16" s="36" customFormat="1" ht="30" customHeight="1">
      <c r="A17" s="24">
        <v>9</v>
      </c>
      <c r="B17" s="151"/>
      <c r="C17" s="151"/>
      <c r="D17" s="29"/>
      <c r="E17" s="29"/>
      <c r="F17" s="29"/>
      <c r="G17" s="293"/>
      <c r="H17" s="294"/>
      <c r="I17" s="29"/>
      <c r="J17" s="298"/>
      <c r="K17" s="485"/>
      <c r="L17" s="485"/>
      <c r="M17" s="322"/>
      <c r="N17" s="180">
        <f t="shared" si="2"/>
      </c>
      <c r="O17" s="182">
        <f t="shared" si="0"/>
      </c>
      <c r="P17" s="182">
        <f t="shared" si="1"/>
      </c>
    </row>
    <row r="18" spans="1:16" s="36" customFormat="1" ht="30" customHeight="1">
      <c r="A18" s="24">
        <v>10</v>
      </c>
      <c r="B18" s="151"/>
      <c r="C18" s="151"/>
      <c r="D18" s="29"/>
      <c r="E18" s="29"/>
      <c r="F18" s="29"/>
      <c r="G18" s="293"/>
      <c r="H18" s="294"/>
      <c r="I18" s="29"/>
      <c r="J18" s="298"/>
      <c r="K18" s="484"/>
      <c r="L18" s="484"/>
      <c r="M18" s="322"/>
      <c r="N18" s="180">
        <f t="shared" si="2"/>
      </c>
      <c r="O18" s="182">
        <f t="shared" si="0"/>
      </c>
      <c r="P18" s="182">
        <f t="shared" si="1"/>
      </c>
    </row>
    <row r="19" spans="1:16" s="36" customFormat="1" ht="30" customHeight="1">
      <c r="A19" s="24">
        <v>11</v>
      </c>
      <c r="B19" s="151"/>
      <c r="C19" s="151"/>
      <c r="D19" s="29"/>
      <c r="E19" s="29"/>
      <c r="F19" s="29"/>
      <c r="G19" s="293"/>
      <c r="H19" s="294"/>
      <c r="I19" s="29"/>
      <c r="J19" s="298"/>
      <c r="K19" s="485"/>
      <c r="L19" s="485"/>
      <c r="M19" s="322"/>
      <c r="N19" s="180">
        <f t="shared" si="2"/>
      </c>
      <c r="O19" s="182">
        <f t="shared" si="0"/>
      </c>
      <c r="P19" s="182">
        <f t="shared" si="1"/>
      </c>
    </row>
    <row r="20" spans="1:16" s="36" customFormat="1" ht="30" customHeight="1">
      <c r="A20" s="24">
        <v>12</v>
      </c>
      <c r="B20" s="151"/>
      <c r="C20" s="151"/>
      <c r="D20" s="29"/>
      <c r="E20" s="29"/>
      <c r="F20" s="29"/>
      <c r="G20" s="293"/>
      <c r="H20" s="294"/>
      <c r="I20" s="29"/>
      <c r="J20" s="298"/>
      <c r="K20" s="485"/>
      <c r="L20" s="485"/>
      <c r="M20" s="322"/>
      <c r="N20" s="180">
        <f t="shared" si="2"/>
      </c>
      <c r="O20" s="182">
        <f t="shared" si="0"/>
      </c>
      <c r="P20" s="182">
        <f t="shared" si="1"/>
      </c>
    </row>
    <row r="21" spans="1:16" s="36" customFormat="1" ht="30" customHeight="1">
      <c r="A21" s="24">
        <v>13</v>
      </c>
      <c r="B21" s="151"/>
      <c r="C21" s="151"/>
      <c r="D21" s="29"/>
      <c r="E21" s="29"/>
      <c r="F21" s="29"/>
      <c r="G21" s="293"/>
      <c r="H21" s="294"/>
      <c r="I21" s="29"/>
      <c r="J21" s="298"/>
      <c r="K21" s="484"/>
      <c r="L21" s="484"/>
      <c r="M21" s="322"/>
      <c r="N21" s="180">
        <f t="shared" si="2"/>
      </c>
      <c r="O21" s="182">
        <f t="shared" si="0"/>
      </c>
      <c r="P21" s="182">
        <f t="shared" si="1"/>
      </c>
    </row>
    <row r="22" spans="1:16" s="36" customFormat="1" ht="30" customHeight="1">
      <c r="A22" s="24">
        <v>14</v>
      </c>
      <c r="B22" s="151"/>
      <c r="C22" s="151"/>
      <c r="D22" s="29"/>
      <c r="E22" s="29"/>
      <c r="F22" s="29"/>
      <c r="G22" s="293"/>
      <c r="H22" s="294"/>
      <c r="I22" s="29"/>
      <c r="J22" s="298"/>
      <c r="K22" s="485"/>
      <c r="L22" s="485"/>
      <c r="M22" s="322"/>
      <c r="N22" s="180">
        <f t="shared" si="2"/>
      </c>
      <c r="O22" s="182">
        <f t="shared" si="0"/>
      </c>
      <c r="P22" s="182">
        <f t="shared" si="1"/>
      </c>
    </row>
    <row r="23" spans="1:16" s="36" customFormat="1" ht="30" customHeight="1">
      <c r="A23" s="24">
        <v>15</v>
      </c>
      <c r="B23" s="151"/>
      <c r="C23" s="151"/>
      <c r="D23" s="29"/>
      <c r="E23" s="29"/>
      <c r="F23" s="29"/>
      <c r="G23" s="293"/>
      <c r="H23" s="294"/>
      <c r="I23" s="29"/>
      <c r="J23" s="298"/>
      <c r="K23" s="485"/>
      <c r="L23" s="485"/>
      <c r="M23" s="322"/>
      <c r="N23" s="180">
        <f t="shared" si="2"/>
      </c>
      <c r="O23" s="182">
        <f t="shared" si="0"/>
      </c>
      <c r="P23" s="182">
        <f t="shared" si="1"/>
      </c>
    </row>
    <row r="24" spans="1:16" s="36" customFormat="1" ht="30" customHeight="1">
      <c r="A24" s="24">
        <v>16</v>
      </c>
      <c r="B24" s="151"/>
      <c r="C24" s="151"/>
      <c r="D24" s="29"/>
      <c r="E24" s="29"/>
      <c r="F24" s="29"/>
      <c r="G24" s="293"/>
      <c r="H24" s="294"/>
      <c r="I24" s="29"/>
      <c r="J24" s="298"/>
      <c r="K24" s="484"/>
      <c r="L24" s="484"/>
      <c r="M24" s="322"/>
      <c r="N24" s="180">
        <f t="shared" si="2"/>
      </c>
      <c r="O24" s="182">
        <f t="shared" si="0"/>
      </c>
      <c r="P24" s="182">
        <f t="shared" si="1"/>
      </c>
    </row>
    <row r="25" spans="1:16" s="36" customFormat="1" ht="30" customHeight="1">
      <c r="A25" s="24">
        <v>17</v>
      </c>
      <c r="B25" s="151"/>
      <c r="C25" s="151"/>
      <c r="D25" s="29"/>
      <c r="E25" s="29"/>
      <c r="F25" s="29"/>
      <c r="G25" s="293"/>
      <c r="H25" s="294"/>
      <c r="I25" s="29"/>
      <c r="J25" s="298"/>
      <c r="K25" s="485"/>
      <c r="L25" s="485"/>
      <c r="M25" s="322"/>
      <c r="N25" s="180">
        <f t="shared" si="2"/>
      </c>
      <c r="O25" s="182">
        <f t="shared" si="0"/>
      </c>
      <c r="P25" s="182">
        <f t="shared" si="1"/>
      </c>
    </row>
    <row r="26" spans="1:16" s="36" customFormat="1" ht="30" customHeight="1">
      <c r="A26" s="24">
        <v>18</v>
      </c>
      <c r="B26" s="151"/>
      <c r="C26" s="151"/>
      <c r="D26" s="29"/>
      <c r="E26" s="29"/>
      <c r="F26" s="29"/>
      <c r="G26" s="293"/>
      <c r="H26" s="294"/>
      <c r="I26" s="29"/>
      <c r="J26" s="298"/>
      <c r="K26" s="485"/>
      <c r="L26" s="485"/>
      <c r="M26" s="322"/>
      <c r="N26" s="180">
        <f t="shared" si="2"/>
      </c>
      <c r="O26" s="182">
        <f t="shared" si="0"/>
      </c>
      <c r="P26" s="182">
        <f t="shared" si="1"/>
      </c>
    </row>
    <row r="27" spans="1:16" s="36" customFormat="1" ht="30" customHeight="1">
      <c r="A27" s="24">
        <v>19</v>
      </c>
      <c r="B27" s="151"/>
      <c r="C27" s="151"/>
      <c r="D27" s="29"/>
      <c r="E27" s="29"/>
      <c r="F27" s="29"/>
      <c r="G27" s="293"/>
      <c r="H27" s="294"/>
      <c r="I27" s="29"/>
      <c r="J27" s="298"/>
      <c r="K27" s="484"/>
      <c r="L27" s="484"/>
      <c r="M27" s="322"/>
      <c r="N27" s="180">
        <f t="shared" si="2"/>
      </c>
      <c r="O27" s="182">
        <f t="shared" si="0"/>
      </c>
      <c r="P27" s="182">
        <f t="shared" si="1"/>
      </c>
    </row>
    <row r="28" spans="1:16" s="36" customFormat="1" ht="30" customHeight="1">
      <c r="A28" s="24">
        <v>20</v>
      </c>
      <c r="B28" s="151"/>
      <c r="C28" s="151"/>
      <c r="D28" s="29"/>
      <c r="E28" s="29"/>
      <c r="F28" s="29"/>
      <c r="G28" s="293"/>
      <c r="H28" s="294"/>
      <c r="I28" s="29"/>
      <c r="J28" s="298"/>
      <c r="K28" s="485"/>
      <c r="L28" s="485"/>
      <c r="M28" s="322"/>
      <c r="N28" s="180">
        <f t="shared" si="2"/>
      </c>
      <c r="O28" s="182">
        <f t="shared" si="0"/>
      </c>
      <c r="P28" s="182">
        <f t="shared" si="1"/>
      </c>
    </row>
    <row r="29" spans="1:16" s="36" customFormat="1" ht="30" customHeight="1">
      <c r="A29" s="24">
        <v>21</v>
      </c>
      <c r="B29" s="151"/>
      <c r="C29" s="151"/>
      <c r="D29" s="29"/>
      <c r="E29" s="29"/>
      <c r="F29" s="29"/>
      <c r="G29" s="293"/>
      <c r="H29" s="294"/>
      <c r="I29" s="29"/>
      <c r="J29" s="298"/>
      <c r="K29" s="485"/>
      <c r="L29" s="485"/>
      <c r="M29" s="322"/>
      <c r="N29" s="180">
        <f t="shared" si="2"/>
      </c>
      <c r="O29" s="182">
        <f t="shared" si="0"/>
      </c>
      <c r="P29" s="182">
        <f t="shared" si="1"/>
      </c>
    </row>
    <row r="30" spans="1:16" s="36" customFormat="1" ht="30" customHeight="1">
      <c r="A30" s="24">
        <v>22</v>
      </c>
      <c r="B30" s="151"/>
      <c r="C30" s="151"/>
      <c r="D30" s="29"/>
      <c r="E30" s="29"/>
      <c r="F30" s="29"/>
      <c r="G30" s="293"/>
      <c r="H30" s="294"/>
      <c r="I30" s="29"/>
      <c r="J30" s="298"/>
      <c r="K30" s="484"/>
      <c r="L30" s="484"/>
      <c r="M30" s="322"/>
      <c r="N30" s="180">
        <f t="shared" si="2"/>
      </c>
      <c r="O30" s="182">
        <f t="shared" si="0"/>
      </c>
      <c r="P30" s="182">
        <f t="shared" si="1"/>
      </c>
    </row>
    <row r="31" spans="1:16" s="36" customFormat="1" ht="30" customHeight="1">
      <c r="A31" s="24">
        <v>23</v>
      </c>
      <c r="B31" s="151"/>
      <c r="C31" s="151"/>
      <c r="D31" s="29"/>
      <c r="E31" s="29"/>
      <c r="F31" s="29"/>
      <c r="G31" s="293"/>
      <c r="H31" s="294"/>
      <c r="I31" s="29"/>
      <c r="J31" s="298"/>
      <c r="K31" s="485"/>
      <c r="L31" s="485"/>
      <c r="M31" s="322"/>
      <c r="N31" s="180">
        <f t="shared" si="2"/>
      </c>
      <c r="O31" s="182">
        <f t="shared" si="0"/>
      </c>
      <c r="P31" s="182">
        <f t="shared" si="1"/>
      </c>
    </row>
    <row r="32" spans="1:16" s="36" customFormat="1" ht="30" customHeight="1">
      <c r="A32" s="24">
        <v>24</v>
      </c>
      <c r="B32" s="151"/>
      <c r="C32" s="151"/>
      <c r="D32" s="29"/>
      <c r="E32" s="29"/>
      <c r="F32" s="29"/>
      <c r="G32" s="293"/>
      <c r="H32" s="294"/>
      <c r="I32" s="29"/>
      <c r="J32" s="298"/>
      <c r="K32" s="485"/>
      <c r="L32" s="485"/>
      <c r="M32" s="322"/>
      <c r="N32" s="180">
        <f t="shared" si="2"/>
      </c>
      <c r="O32" s="182">
        <f t="shared" si="0"/>
      </c>
      <c r="P32" s="182">
        <f t="shared" si="1"/>
      </c>
    </row>
    <row r="33" spans="1:16" s="36" customFormat="1" ht="30" customHeight="1">
      <c r="A33" s="24">
        <v>25</v>
      </c>
      <c r="B33" s="151"/>
      <c r="C33" s="151"/>
      <c r="D33" s="29"/>
      <c r="E33" s="29"/>
      <c r="F33" s="29"/>
      <c r="G33" s="293"/>
      <c r="H33" s="294"/>
      <c r="I33" s="29"/>
      <c r="J33" s="298"/>
      <c r="K33" s="484"/>
      <c r="L33" s="484"/>
      <c r="M33" s="322"/>
      <c r="N33" s="180">
        <f t="shared" si="2"/>
      </c>
      <c r="O33" s="182">
        <f t="shared" si="0"/>
      </c>
      <c r="P33" s="182">
        <f t="shared" si="1"/>
      </c>
    </row>
    <row r="34" spans="1:16" s="36" customFormat="1" ht="30" customHeight="1">
      <c r="A34" s="24">
        <v>26</v>
      </c>
      <c r="B34" s="151"/>
      <c r="C34" s="151"/>
      <c r="D34" s="29"/>
      <c r="E34" s="29"/>
      <c r="F34" s="29"/>
      <c r="G34" s="293"/>
      <c r="H34" s="294"/>
      <c r="I34" s="29"/>
      <c r="J34" s="298"/>
      <c r="K34" s="485"/>
      <c r="L34" s="485"/>
      <c r="M34" s="322"/>
      <c r="N34" s="180">
        <f t="shared" si="2"/>
      </c>
      <c r="O34" s="182">
        <f t="shared" si="0"/>
      </c>
      <c r="P34" s="182">
        <f t="shared" si="1"/>
      </c>
    </row>
    <row r="35" spans="1:16" s="36" customFormat="1" ht="30" customHeight="1">
      <c r="A35" s="24">
        <v>27</v>
      </c>
      <c r="B35" s="151"/>
      <c r="C35" s="151"/>
      <c r="D35" s="29"/>
      <c r="E35" s="29"/>
      <c r="F35" s="29"/>
      <c r="G35" s="293"/>
      <c r="H35" s="294"/>
      <c r="I35" s="29"/>
      <c r="J35" s="298"/>
      <c r="K35" s="485"/>
      <c r="L35" s="485"/>
      <c r="M35" s="322"/>
      <c r="N35" s="180">
        <f t="shared" si="2"/>
      </c>
      <c r="O35" s="182">
        <f t="shared" si="0"/>
      </c>
      <c r="P35" s="182">
        <f t="shared" si="1"/>
      </c>
    </row>
    <row r="36" spans="1:16" s="36" customFormat="1" ht="30" customHeight="1">
      <c r="A36" s="24">
        <v>28</v>
      </c>
      <c r="B36" s="151"/>
      <c r="C36" s="151"/>
      <c r="D36" s="29"/>
      <c r="E36" s="29"/>
      <c r="F36" s="29"/>
      <c r="G36" s="293"/>
      <c r="H36" s="294"/>
      <c r="I36" s="29"/>
      <c r="J36" s="298"/>
      <c r="K36" s="484"/>
      <c r="L36" s="484"/>
      <c r="M36" s="322"/>
      <c r="N36" s="180">
        <f t="shared" si="2"/>
      </c>
      <c r="O36" s="182">
        <f t="shared" si="0"/>
      </c>
      <c r="P36" s="182">
        <f t="shared" si="1"/>
      </c>
    </row>
    <row r="37" spans="1:16" s="36" customFormat="1" ht="30" customHeight="1">
      <c r="A37" s="24">
        <v>29</v>
      </c>
      <c r="B37" s="151"/>
      <c r="C37" s="151"/>
      <c r="D37" s="29"/>
      <c r="E37" s="29"/>
      <c r="F37" s="29"/>
      <c r="G37" s="293"/>
      <c r="H37" s="294"/>
      <c r="I37" s="29"/>
      <c r="J37" s="298"/>
      <c r="K37" s="485"/>
      <c r="L37" s="485"/>
      <c r="M37" s="322"/>
      <c r="N37" s="180">
        <f t="shared" si="2"/>
      </c>
      <c r="O37" s="182">
        <f t="shared" si="0"/>
      </c>
      <c r="P37" s="182">
        <f t="shared" si="1"/>
      </c>
    </row>
    <row r="38" spans="1:16" s="36" customFormat="1" ht="30" customHeight="1">
      <c r="A38" s="24">
        <v>30</v>
      </c>
      <c r="B38" s="151"/>
      <c r="C38" s="151"/>
      <c r="D38" s="29"/>
      <c r="E38" s="29"/>
      <c r="F38" s="29"/>
      <c r="G38" s="293"/>
      <c r="H38" s="294"/>
      <c r="I38" s="29"/>
      <c r="J38" s="298"/>
      <c r="K38" s="485"/>
      <c r="L38" s="485"/>
      <c r="M38" s="322"/>
      <c r="N38" s="180">
        <f t="shared" si="2"/>
      </c>
      <c r="O38" s="182">
        <f t="shared" si="0"/>
      </c>
      <c r="P38" s="182">
        <f t="shared" si="1"/>
      </c>
    </row>
    <row r="39" spans="1:16" s="36" customFormat="1" ht="30" customHeight="1">
      <c r="A39" s="24">
        <v>31</v>
      </c>
      <c r="B39" s="151"/>
      <c r="C39" s="151"/>
      <c r="D39" s="29"/>
      <c r="E39" s="29"/>
      <c r="F39" s="29"/>
      <c r="G39" s="293"/>
      <c r="H39" s="294"/>
      <c r="I39" s="29"/>
      <c r="J39" s="298"/>
      <c r="K39" s="484"/>
      <c r="L39" s="484"/>
      <c r="M39" s="322"/>
      <c r="N39" s="180">
        <f t="shared" si="2"/>
      </c>
      <c r="O39" s="182">
        <f t="shared" si="0"/>
      </c>
      <c r="P39" s="182">
        <f t="shared" si="1"/>
      </c>
    </row>
    <row r="40" spans="1:16" s="36" customFormat="1" ht="30" customHeight="1">
      <c r="A40" s="24">
        <v>32</v>
      </c>
      <c r="B40" s="151"/>
      <c r="C40" s="151"/>
      <c r="D40" s="29"/>
      <c r="E40" s="29"/>
      <c r="F40" s="29"/>
      <c r="G40" s="293"/>
      <c r="H40" s="294"/>
      <c r="I40" s="29"/>
      <c r="J40" s="298"/>
      <c r="K40" s="485"/>
      <c r="L40" s="485"/>
      <c r="M40" s="322"/>
      <c r="N40" s="180">
        <f t="shared" si="2"/>
      </c>
      <c r="O40" s="182">
        <f t="shared" si="0"/>
      </c>
      <c r="P40" s="182">
        <f t="shared" si="1"/>
      </c>
    </row>
    <row r="41" spans="1:16" s="36" customFormat="1" ht="30" customHeight="1">
      <c r="A41" s="24">
        <v>33</v>
      </c>
      <c r="B41" s="151"/>
      <c r="C41" s="151"/>
      <c r="D41" s="29"/>
      <c r="E41" s="29"/>
      <c r="F41" s="29"/>
      <c r="G41" s="293"/>
      <c r="H41" s="294"/>
      <c r="I41" s="29"/>
      <c r="J41" s="298"/>
      <c r="K41" s="485"/>
      <c r="L41" s="485"/>
      <c r="M41" s="322"/>
      <c r="N41" s="180">
        <f t="shared" si="2"/>
      </c>
      <c r="O41" s="182">
        <f t="shared" si="0"/>
      </c>
      <c r="P41" s="182">
        <f t="shared" si="1"/>
      </c>
    </row>
    <row r="42" spans="1:16" s="36" customFormat="1" ht="30" customHeight="1">
      <c r="A42" s="24">
        <v>34</v>
      </c>
      <c r="B42" s="151"/>
      <c r="C42" s="151"/>
      <c r="D42" s="29"/>
      <c r="E42" s="29"/>
      <c r="F42" s="29"/>
      <c r="G42" s="293"/>
      <c r="H42" s="294"/>
      <c r="I42" s="29"/>
      <c r="J42" s="298"/>
      <c r="K42" s="484"/>
      <c r="L42" s="484"/>
      <c r="M42" s="322"/>
      <c r="N42" s="180">
        <f t="shared" si="2"/>
      </c>
      <c r="O42" s="182">
        <f t="shared" si="0"/>
      </c>
      <c r="P42" s="182">
        <f t="shared" si="1"/>
      </c>
    </row>
    <row r="43" spans="1:16" s="36" customFormat="1" ht="30" customHeight="1" thickBot="1">
      <c r="A43" s="24">
        <v>35</v>
      </c>
      <c r="B43" s="151"/>
      <c r="C43" s="151"/>
      <c r="D43" s="29"/>
      <c r="E43" s="29"/>
      <c r="F43" s="29"/>
      <c r="G43" s="293"/>
      <c r="H43" s="294"/>
      <c r="I43" s="29"/>
      <c r="J43" s="298"/>
      <c r="K43" s="485"/>
      <c r="L43" s="485"/>
      <c r="M43" s="322"/>
      <c r="N43" s="180">
        <f t="shared" si="2"/>
      </c>
      <c r="O43" s="182">
        <f t="shared" si="0"/>
      </c>
      <c r="P43" s="182">
        <f t="shared" si="1"/>
      </c>
    </row>
    <row r="44" spans="1:13" s="22" customFormat="1" ht="22.5" customHeight="1" thickBot="1">
      <c r="A44" s="239" t="s">
        <v>491</v>
      </c>
      <c r="B44" s="240">
        <f>IF(ISBLANK('Cover Page'!$A$4),"",COUNTA(B9:B43))</f>
      </c>
      <c r="C44" s="240">
        <f>IF(ISBLANK('Cover Page'!$A$4),"",COUNTA(C9:C43))</f>
      </c>
      <c r="D44" s="240">
        <f>IF(ISBLANK('Cover Page'!$A$4),"",COUNTA(D9:D43))</f>
      </c>
      <c r="E44" s="240">
        <f>IF(ISBLANK('Cover Page'!$A$4),"",COUNTA(E9:E43))</f>
      </c>
      <c r="F44" s="240">
        <f>IF(ISBLANK('Cover Page'!$A$4),"",COUNTA(F9:F43))</f>
      </c>
      <c r="G44" s="295">
        <f>IF(ISBLANK('Cover Page'!$A$4),"",COUNTA(G9:G43))</f>
      </c>
      <c r="H44" s="296"/>
      <c r="I44" s="226"/>
      <c r="J44" s="226"/>
      <c r="K44" s="300"/>
      <c r="L44" s="300"/>
      <c r="M44" s="32"/>
    </row>
    <row r="45" spans="2:13" ht="10.5" customHeight="1" thickTop="1">
      <c r="B45" s="488"/>
      <c r="C45" s="489"/>
      <c r="D45" s="489"/>
      <c r="E45" s="489"/>
      <c r="F45" s="489"/>
      <c r="G45" s="489"/>
      <c r="H45" s="489"/>
      <c r="I45" s="489"/>
      <c r="J45" s="489"/>
      <c r="K45" s="489"/>
      <c r="L45" s="489"/>
      <c r="M45" s="323"/>
    </row>
    <row r="46" spans="2:12" ht="47.25" customHeight="1">
      <c r="B46" s="486" t="s">
        <v>504</v>
      </c>
      <c r="C46" s="487"/>
      <c r="D46" s="487"/>
      <c r="E46" s="487"/>
      <c r="F46" s="487"/>
      <c r="G46" s="487"/>
      <c r="H46" s="487"/>
      <c r="I46" s="487"/>
      <c r="J46" s="487"/>
      <c r="K46" s="487"/>
      <c r="L46" s="487"/>
    </row>
    <row r="51" spans="5:6" ht="9.75" hidden="1">
      <c r="E51" s="301" t="s">
        <v>366</v>
      </c>
      <c r="F51" s="301" t="s">
        <v>367</v>
      </c>
    </row>
    <row r="52" spans="5:7" ht="9.75" hidden="1">
      <c r="E52" s="302" t="s">
        <v>8</v>
      </c>
      <c r="F52" s="303" t="s">
        <v>8</v>
      </c>
      <c r="G52" s="303"/>
    </row>
    <row r="53" spans="5:7" ht="9.75" hidden="1">
      <c r="E53" s="302" t="s">
        <v>364</v>
      </c>
      <c r="F53" s="303" t="s">
        <v>44</v>
      </c>
      <c r="G53" s="303"/>
    </row>
    <row r="54" spans="5:7" ht="9.75" hidden="1">
      <c r="E54" s="302" t="s">
        <v>392</v>
      </c>
      <c r="F54" s="303" t="s">
        <v>45</v>
      </c>
      <c r="G54" s="303"/>
    </row>
    <row r="55" spans="5:7" ht="9.75" hidden="1">
      <c r="E55" s="302" t="s">
        <v>395</v>
      </c>
      <c r="F55" s="303" t="s">
        <v>1</v>
      </c>
      <c r="G55" s="303"/>
    </row>
    <row r="56" spans="5:7" ht="9.75" hidden="1">
      <c r="E56" s="302" t="s">
        <v>365</v>
      </c>
      <c r="F56" s="303" t="s">
        <v>2</v>
      </c>
      <c r="G56" s="303"/>
    </row>
    <row r="57" spans="5:7" ht="9.75" hidden="1">
      <c r="E57" s="302">
        <v>1</v>
      </c>
      <c r="F57" s="303" t="s">
        <v>83</v>
      </c>
      <c r="G57" s="303"/>
    </row>
    <row r="58" spans="5:6" ht="9.75" hidden="1">
      <c r="E58" s="302">
        <v>2</v>
      </c>
      <c r="F58" s="303" t="s">
        <v>83</v>
      </c>
    </row>
    <row r="59" spans="5:6" ht="9.75" hidden="1">
      <c r="E59" s="302">
        <v>3</v>
      </c>
      <c r="F59" s="303" t="s">
        <v>83</v>
      </c>
    </row>
    <row r="60" spans="5:6" ht="9.75" hidden="1">
      <c r="E60" s="302">
        <v>4</v>
      </c>
      <c r="F60" s="303" t="s">
        <v>83</v>
      </c>
    </row>
    <row r="61" spans="5:6" ht="9.75" hidden="1">
      <c r="E61" s="302">
        <v>5</v>
      </c>
      <c r="F61" s="303" t="s">
        <v>83</v>
      </c>
    </row>
    <row r="62" spans="5:6" ht="9.75" hidden="1">
      <c r="E62" s="302">
        <v>6</v>
      </c>
      <c r="F62" s="303" t="s">
        <v>83</v>
      </c>
    </row>
    <row r="63" spans="5:6" ht="9.75" hidden="1">
      <c r="E63" s="302">
        <v>7</v>
      </c>
      <c r="F63" s="303" t="s">
        <v>83</v>
      </c>
    </row>
    <row r="64" spans="5:6" ht="9.75" hidden="1">
      <c r="E64" s="302">
        <v>8</v>
      </c>
      <c r="F64" s="303" t="s">
        <v>83</v>
      </c>
    </row>
    <row r="65" spans="5:6" ht="9.75" hidden="1">
      <c r="E65" s="302">
        <v>9</v>
      </c>
      <c r="F65" s="303" t="s">
        <v>69</v>
      </c>
    </row>
    <row r="66" spans="5:6" ht="9.75" hidden="1">
      <c r="E66" s="302">
        <v>10</v>
      </c>
      <c r="F66" s="303" t="s">
        <v>69</v>
      </c>
    </row>
    <row r="67" spans="5:6" ht="9.75" hidden="1">
      <c r="E67" s="302">
        <v>11</v>
      </c>
      <c r="F67" s="303" t="s">
        <v>69</v>
      </c>
    </row>
    <row r="68" spans="5:6" ht="9.75" hidden="1">
      <c r="E68" s="302">
        <v>12</v>
      </c>
      <c r="F68" s="303" t="s">
        <v>69</v>
      </c>
    </row>
  </sheetData>
  <sheetProtection password="F443" sheet="1" formatRows="0"/>
  <mergeCells count="46">
    <mergeCell ref="K42:L42"/>
    <mergeCell ref="K43:L43"/>
    <mergeCell ref="B46:L46"/>
    <mergeCell ref="B45:L45"/>
    <mergeCell ref="A1:L1"/>
    <mergeCell ref="A2:L2"/>
    <mergeCell ref="A3:L3"/>
    <mergeCell ref="A4:L4"/>
    <mergeCell ref="A5:I5"/>
    <mergeCell ref="A6:I6"/>
    <mergeCell ref="K36:L36"/>
    <mergeCell ref="K37:L37"/>
    <mergeCell ref="K38:L38"/>
    <mergeCell ref="K39:L39"/>
    <mergeCell ref="K40:L40"/>
    <mergeCell ref="K41:L41"/>
    <mergeCell ref="K30:L30"/>
    <mergeCell ref="K31:L31"/>
    <mergeCell ref="K32:L32"/>
    <mergeCell ref="K33:L33"/>
    <mergeCell ref="K34:L34"/>
    <mergeCell ref="K35:L35"/>
    <mergeCell ref="K24:L24"/>
    <mergeCell ref="K25:L25"/>
    <mergeCell ref="K26:L26"/>
    <mergeCell ref="K27:L27"/>
    <mergeCell ref="K28:L28"/>
    <mergeCell ref="K29:L29"/>
    <mergeCell ref="K18:L18"/>
    <mergeCell ref="K19:L19"/>
    <mergeCell ref="K20:L20"/>
    <mergeCell ref="K21:L21"/>
    <mergeCell ref="K22:L22"/>
    <mergeCell ref="K23:L23"/>
    <mergeCell ref="K12:L12"/>
    <mergeCell ref="K13:L13"/>
    <mergeCell ref="K14:L14"/>
    <mergeCell ref="K15:L15"/>
    <mergeCell ref="K16:L16"/>
    <mergeCell ref="K17:L17"/>
    <mergeCell ref="B7:G7"/>
    <mergeCell ref="K7:L8"/>
    <mergeCell ref="H7:J7"/>
    <mergeCell ref="K9:L9"/>
    <mergeCell ref="K10:L10"/>
    <mergeCell ref="K11:L11"/>
  </mergeCells>
  <dataValidations count="5">
    <dataValidation type="list" allowBlank="1" showDropDown="1" showInputMessage="1" showErrorMessage="1" prompt="Insert W if this pupil is on DPl's waiting list." sqref="C9:C43">
      <formula1>"W,w"</formula1>
    </dataValidation>
    <dataValidation type="list" allowBlank="1" showInputMessage="1" showErrorMessage="1" sqref="G10:G43">
      <formula1>"MPCP,WPCP,RPCP"</formula1>
    </dataValidation>
    <dataValidation type="list" allowBlank="1" showInputMessage="1" showErrorMessage="1" sqref="H9:H43 B9:B43">
      <formula1>"K4, K5-0.5 FTE,K5-0.6 FTE, K5-0.8 FTE, K5-1.0 FTE,1,2,3,4,5,6,7,8,9,10,11,12"</formula1>
    </dataValidation>
    <dataValidation type="list" allowBlank="1" showInputMessage="1" showErrorMessage="1" sqref="G9">
      <formula1>"MPCP,RPCP,WPCP"</formula1>
    </dataValidation>
    <dataValidation type="whole" allowBlank="1" showInputMessage="1" showErrorMessage="1" sqref="J5">
      <formula1>0</formula1>
      <formula2>100</formula2>
    </dataValidation>
  </dataValidations>
  <printOptions horizontalCentered="1"/>
  <pageMargins left="0.5" right="0.5" top="0.5" bottom="0.5" header="0.3" footer="0.3"/>
  <pageSetup fitToHeight="100" fitToWidth="1" horizontalDpi="600" verticalDpi="600" orientation="landscape" scale="74" r:id="rId2"/>
  <headerFooter>
    <oddHeader>&amp;L&amp;"Arial,Regular"&amp;8Page 6&amp;R&amp;"Arial,Regular"&amp;8PI-PCP-103 (35-25 Lines)</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Andrea Kratz</cp:lastModifiedBy>
  <cp:lastPrinted>2019-10-11T18:52:39Z</cp:lastPrinted>
  <dcterms:created xsi:type="dcterms:W3CDTF">2009-04-21T15:59:52Z</dcterms:created>
  <dcterms:modified xsi:type="dcterms:W3CDTF">2019-10-24T18:02:45Z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