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19200" windowHeight="6240" tabRatio="862" activeTab="0"/>
  </bookViews>
  <sheets>
    <sheet name="Excel Instructions" sheetId="1" r:id="rId1"/>
    <sheet name="Cover Page" sheetId="2" r:id="rId2"/>
    <sheet name="Error Report" sheetId="3" r:id="rId3"/>
    <sheet name="Schedule 1-1" sheetId="4" r:id="rId4"/>
    <sheet name="Schedule 1-2" sheetId="5" r:id="rId5"/>
    <sheet name="Schedule 2" sheetId="6" r:id="rId6"/>
    <sheet name="Sample Info" sheetId="7" state="hidden" r:id="rId7"/>
    <sheet name="Ineligibility Reasons" sheetId="8" r:id="rId8"/>
    <sheet name="Schedule 3" sheetId="9" r:id="rId9"/>
    <sheet name="Schedule 4" sheetId="10" r:id="rId10"/>
    <sheet name="Schedule 5" sheetId="11" r:id="rId11"/>
    <sheet name="Schedule 6" sheetId="12" state="hidden" r:id="rId12"/>
    <sheet name="Counts" sheetId="13" r:id="rId13"/>
    <sheet name="Payment Amounts" sheetId="14" state="hidden" r:id="rId14"/>
  </sheets>
  <definedNames>
    <definedName name="_xlnm._FilterDatabase" localSheetId="12" hidden="1">'Counts'!$A$4:$AF$462</definedName>
    <definedName name="_xlfn.COUNTIFS" hidden="1">#NAME?</definedName>
    <definedName name="_xlfn.IFERROR" hidden="1">#NAME?</definedName>
    <definedName name="_xlfn.SINGLE" hidden="1">#NAME?</definedName>
    <definedName name="_xlfn.SUMIFS" hidden="1">#NAME?</definedName>
    <definedName name="CY_9_12_Pmt">'Payment Amounts'!$B$3</definedName>
    <definedName name="CY_K_8_Pmt">'Payment Amounts'!$B$2</definedName>
    <definedName name="Last_Row" localSheetId="7">IF(Values_Entered,Header_Row+Number_of_Payments,Header_Row)</definedName>
    <definedName name="Last_Row" localSheetId="4">IF(Values_Entered,Header_Row+Number_of_Payments,Header_Row)</definedName>
    <definedName name="Last_Row" localSheetId="9">IF(Values_Entered,Header_Row+Number_of_Payments,Header_Row)</definedName>
    <definedName name="Last_Row" localSheetId="10">IF(Values_Entered,Header_Row+Number_of_Payments,Header_Row)</definedName>
    <definedName name="Last_Row" localSheetId="11">IF(Values_Entered,Header_Row+Number_of_Payments,Header_Row)</definedName>
    <definedName name="Last_Row">IF(Values_Entered,Header_Row+Number_of_Payments,Header_Row)</definedName>
    <definedName name="_xlnm.Print_Area" localSheetId="2">'Error Report'!$A$1:$E$31</definedName>
    <definedName name="_xlnm.Print_Area" localSheetId="0">'Excel Instructions'!$A$1:$J$55</definedName>
    <definedName name="_xlnm.Print_Area" localSheetId="3">'Schedule 1-1'!$A$1:$I$37</definedName>
    <definedName name="_xlnm.Print_Area" localSheetId="4">'Schedule 1-2'!$A$1:$I$40</definedName>
    <definedName name="_xlnm.Print_Area" localSheetId="5">'Schedule 2'!$A$1:$H$16</definedName>
    <definedName name="_xlnm.Print_Area" localSheetId="8">'Schedule 3'!$A$1:$K$16</definedName>
    <definedName name="_xlnm.Print_Area" localSheetId="9">'Schedule 4'!$A$1:$I$14</definedName>
    <definedName name="_xlnm.Print_Area" localSheetId="10">'Schedule 5'!$A$1:$L$31</definedName>
    <definedName name="_xlnm.Print_Area" localSheetId="11">'Schedule 6'!$A$1:$I$47</definedName>
    <definedName name="Print_Area_Reset" localSheetId="7">OFFSET(Full_Print,0,0,'Ineligibility Reasons'!Last_Row)</definedName>
    <definedName name="Print_Area_Reset" localSheetId="4">OFFSET(Full_Print,0,0,'Schedule 1-2'!Last_Row)</definedName>
    <definedName name="Print_Area_Reset" localSheetId="9">OFFSET(Full_Print,0,0,'Schedule 4'!Last_Row)</definedName>
    <definedName name="Print_Area_Reset" localSheetId="10">OFFSET(Full_Print,0,0,'Schedule 5'!Last_Row)</definedName>
    <definedName name="Print_Area_Reset" localSheetId="11">OFFSET(Full_Print,0,0,'Schedule 6'!Last_Row)</definedName>
    <definedName name="Print_Area_Reset">OFFSET(Full_Print,0,0,Last_Row)</definedName>
    <definedName name="_xlnm.Print_Titles" localSheetId="5">'Schedule 2'!$1:$3</definedName>
    <definedName name="_xlnm.Print_Titles" localSheetId="8">'Schedule 3'!$1:$3</definedName>
    <definedName name="_xlnm.Print_Titles" localSheetId="9">'Schedule 4'!$1:$3</definedName>
    <definedName name="PY_9_12_Pmt">'Payment Amounts'!$B$7</definedName>
    <definedName name="PY_K_8_Pmt">'Payment Amounts'!$B$6</definedName>
    <definedName name="Z_BA70B234_CE18_4574_B592_7648709AF994_.wvu.PrintArea" localSheetId="2" hidden="1">'Error Report'!$A$1:$E$21</definedName>
  </definedNames>
  <calcPr fullCalcOnLoad="1"/>
</workbook>
</file>

<file path=xl/comments3.xml><?xml version="1.0" encoding="utf-8"?>
<comments xmlns="http://schemas.openxmlformats.org/spreadsheetml/2006/main">
  <authors>
    <author>Dennis Hanson</author>
  </authors>
  <commentList>
    <comment ref="A15" authorId="0">
      <text>
        <r>
          <rPr>
            <b/>
            <sz val="8"/>
            <rFont val="Arial"/>
            <family val="2"/>
          </rPr>
          <t xml:space="preserve">COUNTED INELIGIBLE PUPILS
</t>
        </r>
        <r>
          <rPr>
            <sz val="8"/>
            <rFont val="Arial"/>
            <family val="2"/>
          </rPr>
          <t>The data on Schedule 2 has not been completed for each pupil. Review the data on Schedule 2 to ensure data has been completed for each pupil listed including grade, app #, pupil first name, pupil last name, reason(s) for ineligibility, and program. The total line on Schedule 2 can be used to identify which column has a different number of entries than the remaining columns.</t>
        </r>
      </text>
    </comment>
    <comment ref="A19" authorId="0">
      <text>
        <r>
          <rPr>
            <b/>
            <sz val="8"/>
            <rFont val="Arial"/>
            <family val="2"/>
          </rPr>
          <t xml:space="preserve">PUPIL ADDITIONS
</t>
        </r>
        <r>
          <rPr>
            <sz val="8"/>
            <rFont val="Arial"/>
            <family val="2"/>
          </rPr>
          <t>The data on Schedule 4 has not been completed for each pupil. Review Schedule 4 to ensure data has been completed for each column and pupil including audited grade, app #, audited pupil first name, audited pupil last name, program, pupil added to count, or pupil added to waiting list. The total line on Schedule 4 can be used to identify which column has a different number of entries than the remaining columns. The total of the pupil added to count and the pupil added to waiting list columns should match the totals for the other columns.</t>
        </r>
      </text>
    </comment>
    <comment ref="A21" authorId="0">
      <text>
        <r>
          <rPr>
            <b/>
            <sz val="8"/>
            <rFont val="Arial"/>
            <family val="2"/>
          </rPr>
          <t xml:space="preserve">REQUIRED INCOME &amp; RESIDENCY SAMPLE
</t>
        </r>
        <r>
          <rPr>
            <sz val="8"/>
            <rFont val="Arial"/>
            <family val="2"/>
          </rPr>
          <t>The required number of family applications have not been tested for income and residency.  See the Sample Information page for additional information.</t>
        </r>
      </text>
    </comment>
    <comment ref="A23" authorId="0">
      <text>
        <r>
          <rPr>
            <b/>
            <sz val="8"/>
            <rFont val="Arial"/>
            <family val="2"/>
          </rPr>
          <t xml:space="preserve">SUMMER SCHOOL REQUIREMENTS MET
</t>
        </r>
        <r>
          <rPr>
            <sz val="8"/>
            <rFont val="Arial"/>
            <family val="2"/>
          </rPr>
          <t>Schedule 6, Indicate if the summer school program had at least 19 days that had at least 270 minutes of non-Title I instruction.  If the school did not participate in Choice summer school or have any Choice summer school pupils, N/A must be entered.</t>
        </r>
      </text>
    </comment>
    <comment ref="A11" authorId="0">
      <text>
        <r>
          <rPr>
            <b/>
            <sz val="8"/>
            <rFont val="Arial"/>
            <family val="2"/>
          </rPr>
          <t xml:space="preserve">CORRECTED APPLICATIONS
</t>
        </r>
        <r>
          <rPr>
            <sz val="8"/>
            <rFont val="Arial"/>
            <family val="2"/>
          </rPr>
          <t>The number of applications requiring corrections that did not require a change to DPI's application information must be included at the top of Schedule 3.  If there were none, 0 must be entered in the cell.</t>
        </r>
      </text>
    </comment>
    <comment ref="A13" authorId="0">
      <text>
        <r>
          <rPr>
            <b/>
            <sz val="8"/>
            <rFont val="Arial"/>
            <family val="2"/>
          </rPr>
          <t xml:space="preserve">K4 OUTREACH
</t>
        </r>
        <r>
          <rPr>
            <sz val="8"/>
            <rFont val="Arial"/>
            <family val="2"/>
          </rPr>
          <t>The auditor must answer the K4 outreach question on Schedule 1-1.  If the school does not have K4, N/A must be inserted for the question.</t>
        </r>
      </text>
    </comment>
    <comment ref="A9" authorId="0">
      <text>
        <r>
          <rPr>
            <b/>
            <sz val="8"/>
            <rFont val="Arial"/>
            <family val="2"/>
          </rPr>
          <t xml:space="preserve">ALL PUPIL COUNT
</t>
        </r>
        <r>
          <rPr>
            <sz val="8"/>
            <rFont val="Arial"/>
            <family val="2"/>
          </rPr>
          <t>The All Pupil Count must be at least as much as the Choice pupil count for each category.  Review Schedule 1-1 to determine which categories do not meet this requirement.</t>
        </r>
      </text>
    </comment>
    <comment ref="A27" authorId="0">
      <text>
        <r>
          <rPr>
            <b/>
            <sz val="8"/>
            <rFont val="Arial"/>
            <family val="2"/>
          </rPr>
          <t xml:space="preserve">SUMMER SCHOOL INFORMATION COMPLETED
</t>
        </r>
        <r>
          <rPr>
            <sz val="8"/>
            <rFont val="Arial"/>
            <family val="2"/>
          </rPr>
          <t xml:space="preserve">There are four columns to the right of each line that indicate which rows have errors.  Resolve any items that have a "No" in the error columns.  For each pupil on the Summer School Schedule 6, there must be a grade, application #, pupil first name, pupil last name, program, reported days attended, and audited days attended.
Further, a pupil should not be listed with a change that only impacts the number of days attended if the incorrect days and correct days are both 15 or more days since this does not impact the student eligibility or payment amount for a pupil. The auditor will receive an error in the "Incorrectly Included Pupil" column if this occurs.
</t>
        </r>
      </text>
    </comment>
    <comment ref="A25" authorId="0">
      <text>
        <r>
          <rPr>
            <b/>
            <sz val="8"/>
            <rFont val="Arial"/>
            <family val="2"/>
          </rPr>
          <t xml:space="preserve">SUMMER SCHOOL CHANGES
</t>
        </r>
        <r>
          <rPr>
            <sz val="8"/>
            <rFont val="Arial"/>
            <family val="2"/>
          </rPr>
          <t>Schedule 6, Indicate if the school had changes to the summer school pupil counts.  If the school did not participate in Choice summer school or have any Choice summer school pupils, N/A must be entered.</t>
        </r>
      </text>
    </comment>
    <comment ref="A17" authorId="0">
      <text>
        <r>
          <rPr>
            <b/>
            <sz val="8"/>
            <rFont val="Arial"/>
            <family val="2"/>
          </rPr>
          <t xml:space="preserve">PUPIL CHANGES ARE COMPLETED
</t>
        </r>
        <r>
          <rPr>
            <sz val="8"/>
            <rFont val="Arial"/>
            <family val="2"/>
          </rPr>
          <t xml:space="preserve">Pupil data is not complete on Schedule 3. Review the data on Schedule 3 to ensure data has been completed for each pupil listed including grade, app #, pupil first name, pupil last name, and program. </t>
        </r>
      </text>
    </comment>
    <comment ref="A29" authorId="0">
      <text>
        <r>
          <rPr>
            <b/>
            <sz val="8"/>
            <rFont val="Arial"/>
            <family val="2"/>
          </rPr>
          <t xml:space="preserve">WPCP WAITING LIST INELIGIBLE PUPILS
</t>
        </r>
        <r>
          <rPr>
            <sz val="8"/>
            <rFont val="Arial"/>
            <family val="2"/>
          </rPr>
          <t>The DPI maintains the WPCP waiting list. An auditor may only identify a WPCP waiting list pupil as ineligible in Schedule 2 if the application does not meet the eligibility requirements. If the school identifies the pupil should no longer be on the waiting list, the school must email DPI the information identified in the Application Process Bulletin for the withdrawal.  The pupil should not also be identified as ineligible in this report.</t>
        </r>
      </text>
    </comment>
    <comment ref="A31" authorId="0">
      <text>
        <r>
          <rPr>
            <b/>
            <sz val="8"/>
            <rFont val="Arial"/>
            <family val="2"/>
          </rPr>
          <t xml:space="preserve">WPCP WAITING LIST PUPILS ADDED ON SCHEDULE 4
</t>
        </r>
        <r>
          <rPr>
            <sz val="8"/>
            <rFont val="Arial"/>
            <family val="2"/>
          </rPr>
          <t>WPCP pupils may apply to more than one school. The DPI only requires that the WPCP waiting list pupils be tested at the school that is their highest preference. Further, DPI maintains the WPCP waiting list and no pupils may be added to the waiting list. As a result, no WPCP waiting list pupils may be added on Schedule 4.</t>
        </r>
      </text>
    </comment>
  </commentList>
</comments>
</file>

<file path=xl/sharedStrings.xml><?xml version="1.0" encoding="utf-8"?>
<sst xmlns="http://schemas.openxmlformats.org/spreadsheetml/2006/main" count="2256" uniqueCount="1115">
  <si>
    <t>4 Year-Old K/437 Hours</t>
  </si>
  <si>
    <t>5 Year-Old K/4 Day</t>
  </si>
  <si>
    <t>5 Year-Old K/5 Day</t>
  </si>
  <si>
    <t>Total All Pupils</t>
  </si>
  <si>
    <t>Ineligible Pupils</t>
  </si>
  <si>
    <t>Total September and November Checks Issued to School</t>
  </si>
  <si>
    <t>Income and Residency Documentation Sample Information</t>
  </si>
  <si>
    <t>Variance</t>
  </si>
  <si>
    <t>K4</t>
  </si>
  <si>
    <t>K5</t>
  </si>
  <si>
    <t>Reason 1</t>
  </si>
  <si>
    <t>Reason 2</t>
  </si>
  <si>
    <t>Reason 3</t>
  </si>
  <si>
    <t>Income</t>
  </si>
  <si>
    <t>Reason 4</t>
  </si>
  <si>
    <t>Reason 5</t>
  </si>
  <si>
    <t>Reason 6</t>
  </si>
  <si>
    <t>Reason 7</t>
  </si>
  <si>
    <t>Reason 8</t>
  </si>
  <si>
    <t>Reason 9</t>
  </si>
  <si>
    <t>Reason 10</t>
  </si>
  <si>
    <t>Reason 11</t>
  </si>
  <si>
    <t>Reason 12</t>
  </si>
  <si>
    <t>Reason 13</t>
  </si>
  <si>
    <t>Reason 14</t>
  </si>
  <si>
    <t>Reason 15</t>
  </si>
  <si>
    <t>Reason 16</t>
  </si>
  <si>
    <t>Reason 17</t>
  </si>
  <si>
    <t>Reason 18</t>
  </si>
  <si>
    <t>Reason 19</t>
  </si>
  <si>
    <t>Reason 20</t>
  </si>
  <si>
    <t>Reason 21</t>
  </si>
  <si>
    <t>Reason 22</t>
  </si>
  <si>
    <t>Reason 23</t>
  </si>
  <si>
    <t>Residency</t>
  </si>
  <si>
    <t>Other</t>
  </si>
  <si>
    <t>Reason 24</t>
  </si>
  <si>
    <t>Reason 25</t>
  </si>
  <si>
    <t>School Name</t>
  </si>
  <si>
    <t xml:space="preserve">Name of Contact Person at School Regarding Report </t>
  </si>
  <si>
    <t>I. GENERAL INFORMATION</t>
  </si>
  <si>
    <t>II. REPORT CONTACT PERSON</t>
  </si>
  <si>
    <t>III. SIGNATURE</t>
  </si>
  <si>
    <r>
      <t xml:space="preserve">Date Signed </t>
    </r>
    <r>
      <rPr>
        <i/>
        <sz val="8"/>
        <rFont val="Arial"/>
        <family val="2"/>
      </rPr>
      <t>Mo./Day/Yr.</t>
    </r>
  </si>
  <si>
    <t>5 Year-Old K/.5 Day</t>
  </si>
  <si>
    <t>5 Year-Old K/3 Day</t>
  </si>
  <si>
    <t>ENROLLMENT COUNT—ALL PUPILS</t>
  </si>
  <si>
    <t>Put an "X" for all applicable reasons. (See the Ineligibility Reasons tab for the explanation of each reason.)</t>
  </si>
  <si>
    <t>THE INFORMATION ON THIS PAGE IS CONSIDERED CONFIDENTIAL BY THE DPI AND SHOULD NOT BE RELEASED TO THE PUBLIC.</t>
  </si>
  <si>
    <t xml:space="preserve"> 
Reason(s) for Ineligibility</t>
  </si>
  <si>
    <t>ENROLLMENT COUNT—CHOICE PUPILS</t>
  </si>
  <si>
    <t>Total Choice Pupils</t>
  </si>
  <si>
    <t>Choice Pupil Count Categories</t>
  </si>
  <si>
    <t>4 Year-Old K/437 Hours + 87.5 Hours Outreach</t>
  </si>
  <si>
    <r>
      <t xml:space="preserve">Name of Choice Administrator of Record </t>
    </r>
    <r>
      <rPr>
        <i/>
        <sz val="8"/>
        <rFont val="Arial"/>
        <family val="2"/>
      </rPr>
      <t>Typed</t>
    </r>
  </si>
  <si>
    <t>Per DPI</t>
  </si>
  <si>
    <t>Per Examination</t>
  </si>
  <si>
    <t>Wait</t>
  </si>
  <si>
    <r>
      <t xml:space="preserve">As a result of your review, does the school have any ineligible pupils?  </t>
    </r>
    <r>
      <rPr>
        <i/>
        <sz val="8"/>
        <rFont val="Arial"/>
        <family val="2"/>
      </rPr>
      <t>If yes, complete the schedule below</t>
    </r>
  </si>
  <si>
    <t>Number of family applications where income and/or residency documentation was examined</t>
  </si>
  <si>
    <t>Line</t>
  </si>
  <si>
    <t>All Pupils</t>
  </si>
  <si>
    <t>Choice Pupils</t>
  </si>
  <si>
    <t>Number of family applications with instances of income and/or residency related errors (even if corrected)</t>
  </si>
  <si>
    <t>?</t>
  </si>
  <si>
    <t>Error Report</t>
  </si>
  <si>
    <t>Correct Any Indicated Errors Before Filing with the DPI</t>
  </si>
  <si>
    <t>Grades 9-12</t>
  </si>
  <si>
    <t>Per Pupil Payment</t>
  </si>
  <si>
    <t>K4-8th Grade Choice Pupils</t>
  </si>
  <si>
    <t>9-12th Grade Choice Pupils</t>
  </si>
  <si>
    <t>Total Summer School Payment Eligibility</t>
  </si>
  <si>
    <t>Total Summer School Payments</t>
  </si>
  <si>
    <t>Summer School Payment Category</t>
  </si>
  <si>
    <t>Total Payment</t>
  </si>
  <si>
    <t>9-12 GRADE PAYMENT ELIGIBILITY</t>
  </si>
  <si>
    <t>SUMMER SCHOOL PAYMENT ELIGIBILITY</t>
  </si>
  <si>
    <r>
      <t xml:space="preserve">Tentative Adjustment Due From (To) State </t>
    </r>
    <r>
      <rPr>
        <b/>
        <i/>
        <sz val="8"/>
        <color indexed="8"/>
        <rFont val="Arial"/>
        <family val="2"/>
      </rPr>
      <t>Line 17 Less Line 20</t>
    </r>
  </si>
  <si>
    <t>Racine Parental Choice Program (RPCP)</t>
  </si>
  <si>
    <t>Wisconsin Parental Choice Program (WPCP)</t>
  </si>
  <si>
    <t>Headcount</t>
  </si>
  <si>
    <t>Grades 1-8</t>
  </si>
  <si>
    <t>School City</t>
  </si>
  <si>
    <t>Attendance &amp; Age</t>
  </si>
  <si>
    <t>Academy of Excellence</t>
  </si>
  <si>
    <t>Aquinas Catholic Schools</t>
  </si>
  <si>
    <t>WPCP</t>
  </si>
  <si>
    <t>Assumption Catholic Schools</t>
  </si>
  <si>
    <t>Atonement Lutheran School</t>
  </si>
  <si>
    <t>Believers in Christ Christian Academy</t>
  </si>
  <si>
    <t>Blessed Savior Catholic School</t>
  </si>
  <si>
    <t>Catholic East Elementary</t>
  </si>
  <si>
    <t>Clara Mohammed School</t>
  </si>
  <si>
    <t>Columbus Catholic Schools</t>
  </si>
  <si>
    <t>Concordia Lutheran School</t>
  </si>
  <si>
    <t>Destiny High School</t>
  </si>
  <si>
    <t>Divine Destiny School</t>
  </si>
  <si>
    <t>Divine Mercy School</t>
  </si>
  <si>
    <t>Dominican High School</t>
  </si>
  <si>
    <t>Early View Academy of Excellence</t>
  </si>
  <si>
    <t>Elm Grove Lutheran School</t>
  </si>
  <si>
    <t>EverGreen Academy</t>
  </si>
  <si>
    <t>Fox Valley Lutheran High School</t>
  </si>
  <si>
    <t>Garden Homes Lutheran School</t>
  </si>
  <si>
    <t>Greater Holy Temple Christian Academy</t>
  </si>
  <si>
    <t>Heritage Christian Schools</t>
  </si>
  <si>
    <t>Hillel Academy</t>
  </si>
  <si>
    <t>Holy Redeemer Christian Academy</t>
  </si>
  <si>
    <t>Hope Christian High School</t>
  </si>
  <si>
    <t>Hope Christian School: Caritas</t>
  </si>
  <si>
    <t>Hope Christian School: Fortis</t>
  </si>
  <si>
    <t>Hope Christian School: Prima</t>
  </si>
  <si>
    <t>Hope Christian School: Semper</t>
  </si>
  <si>
    <t>Immanuel Lutheran School - Brookfield</t>
  </si>
  <si>
    <t>Jo's Learning Academy</t>
  </si>
  <si>
    <t>Lighthouse Christian School</t>
  </si>
  <si>
    <t>Lourdes Academy</t>
  </si>
  <si>
    <t>Malaika Early Learning Center</t>
  </si>
  <si>
    <t>Mary Queen of Saints Catholic Academy</t>
  </si>
  <si>
    <t>Messmer Catholic Schools</t>
  </si>
  <si>
    <t>Milwaukee Seventh Day Adventist School</t>
  </si>
  <si>
    <t>Mount Lebanon Lutheran School</t>
  </si>
  <si>
    <t>New Testament Christian Academy</t>
  </si>
  <si>
    <t>Newman Catholic Schools</t>
  </si>
  <si>
    <t>Notre Dame de la Baie Academy</t>
  </si>
  <si>
    <t>Regis Catholic Schools</t>
  </si>
  <si>
    <t>Rock County Christian School</t>
  </si>
  <si>
    <t>Saint Catherine School</t>
  </si>
  <si>
    <t>Saint Joan Antida High School</t>
  </si>
  <si>
    <t>Saint John's Lutheran School - Racine</t>
  </si>
  <si>
    <t>Saint Josaphat Parish School</t>
  </si>
  <si>
    <t>Saint Joseph Academy - Milwaukee</t>
  </si>
  <si>
    <t>Saint Joseph Catholic Academy - Kenosha</t>
  </si>
  <si>
    <t>Saint Marcus Lutheran School</t>
  </si>
  <si>
    <t>Saint Mary's Springs Academy</t>
  </si>
  <si>
    <t>Saint Paul Lutheran School - Bonduel</t>
  </si>
  <si>
    <t>Saint Paul Lutheran School - Sheboygan</t>
  </si>
  <si>
    <t>Salam School</t>
  </si>
  <si>
    <t>Sheboygan Area Lutheran High School</t>
  </si>
  <si>
    <t>Sheboygan Christian School</t>
  </si>
  <si>
    <t>Shining Star Christian Schools, Inc.</t>
  </si>
  <si>
    <t>Siloah Lutheran School</t>
  </si>
  <si>
    <t>Tamarack Waldorf School</t>
  </si>
  <si>
    <t>Torah Academy of Milwaukee</t>
  </si>
  <si>
    <t>Trinity Lutheran School - Caledonia</t>
  </si>
  <si>
    <t>Trinity Lutheran School - Sheboygan</t>
  </si>
  <si>
    <t>Victory Christian Academy</t>
  </si>
  <si>
    <t>Winnebago Lutheran Academy</t>
  </si>
  <si>
    <t>Wisconsin Academy</t>
  </si>
  <si>
    <t>Yeshiva Elementary School</t>
  </si>
  <si>
    <t>CERT School</t>
  </si>
  <si>
    <t>Central Wisconsin Christian School</t>
  </si>
  <si>
    <t>Cristo Rey Jesuit Milwaukee High School</t>
  </si>
  <si>
    <t>Granville Lutheran School</t>
  </si>
  <si>
    <t>Hope Christian School: Via</t>
  </si>
  <si>
    <t>McDonell Area Catholic Schools</t>
  </si>
  <si>
    <t>Pacelli Catholic Schools</t>
  </si>
  <si>
    <t>Pilgrim Lutheran School - Wauwatosa</t>
  </si>
  <si>
    <t>Saint John's Lutheran School - Burlington</t>
  </si>
  <si>
    <t>Saint Joseph Catholic School - Boyd</t>
  </si>
  <si>
    <t>Trinity Lutheran School - Merrill</t>
  </si>
  <si>
    <t>Trinity Lutheran School - Wausau</t>
  </si>
  <si>
    <t>MPCP APPLICATION EXAMINATION</t>
  </si>
  <si>
    <t>WPCP APPLICATION EXAMINATION</t>
  </si>
  <si>
    <t>RPCP APPLICATION EXAMINATION</t>
  </si>
  <si>
    <t>MPCP Minimum Sample Required</t>
  </si>
  <si>
    <t>MPCP Required Sample Increments</t>
  </si>
  <si>
    <t>MPCP</t>
  </si>
  <si>
    <t>RPCP</t>
  </si>
  <si>
    <t>WPCP Required Sample Increments</t>
  </si>
  <si>
    <t>WPCP Minimum Sample Required</t>
  </si>
  <si>
    <t>RPCP Required Sample Increments</t>
  </si>
  <si>
    <t>RPCP Minimum Sample Required</t>
  </si>
  <si>
    <t>Total number of MPCP family applications</t>
  </si>
  <si>
    <t>Total number of WPCP family applications</t>
  </si>
  <si>
    <t>Total number of RPCP family applications</t>
  </si>
  <si>
    <r>
      <rPr>
        <sz val="8"/>
        <rFont val="Arial"/>
        <family val="2"/>
      </rPr>
      <t xml:space="preserve">Choice Administrator Original Signature </t>
    </r>
    <r>
      <rPr>
        <i/>
        <sz val="8"/>
        <rFont val="Arial"/>
        <family val="2"/>
      </rPr>
      <t>Designee not Permitted</t>
    </r>
  </si>
  <si>
    <t>Trinity Lutheran School - Racine</t>
  </si>
  <si>
    <t>Milwaukee Lutheran High School</t>
  </si>
  <si>
    <t>Risen Savior Lutheran School</t>
  </si>
  <si>
    <t>Saint Agnes School</t>
  </si>
  <si>
    <t>Saint Lucas Lutheran School</t>
  </si>
  <si>
    <t>Saint Peter Lutheran School - Freedom</t>
  </si>
  <si>
    <t>Shoreland Lutheran High School</t>
  </si>
  <si>
    <t>Program</t>
  </si>
  <si>
    <t>Schedule 1-2:  Choice Pupil Enrollment Count Schedule</t>
  </si>
  <si>
    <t>ENROLLMENT COUNT—MPCP PUPILS</t>
  </si>
  <si>
    <t>Total MPCP Pupils</t>
  </si>
  <si>
    <t>ENROLLMENT COUNT—RPCP PUPILS</t>
  </si>
  <si>
    <t>Total RPCP Pupils</t>
  </si>
  <si>
    <t>ENROLLMENT COUNT—WPCP PUPILS</t>
  </si>
  <si>
    <t>Total WPCP Pupils</t>
  </si>
  <si>
    <t>Schedule 1-1:  Pupil Enrollment Count Schedule</t>
  </si>
  <si>
    <t>Atlas Preparatory Academy, Inc.</t>
  </si>
  <si>
    <t>Blessed Sacrament Catholic School</t>
  </si>
  <si>
    <t>Carter's Christian Academy, Inc.</t>
  </si>
  <si>
    <t>Christian Faith Academy of Higher Learning</t>
  </si>
  <si>
    <t>Divine Savior Holy Angels High School</t>
  </si>
  <si>
    <t>Good Shepherd Evangelical Lutheran School - West Bend</t>
  </si>
  <si>
    <t>Good Shepherd's Lutheran School - West Allis</t>
  </si>
  <si>
    <t>Green Bay Area Catholic Education - East</t>
  </si>
  <si>
    <t>Green Bay Area Catholic Education - South</t>
  </si>
  <si>
    <t>Green Bay Area Catholic Education - West</t>
  </si>
  <si>
    <t>Hales Corners Lutheran School</t>
  </si>
  <si>
    <t>Institute of Technology and Academics</t>
  </si>
  <si>
    <t>Kettle Moraine Lutheran High School</t>
  </si>
  <si>
    <t>Lutheran High School Association of Racine</t>
  </si>
  <si>
    <t>Manitowoc Lutheran High School</t>
  </si>
  <si>
    <t>Marquette University High School</t>
  </si>
  <si>
    <t>Mother of Good Counsel School</t>
  </si>
  <si>
    <t>Northwest Catholic School</t>
  </si>
  <si>
    <t>Northwest Lutheran School</t>
  </si>
  <si>
    <t>Oostburg Christian School</t>
  </si>
  <si>
    <t>Our Father's Lutheran School</t>
  </si>
  <si>
    <t>Our Lady Queen of Peace</t>
  </si>
  <si>
    <t>Pilgrim Lutheran School - Green Bay</t>
  </si>
  <si>
    <t>Prince of Peace</t>
  </si>
  <si>
    <t>Right Step, Inc.</t>
  </si>
  <si>
    <t>Saint Adalbert School</t>
  </si>
  <si>
    <t>Saint Gregory the Great Parish School</t>
  </si>
  <si>
    <t>Saint John Lutheran School - Plymouth</t>
  </si>
  <si>
    <t>Saint John's Lutheran School - Glendale</t>
  </si>
  <si>
    <t>Saint John's Lutheran School - Portage</t>
  </si>
  <si>
    <t>Saint Margaret Mary School</t>
  </si>
  <si>
    <t>Saint Martini Lutheran School</t>
  </si>
  <si>
    <t>Saint Matthias Parish School</t>
  </si>
  <si>
    <t>Saint Paul Lutheran School - Appleton</t>
  </si>
  <si>
    <t>Saint Paul Lutheran School - Luxemburg</t>
  </si>
  <si>
    <t>Saint Paul's Lutheran School - West Allis</t>
  </si>
  <si>
    <t>Saint Philip's Lutheran School</t>
  </si>
  <si>
    <t>Saint Rafael the Archangel School</t>
  </si>
  <si>
    <t>Saint Roman Parish School</t>
  </si>
  <si>
    <t>Saint Sebastian School</t>
  </si>
  <si>
    <t>Saint Thomas Aquinas Academy - Milwaukee</t>
  </si>
  <si>
    <t>Saint Thomas More High School</t>
  </si>
  <si>
    <t>Saint Vincent Pallotti Catholic School</t>
  </si>
  <si>
    <t>Salem Evangelical Lutheran School</t>
  </si>
  <si>
    <t>Trinity Lutheran School - Mequon</t>
  </si>
  <si>
    <t>Valley Christian School - Oshkosh</t>
  </si>
  <si>
    <t>Waukesha Catholic School System</t>
  </si>
  <si>
    <t>Word of Life Evangelical Lutheran School</t>
  </si>
  <si>
    <t>Total</t>
  </si>
  <si>
    <t>K-8 GRADE PAYMENT ELIGIBILITY</t>
  </si>
  <si>
    <r>
      <t xml:space="preserve">4 Year-Old K/437 Hrs </t>
    </r>
    <r>
      <rPr>
        <i/>
        <sz val="8"/>
        <color indexed="8"/>
        <rFont val="Arial"/>
        <family val="2"/>
      </rPr>
      <t>(.5 FTE)</t>
    </r>
  </si>
  <si>
    <r>
      <t xml:space="preserve">4 Year-Old K/437 Hrs + 87.5 Hrs Outreach </t>
    </r>
    <r>
      <rPr>
        <i/>
        <sz val="8"/>
        <color indexed="8"/>
        <rFont val="Arial"/>
        <family val="2"/>
      </rPr>
      <t>(.6 FTE)</t>
    </r>
  </si>
  <si>
    <r>
      <t xml:space="preserve">5 Year-Old K/.5 Day </t>
    </r>
    <r>
      <rPr>
        <i/>
        <sz val="8"/>
        <color indexed="8"/>
        <rFont val="Arial"/>
        <family val="2"/>
      </rPr>
      <t>(.5 FTE)</t>
    </r>
  </si>
  <si>
    <r>
      <t xml:space="preserve">5 Year-Old K/3 Day </t>
    </r>
    <r>
      <rPr>
        <i/>
        <sz val="8"/>
        <color indexed="8"/>
        <rFont val="Arial"/>
        <family val="2"/>
      </rPr>
      <t>(.6 FTE)</t>
    </r>
  </si>
  <si>
    <r>
      <t xml:space="preserve">5 Year-Old K/4 Day </t>
    </r>
    <r>
      <rPr>
        <i/>
        <sz val="8"/>
        <color indexed="8"/>
        <rFont val="Arial"/>
        <family val="2"/>
      </rPr>
      <t>(.8 FTE)</t>
    </r>
  </si>
  <si>
    <r>
      <t xml:space="preserve">5 Year-Old K/5 Day </t>
    </r>
    <r>
      <rPr>
        <i/>
        <sz val="8"/>
        <color indexed="8"/>
        <rFont val="Arial"/>
        <family val="2"/>
      </rPr>
      <t>(1.0 FTE)</t>
    </r>
  </si>
  <si>
    <r>
      <t xml:space="preserve">Grades 1-8 </t>
    </r>
    <r>
      <rPr>
        <i/>
        <sz val="8"/>
        <color indexed="8"/>
        <rFont val="Arial"/>
        <family val="2"/>
      </rPr>
      <t>(1.0 FTE)</t>
    </r>
  </si>
  <si>
    <r>
      <t xml:space="preserve">Grades 9-12 </t>
    </r>
    <r>
      <rPr>
        <i/>
        <sz val="8"/>
        <color indexed="8"/>
        <rFont val="Arial"/>
        <family val="2"/>
      </rPr>
      <t>(1.0 FTE)</t>
    </r>
  </si>
  <si>
    <r>
      <t xml:space="preserve">Total Payments Received </t>
    </r>
    <r>
      <rPr>
        <i/>
        <sz val="8"/>
        <color indexed="8"/>
        <rFont val="Arial"/>
        <family val="2"/>
      </rPr>
      <t>Line 18 plus Line 19</t>
    </r>
  </si>
  <si>
    <t>4 Year-Old K/437 Hours + 87.5 Hrs Outreach</t>
  </si>
  <si>
    <t>Program Name(s)</t>
  </si>
  <si>
    <t>Pupil Count</t>
  </si>
  <si>
    <t>FTE</t>
  </si>
  <si>
    <t>Milwaukee Parental Choice Program (MPCP)</t>
  </si>
  <si>
    <r>
      <t xml:space="preserve">K4-8 Payment Eligibility </t>
    </r>
    <r>
      <rPr>
        <b/>
        <i/>
        <sz val="8"/>
        <color indexed="8"/>
        <rFont val="Arial"/>
        <family val="2"/>
      </rPr>
      <t>Ln 8 x Ln 9</t>
    </r>
  </si>
  <si>
    <r>
      <t xml:space="preserve">9-12 Payment Eligibility </t>
    </r>
    <r>
      <rPr>
        <b/>
        <i/>
        <sz val="8"/>
        <color indexed="8"/>
        <rFont val="Arial"/>
        <family val="2"/>
      </rPr>
      <t>Ln 11 x Ln 12</t>
    </r>
  </si>
  <si>
    <t>TENTATIVE AMOUNT DUE FROM (TO) STATE</t>
  </si>
  <si>
    <t>Ln</t>
  </si>
  <si>
    <t>All Pupil Count Exceeds Choice Pupil Count</t>
  </si>
  <si>
    <t>Bay City Christian School</t>
  </si>
  <si>
    <t>Beautiful Savior Lutheran School</t>
  </si>
  <si>
    <t>Emanuel Lutheran School</t>
  </si>
  <si>
    <t>Good Shepherd Lutheran School - Watertown</t>
  </si>
  <si>
    <t>Hope Christian School: Fidelis</t>
  </si>
  <si>
    <t>Lake Country Lutheran High School</t>
  </si>
  <si>
    <t>Lakeside Lutheran High School</t>
  </si>
  <si>
    <t>Morning Star Lutheran School</t>
  </si>
  <si>
    <t>Notre Dame School of Milwaukee</t>
  </si>
  <si>
    <t>Randolph Christian School Society, Inc.</t>
  </si>
  <si>
    <t>Saint Bruno Parish School</t>
  </si>
  <si>
    <t>Saint Jerome Parish School</t>
  </si>
  <si>
    <t>Saint John Lutheran School - Berlin</t>
  </si>
  <si>
    <t>Saint Joseph School - Wauwatosa</t>
  </si>
  <si>
    <t>Saint Leonard School</t>
  </si>
  <si>
    <t>Saint Paul Lutheran School - Grafton</t>
  </si>
  <si>
    <t>Saint Paul's Evangelical Lutheran School - Oconomowoc</t>
  </si>
  <si>
    <t>Saint Peters Lutheran School - Reedsburg</t>
  </si>
  <si>
    <t>Saint Thomas Aquinas Academy - Marinette</t>
  </si>
  <si>
    <t>Valley Christian School - Osceola</t>
  </si>
  <si>
    <t>INSTRUCTIONS</t>
  </si>
  <si>
    <t>Choice administrator to manually check  √ here if letter attached from the school indicating anything in the Enrollment Audit that the school does not agree with. ►</t>
  </si>
  <si>
    <t>Grades K-8</t>
  </si>
  <si>
    <t>App #</t>
  </si>
  <si>
    <t>Grade Grouping</t>
  </si>
  <si>
    <t>Badger State Baptist School</t>
  </si>
  <si>
    <t>Calvary Baptist Christian School</t>
  </si>
  <si>
    <t>Chilton Area Catholic School</t>
  </si>
  <si>
    <t>Divine Savior Catholic School</t>
  </si>
  <si>
    <t>Fond du Lac Christian School</t>
  </si>
  <si>
    <t>Green Bay Adventist Junior Academy</t>
  </si>
  <si>
    <t>Luther Preparatory School</t>
  </si>
  <si>
    <t>Nativity Jesuit Academy</t>
  </si>
  <si>
    <t>Peace Lutheran School - Antigo</t>
  </si>
  <si>
    <t>Peace Lutheran School - Hartford</t>
  </si>
  <si>
    <t>Pius XI Catholic High School</t>
  </si>
  <si>
    <t>Racine Christian School</t>
  </si>
  <si>
    <t>Saint John the Evangelist - Greenfield</t>
  </si>
  <si>
    <t>Saint John's Lutheran School - Lannon</t>
  </si>
  <si>
    <t>Saint John's Lutheran School - Mayville</t>
  </si>
  <si>
    <t>Saint Joseph Parish School - Grafton</t>
  </si>
  <si>
    <t>Saint Katharine Drexel School</t>
  </si>
  <si>
    <t>Saint Mary of the Assumption Catholic School</t>
  </si>
  <si>
    <t>Saint Mary Saint Michael School</t>
  </si>
  <si>
    <t>Saint Mary School - Luxemburg</t>
  </si>
  <si>
    <t>Saint Paul Lutheran School - Green Bay</t>
  </si>
  <si>
    <t>Saint Paul's Lutheran School - Muskego</t>
  </si>
  <si>
    <t>Trinity Lutheran School - Oshkosh</t>
  </si>
  <si>
    <t>Outreach Change</t>
  </si>
  <si>
    <t xml:space="preserve">SUMMER SCHOOL PUPIL CHANGES </t>
  </si>
  <si>
    <t>Summer School Grade</t>
  </si>
  <si>
    <t>K5-0.5 FTE</t>
  </si>
  <si>
    <t>K5-1.0 FTE</t>
  </si>
  <si>
    <t>Grade Selected</t>
  </si>
  <si>
    <t>Grade Category</t>
  </si>
  <si>
    <t>Email address</t>
  </si>
  <si>
    <t>Grace Lutheran School - Menomonee Falls</t>
  </si>
  <si>
    <t>Holy Rosary Catholic School - Medford</t>
  </si>
  <si>
    <t>Saint Anthony School - Milwaukee</t>
  </si>
  <si>
    <t>Saint Augustine Preparatory Academy - Milwaukee</t>
  </si>
  <si>
    <t>Saint Mary Catholic Schools - Neenah</t>
  </si>
  <si>
    <t>Zion Lutheran School - Menomonee Falls</t>
  </si>
  <si>
    <t>Faith Christian School - Coleman</t>
  </si>
  <si>
    <t>Catholic Memorial High School of Waukesha, Inc.</t>
  </si>
  <si>
    <t>Reported Days Attended</t>
  </si>
  <si>
    <t>Audited Days Attended</t>
  </si>
  <si>
    <t>Schedule 4: Pupil Additions</t>
  </si>
  <si>
    <r>
      <t xml:space="preserve">As a result of your review, does the school have any pupil applications to be added to the count or waiting list?  </t>
    </r>
    <r>
      <rPr>
        <i/>
        <sz val="8"/>
        <rFont val="Arial"/>
        <family val="2"/>
      </rPr>
      <t>If yes, complete the schedule below.</t>
    </r>
  </si>
  <si>
    <t>Schedule 5: Tentative Payment Eligibility Calculation Per Examination</t>
  </si>
  <si>
    <t>Grade Change Indicator</t>
  </si>
  <si>
    <t>K5-0.6 FTE</t>
  </si>
  <si>
    <t>Old Grade Grouping</t>
  </si>
  <si>
    <t>Audited Grade Grouping</t>
  </si>
  <si>
    <t>K5-0.8 FTE</t>
  </si>
  <si>
    <t xml:space="preserve"> 
Pupil First Name</t>
  </si>
  <si>
    <t>Corrected Grade</t>
  </si>
  <si>
    <t>Corrected Pupil First Name</t>
  </si>
  <si>
    <t>Corrected Pupil Last Name</t>
  </si>
  <si>
    <t>Insert "X" if Pupil Added to Count</t>
  </si>
  <si>
    <t>Insert "X" if Pupil Added to Waiting List</t>
  </si>
  <si>
    <t>Pupil Grade Changes</t>
  </si>
  <si>
    <t>Pupil Additions</t>
  </si>
  <si>
    <t>Summer School Payment Issued</t>
  </si>
  <si>
    <t>Payment Amt</t>
  </si>
  <si>
    <t>Audited Payment Difference</t>
  </si>
  <si>
    <t>Waiting List</t>
  </si>
  <si>
    <t>Schedule 3:  Applications Requiring Corrections</t>
  </si>
  <si>
    <t>Schedule 2:  Ineligible Pupils</t>
  </si>
  <si>
    <r>
      <t xml:space="preserve">The payment eligibility shown is subject to final determination by the DPI and may be </t>
    </r>
    <r>
      <rPr>
        <b/>
        <sz val="8"/>
        <color indexed="8"/>
        <rFont val="Arial"/>
        <family val="2"/>
      </rPr>
      <t>changed upon the DPI's review of the report.</t>
    </r>
  </si>
  <si>
    <r>
      <rPr>
        <b/>
        <sz val="8"/>
        <rFont val="Arial"/>
        <family val="2"/>
      </rPr>
      <t>I HEREBY CERTIFY</t>
    </r>
    <r>
      <rPr>
        <sz val="8"/>
        <rFont val="Arial"/>
        <family val="2"/>
      </rPr>
      <t xml:space="preserve">, as the Choice administrator, that I have reviewed and accepted the enrollment information contained in this report on behalf of the school's operating organization, except as discussed in my attached letter. I have provided the auditor with all application related documentation for students on Schedule 2 (ineligible pupils), Schedule 3 (applications requiring corrections) and Schedule 4 (pupil additions). </t>
    </r>
  </si>
  <si>
    <t xml:space="preserve"> 
Pupil Last Name</t>
  </si>
  <si>
    <t>Error Check</t>
  </si>
  <si>
    <t>Student Information Missing</t>
  </si>
  <si>
    <t>Audited Days Attended Missing</t>
  </si>
  <si>
    <t>HC Added to Count</t>
  </si>
  <si>
    <t>HC Removed from Count</t>
  </si>
  <si>
    <t>Reported Days Attended Missing</t>
  </si>
  <si>
    <t xml:space="preserve">Audited Grade </t>
  </si>
  <si>
    <t xml:space="preserve"> 
Audited Pupil First Name</t>
  </si>
  <si>
    <t xml:space="preserve"> 
Audited Pupil Last Name </t>
  </si>
  <si>
    <t xml:space="preserve">Source is data per DPI Pupil Information Report or Waiting List Report </t>
  </si>
  <si>
    <t xml:space="preserve"> Adjustment Calculation (for informational purposes only)</t>
  </si>
  <si>
    <t>Assumption of the Blessed Virgin Mary School</t>
  </si>
  <si>
    <t>Catholic Central High School - Burlington</t>
  </si>
  <si>
    <t>Celebration Lutheran School</t>
  </si>
  <si>
    <t>Christ St. Peter Lutheran School</t>
  </si>
  <si>
    <t>Community Christian School of Baraboo</t>
  </si>
  <si>
    <t>Cross Trainers Academy</t>
  </si>
  <si>
    <t>Faith Christian Academy - Wausau</t>
  </si>
  <si>
    <t>Grace Lutheran School - Oak Creek</t>
  </si>
  <si>
    <t>Green Bay Trinity Lutheran School</t>
  </si>
  <si>
    <t>Guidance Academy</t>
  </si>
  <si>
    <t>Holy Rosary Catholic School - Kewaunee</t>
  </si>
  <si>
    <t>Immanuel Lutheran School - Wisconsin Rapids</t>
  </si>
  <si>
    <t>Kingdom Prep Lutheran High School</t>
  </si>
  <si>
    <t>Living Word Lutheran High School</t>
  </si>
  <si>
    <t>Luther High School - Onalaska</t>
  </si>
  <si>
    <t>Northland Lutheran High School</t>
  </si>
  <si>
    <t>Our Lady of Sorrows Grade School</t>
  </si>
  <si>
    <t>Sacred Heart Catholic School</t>
  </si>
  <si>
    <t>Saint Andrew Parish School</t>
  </si>
  <si>
    <t>Saint Anthony School - Oconto Falls</t>
  </si>
  <si>
    <t>Saint Augustine School - Hartford</t>
  </si>
  <si>
    <t>Saint Elizabeth Ann Seton Catholic School</t>
  </si>
  <si>
    <t>Saint Ignatius of Loyola Catholic School</t>
  </si>
  <si>
    <t>Saint Jacobi Lutheran School</t>
  </si>
  <si>
    <t>Saint John XXIII Catholic School - Port Washington</t>
  </si>
  <si>
    <t>Saint John's Ev. Lutheran School - Sparta</t>
  </si>
  <si>
    <t>Saint John's Lutheran School - Milwaukee</t>
  </si>
  <si>
    <t>Saint John's Lutheran School - Watertown</t>
  </si>
  <si>
    <t>Saint John's Lutheran School - West Bend</t>
  </si>
  <si>
    <t>Saint Joseph School - Rice Lake</t>
  </si>
  <si>
    <t>Saint Kilian School</t>
  </si>
  <si>
    <t>Saint Mary School - Algoma</t>
  </si>
  <si>
    <t>Saint Mary School - Colby</t>
  </si>
  <si>
    <t>Saint Nicholas Catholic School</t>
  </si>
  <si>
    <t>Saint Patrick School</t>
  </si>
  <si>
    <t>Saint Paul's Lutheran School - Cudahy</t>
  </si>
  <si>
    <t>Saint Paul's Lutheran School - Howards Grove</t>
  </si>
  <si>
    <t>Saint Paul's Lutheran School - Janesville</t>
  </si>
  <si>
    <t>Saint Peter Immanuel Lutheran School - Milwaukee</t>
  </si>
  <si>
    <t>Saint Rose Saint Mary's School</t>
  </si>
  <si>
    <t>Saint Stephen Lutheran School</t>
  </si>
  <si>
    <t>Siena Catholic Schools of Racine, Inc</t>
  </si>
  <si>
    <t>Stevens Point Christian Academy</t>
  </si>
  <si>
    <t>The City School</t>
  </si>
  <si>
    <t>Trinity Evangelical Lutheran School - Brillion</t>
  </si>
  <si>
    <t>Trinity Lutheran School - Marinette</t>
  </si>
  <si>
    <t>Trinity Lutheran School - Waukesha</t>
  </si>
  <si>
    <t>Waupaca Christian Academy</t>
  </si>
  <si>
    <t>Wolf River Lutheran High School</t>
  </si>
  <si>
    <t>Zion Lutheran School - Wayside</t>
  </si>
  <si>
    <t>Totals</t>
  </si>
  <si>
    <t>N/A</t>
  </si>
  <si>
    <t>FINAL DETERMINATION OF WHETHER THE PUPIL IS ELIGIBILE FOR THE CHOICE PROGRAM IS MADE BY THE DPI.
No payment to or from the school is due until the certification of the enrollment audit by DPI.</t>
  </si>
  <si>
    <r>
      <rPr>
        <sz val="9"/>
        <color indexed="8"/>
        <rFont val="Arial"/>
        <family val="2"/>
      </rPr>
      <t>FINAL DETERMINATION OF WHETHER THE PUPIL IS ELIGIBILE FOR THE CHOICE PROGRAM IS MADE BY THE DPI.
No payment to or from the school is due until the certification of the enrollment audit by DPI.</t>
    </r>
    <r>
      <rPr>
        <b/>
        <sz val="9"/>
        <color indexed="8"/>
        <rFont val="Arial"/>
        <family val="2"/>
      </rPr>
      <t xml:space="preserve">
THE INFORMATION ON THIS PAGE IS CONSIDERED CONFIDENTIAL BY THE DPI AND SHOULD NOT BE RELEASED TO THE PUBLIC.</t>
    </r>
  </si>
  <si>
    <t>Counted</t>
  </si>
  <si>
    <t>Grade</t>
  </si>
  <si>
    <t xml:space="preserve">Grade </t>
  </si>
  <si>
    <t>Read (?) Comment For Information About the Error</t>
  </si>
  <si>
    <r>
      <t>Has the school provided or will it provide by the end of the school year at least 87.5 hours of permitted K4 parental outreach activities?</t>
    </r>
    <r>
      <rPr>
        <i/>
        <sz val="8"/>
        <color indexed="8"/>
        <rFont val="Arial"/>
        <family val="2"/>
      </rPr>
      <t xml:space="preserve"> If the school does not have K4 students, insert N/A.</t>
    </r>
  </si>
  <si>
    <r>
      <t>Pupil Additions</t>
    </r>
    <r>
      <rPr>
        <b/>
        <sz val="8"/>
        <color indexed="62"/>
        <rFont val="Arial"/>
        <family val="2"/>
      </rPr>
      <t xml:space="preserve"> </t>
    </r>
  </si>
  <si>
    <r>
      <t xml:space="preserve">Number of eligible applications where the auditor identified required correction(s) but the application(s) in OAS did not require a change.  </t>
    </r>
    <r>
      <rPr>
        <i/>
        <sz val="8"/>
        <color indexed="8"/>
        <rFont val="Arial"/>
        <family val="2"/>
      </rPr>
      <t>These applications should not be included below.</t>
    </r>
  </si>
  <si>
    <r>
      <rPr>
        <sz val="8"/>
        <color indexed="8"/>
        <rFont val="Arial"/>
        <family val="2"/>
      </rPr>
      <t>FINAL DETERMINATION OF WHETHER THE PUPIL IS ELIGIBILE FOR THE CHOICE PROGRAM IS MADE BY THE DPI.
No payment to or from the school is due until the certification of the enrollment audit by DPI.</t>
    </r>
    <r>
      <rPr>
        <b/>
        <sz val="8"/>
        <color indexed="8"/>
        <rFont val="Arial"/>
        <family val="2"/>
      </rPr>
      <t xml:space="preserve">
THE INFORMATION ON THIS PAGE IS CONSIDERED CONFIDENTIAL BY THE DPI AND SHOULD NOT BE RELEASED TO THE PUBLIC.</t>
    </r>
  </si>
  <si>
    <r>
      <t xml:space="preserve">Total Headcount and FTE </t>
    </r>
    <r>
      <rPr>
        <i/>
        <sz val="8"/>
        <color indexed="8"/>
        <rFont val="Arial"/>
        <family val="2"/>
      </rPr>
      <t>Sum Lines 8 and 11</t>
    </r>
  </si>
  <si>
    <r>
      <t xml:space="preserve">Amount Due From (To) State for Summer School </t>
    </r>
    <r>
      <rPr>
        <b/>
        <i/>
        <sz val="8"/>
        <color indexed="8"/>
        <rFont val="Arial"/>
        <family val="2"/>
      </rPr>
      <t>Ln 18 Less Ln 19</t>
    </r>
  </si>
  <si>
    <r>
      <t xml:space="preserve">Total Pupil Count and FTE </t>
    </r>
    <r>
      <rPr>
        <b/>
        <i/>
        <sz val="8"/>
        <color indexed="8"/>
        <rFont val="Arial"/>
        <family val="2"/>
      </rPr>
      <t>Sum Lines 1 -7</t>
    </r>
  </si>
  <si>
    <t>Headcount Added</t>
  </si>
  <si>
    <t>Headcount Removed</t>
  </si>
  <si>
    <r>
      <t>The total counts below will automatically update based on the Choice pupil counts in Schedule 1-2.</t>
    </r>
    <r>
      <rPr>
        <sz val="8"/>
        <color indexed="8"/>
        <rFont val="Arial"/>
        <family val="2"/>
      </rPr>
      <t xml:space="preserve"> The "Per Examination" count is the "Per DPI" count minus "Ineligible Pupils" plus "Pupil Grade Changes" plus "Pupil Additions". Final determination regarding the eligibility of such pupils is made by the DPI.</t>
    </r>
  </si>
  <si>
    <t>Original Payment</t>
  </si>
  <si>
    <t>Audited Payment</t>
  </si>
  <si>
    <t>Summary of Pupil Headcount After Audit Adjustments for Summer School</t>
  </si>
  <si>
    <t>Reported Headcount</t>
  </si>
  <si>
    <t>K4 PARENTAL OUTREACH</t>
  </si>
  <si>
    <t>Attendance and Age</t>
  </si>
  <si>
    <r>
      <t xml:space="preserve">Required DPI Application Information Correction(s) 
</t>
    </r>
    <r>
      <rPr>
        <i/>
        <sz val="8"/>
        <color indexed="8"/>
        <rFont val="Arial"/>
        <family val="2"/>
      </rPr>
      <t xml:space="preserve">Indicate what must be corrected and the correct information.  Grade and pupil name changes must be specified in the Audit columns for Grade, Pupil First Name, and Pupil Last Name.  </t>
    </r>
  </si>
  <si>
    <t>TOTAL HEADCOUNT AND FTE</t>
  </si>
  <si>
    <t>Burlington Catholic School</t>
  </si>
  <si>
    <t>El Puente High School</t>
  </si>
  <si>
    <t>Grace Christian Academy - West Allis</t>
  </si>
  <si>
    <t>Martin Luther High School - Greendale</t>
  </si>
  <si>
    <t>Martin Luther School - Oshkosh</t>
  </si>
  <si>
    <t>Northeastern Wisconsin Lutheran High School - Green Bay</t>
  </si>
  <si>
    <t>Saint James Lutheran School - Shawano</t>
  </si>
  <si>
    <t>Saint Martin Lutheran School - Clintonville</t>
  </si>
  <si>
    <t>Saint Matthew School - Oak Creek</t>
  </si>
  <si>
    <t>Saint Matthew's Lutheran School - Oconomowoc</t>
  </si>
  <si>
    <t>Wisconsin Lutheran High School - Milwaukee</t>
  </si>
  <si>
    <t>Wisconsin Lutheran School - Racine</t>
  </si>
  <si>
    <t>Select the school name on the cover page. The Per DPI numbers will then be included below. The "All Pupils" count includes all pupils meeting attendance requirements, including Choice pupils determined to be ineligible for Choice payment for reasons other than attendance criteria.</t>
  </si>
  <si>
    <t>Select the school name on the cover page. The Per DPI numbers will then be included below for any programs in which the school participated. The "Per Examination" count is the "Per DPI" count minus "Ineligible Pupils" plus "Pupil Grade Changes" plus "Pupil Additions". Schedules 2, 3 &amp; 4 provide information regarding Choice pupils included under the "Variance" columns. Final determination regarding the eligibility of such pupils is made by the DPI.</t>
  </si>
  <si>
    <r>
      <t xml:space="preserve">As a result of your review, does the school have any pupils that require corrections who were already counted or on the waiting list? </t>
    </r>
    <r>
      <rPr>
        <i/>
        <sz val="8"/>
        <rFont val="Arial"/>
        <family val="2"/>
      </rPr>
      <t>If yes, complete the schedule below.</t>
    </r>
  </si>
  <si>
    <t>Annual K-8</t>
  </si>
  <si>
    <t>Annual 9-12</t>
  </si>
  <si>
    <r>
      <t xml:space="preserve">Amount Due From (To) State </t>
    </r>
    <r>
      <rPr>
        <b/>
        <i/>
        <sz val="8"/>
        <color indexed="8"/>
        <rFont val="Arial"/>
        <family val="2"/>
      </rPr>
      <t>Lines 17 and 20</t>
    </r>
  </si>
  <si>
    <t>2. Schedule 3: Number of eligible, corrected applications that did not require a change to DPI's application information is not completed.</t>
  </si>
  <si>
    <t>4. Schedule 2: Required information for pupils has not been completed.</t>
  </si>
  <si>
    <t>5. Schedule 3: Required information for pupils has not been completed.</t>
  </si>
  <si>
    <t>6. Schedule 4: Required information for pupils has not been completed.</t>
  </si>
  <si>
    <t>7. Sample Information: Required sample has not been completed.</t>
  </si>
  <si>
    <t>3. Schedule 1: K4 parental outreach question has not been answered.</t>
  </si>
  <si>
    <t>Abundant Life Christian School</t>
  </si>
  <si>
    <t>Aquinas Academy - Menomonee Falls</t>
  </si>
  <si>
    <t>Bader Hillel High, Inc.</t>
  </si>
  <si>
    <t>Chesterton Academy of Milwaukee, Inc.</t>
  </si>
  <si>
    <t>Christ Child Academy</t>
  </si>
  <si>
    <t>Coulee Christian School</t>
  </si>
  <si>
    <t>Faith Lutheran School - Fond du Lac</t>
  </si>
  <si>
    <t>Grace Lutheran School - Oshkosh</t>
  </si>
  <si>
    <t>High Point Christian School</t>
  </si>
  <si>
    <t>Lamb of God Ev Lutheran School</t>
  </si>
  <si>
    <t>Maranatha Baptist Academy</t>
  </si>
  <si>
    <t>Mount Olive Evangelical Lutheran School - Appleton</t>
  </si>
  <si>
    <t>Our Lady of The Lake Catholic School</t>
  </si>
  <si>
    <t>Renaissance Lutheran School</t>
  </si>
  <si>
    <t>Riverview Lutheran School</t>
  </si>
  <si>
    <t>Saint Anthony de Padua Catholic School</t>
  </si>
  <si>
    <t>Saint Charles Borromeo Catholic School - Milwaukee</t>
  </si>
  <si>
    <t>Saint Clare Catholic School</t>
  </si>
  <si>
    <t>Saint John Evangelical Lutheran School - Wrightstown</t>
  </si>
  <si>
    <t>Saint John Grade School - Little Chute</t>
  </si>
  <si>
    <t>Saint John Lutheran School - Wausau</t>
  </si>
  <si>
    <t>Saint John Saint James Lutheran School - Reedsville</t>
  </si>
  <si>
    <t>Saint John School - Edgar</t>
  </si>
  <si>
    <t>Saint John's Evangelical Lutheran School - Jefferson</t>
  </si>
  <si>
    <t>Saint John's Lutheran School - Newburg</t>
  </si>
  <si>
    <t>Saint Mary Catholic School - Hilbert</t>
  </si>
  <si>
    <t>Saint Mary of the Immaculate Conception</t>
  </si>
  <si>
    <t>Saint Paul's Evangelical Lutheran School - Onalaska</t>
  </si>
  <si>
    <t>Saint Paul's Lutheran School - East Troy</t>
  </si>
  <si>
    <t>Saint Paul's Lutheran School - Menomonie</t>
  </si>
  <si>
    <t>Saint Peter's Lutheran School - Helenville</t>
  </si>
  <si>
    <t>Saint Peter's School - East Troy</t>
  </si>
  <si>
    <t>Westside Christian School</t>
  </si>
  <si>
    <t>Zion Lutheran School - Hartland</t>
  </si>
  <si>
    <t>Bethlehem Lutheran School - Sheboygan</t>
  </si>
  <si>
    <t>Holy Family School - Brillion</t>
  </si>
  <si>
    <t>WAITING LIST</t>
  </si>
  <si>
    <t>If any pupils on the waiting list are determined ineligible on Schedule 2 or should be added to the waiting list on Schedule 4, then the pupil must be identified as being on the waiting list as required on that schedule.  The "Per Examination" count is the "Per DPI" count minus "Ineligible Pupils" plus "Pupil Additions" from Schedule 4. Final determination regarding the eligibility of such pupils is made by the DPI.</t>
  </si>
  <si>
    <t>Divine Redeemer Lutheran School - Hartland</t>
  </si>
  <si>
    <t>Eastbrook Academy - Milwaukee</t>
  </si>
  <si>
    <t>First Evangelical Lutheran School - Lake Geneva</t>
  </si>
  <si>
    <t>First German Evangelical Lutheran Grade School - Manitowoc</t>
  </si>
  <si>
    <t>First Immanuel Lutheran School - Cedarburg</t>
  </si>
  <si>
    <t>Holy Trinity School - Casco</t>
  </si>
  <si>
    <t>Holyland Catholic School - Malone</t>
  </si>
  <si>
    <t>Neenah Lutheran School</t>
  </si>
  <si>
    <t>Roncalli Catholic Schools</t>
  </si>
  <si>
    <t>Saint Francis Xavier Catholic School System, Inc. - Appleton</t>
  </si>
  <si>
    <t>Saint Francis de Sales Parish School - Lake Geneva</t>
  </si>
  <si>
    <t>Saint John Paul II School - Milwaukee</t>
  </si>
  <si>
    <t>Trinity St. Luke's Lutheran School - Watertown</t>
  </si>
  <si>
    <t>INELIGIBILITY REASONS 
The following is a summary listing of the reasons an application may be ineligible. This listing corresponds with the reasons on Schedule 2. The last reason may be used if no other reason is applicable.</t>
  </si>
  <si>
    <t>8. Schedule 6: Summer school program requirements question has not been answered.</t>
  </si>
  <si>
    <t>9. Schedule 6: Summer school pupil changes question has not been answered.</t>
  </si>
  <si>
    <t>All Saints Grade School - Denmark</t>
  </si>
  <si>
    <t>Christ Alone Lutheran School - Thiensville</t>
  </si>
  <si>
    <t>Christ Lutheran School - Big Bend</t>
  </si>
  <si>
    <t>David's Star Lutheran School</t>
  </si>
  <si>
    <t>Eastside Evangelical Lutheran Elementary - Madison</t>
  </si>
  <si>
    <t>Holy Cross Lutheran School - Madison</t>
  </si>
  <si>
    <t>Holy Spirit Catholic School - Appleton</t>
  </si>
  <si>
    <t>Immanuel Evangelical Lutheran School - Greenville</t>
  </si>
  <si>
    <t>Journeys Lutheran School</t>
  </si>
  <si>
    <t>King's Academy Christian School, Inc.</t>
  </si>
  <si>
    <t>Madinah Academy of Madison</t>
  </si>
  <si>
    <t>Morrison Zion Lutheran School</t>
  </si>
  <si>
    <t>Most Precious Blood Parish Catholic School</t>
  </si>
  <si>
    <t>Pilgrim Evangelical Lutheran School - Menomonee Falls</t>
  </si>
  <si>
    <t>Redeemer Lutheran Grade School - Fond Du Lac</t>
  </si>
  <si>
    <t>Saint Edward School</t>
  </si>
  <si>
    <t>Saint Francis de Sales Grade School - Spooner</t>
  </si>
  <si>
    <t>Saint John Bosco Catholic School - Sturgeon Bay</t>
  </si>
  <si>
    <t>Saint John Sacred Heart School - Sherwood</t>
  </si>
  <si>
    <t>Saint John's Lutheran Grade School - Two Rivers</t>
  </si>
  <si>
    <t>Saint Joseph Catholic School - Stratford</t>
  </si>
  <si>
    <t>Saint Lukes Lutheran School - Oakfield</t>
  </si>
  <si>
    <t>Saint Matthew's Evangelical Lutheran School - Stoddard</t>
  </si>
  <si>
    <t>Saint Paul Lutheran Grade School - Stevens Point</t>
  </si>
  <si>
    <t>Saint Paul's Lutheran School - Fort Atkinson</t>
  </si>
  <si>
    <t>Shepherd of the Valley Lutheran School, Inc. - Menasha</t>
  </si>
  <si>
    <t>Star of Bethlehem Evangelical Lutheran School</t>
  </si>
  <si>
    <t>Thorp Catholic School</t>
  </si>
  <si>
    <t>Trinity Lutheran School - Athens</t>
  </si>
  <si>
    <t>Schedule 6:  Summer School</t>
  </si>
  <si>
    <t>WPCP Waiting List Student</t>
  </si>
  <si>
    <t>12. Schedule 4: WPCP waiting list pupil incorrectly identified as an add to the waiting list</t>
  </si>
  <si>
    <t>11. Schedule 2: WPCP waiting list pupil incorrectly identified as ineligible</t>
  </si>
  <si>
    <t>Pupil Incorrectly Included</t>
  </si>
  <si>
    <t>1. Schedule 1-1: The All Pupil count is greater than the Choice pupil count for one or more FTE categories.</t>
  </si>
  <si>
    <t xml:space="preserve">1) The student did not attend either on, or before and after the count date. </t>
  </si>
  <si>
    <t xml:space="preserve">2) The student either: a) attended another school or a home-based private educational program between the date the student was accepted at the school and when the student began to attend the school, or b) first attended the school, then attended another school or a home-based private educational program, and subsequently returned to the school. Since this application was received and approved prior to the student attending another school or a home-based private educational program, it is not eligible. </t>
  </si>
  <si>
    <t xml:space="preserve">3) The student is too young for the grade he or she attended. </t>
  </si>
  <si>
    <t xml:space="preserve">4) The student is too old to participate in the program. </t>
  </si>
  <si>
    <t xml:space="preserve">5) The student is listed as the parent/guardian but is not eligible to apply themselves.  </t>
  </si>
  <si>
    <t xml:space="preserve">6) The DOR determination was not appropriately completed or the DOR determined the application was not income eligible. </t>
  </si>
  <si>
    <t xml:space="preserve">7) The income is above the allowable amount. </t>
  </si>
  <si>
    <t xml:space="preserve">8) The support for the prior year income was not provided. </t>
  </si>
  <si>
    <t xml:space="preserve">9) The support for assistance received in the prior year was not provided. </t>
  </si>
  <si>
    <t xml:space="preserve">10) The application did not include a sufficient explanation of how basic needs were supplied or the basic needs explanation indicates income was received that has not been included in the income eligibility determination. </t>
  </si>
  <si>
    <t xml:space="preserve">11) The supporting income documentation or assistance received documentation was obtained outside of the open application period that the application was received. </t>
  </si>
  <si>
    <t xml:space="preserve">12) The name on the supporting income documentation or assistance received documentation does not match the parent/guardian(s) name on the application. </t>
  </si>
  <si>
    <t xml:space="preserve">13) MPCP participants: The address is outside the City of Milwaukee. WPCP: The address is in the City of Milwaukee/Racine Unified School District or not in Wisconsin. RPCP participants: The address is outside of the RUSD area. </t>
  </si>
  <si>
    <t xml:space="preserve">14) The address is a PO Box. </t>
  </si>
  <si>
    <t xml:space="preserve">15) A complete and signed lease agreement, utility bill or letter, government correspondence, letter from a public service agency for a homeless individual, current wage statement, W2 form, or Safe at Home card was not provided. </t>
  </si>
  <si>
    <t xml:space="preserve">16) The residency documentation provided was: a) one of the allowed residency documents, other than a lease, but was not current, b) was a lease that did not include any terms or had terms that did not include the date application received, or c) was a month-to-month lease that began earlier than three months before the date application received. </t>
  </si>
  <si>
    <t xml:space="preserve">17) The address on the application does not match the residency documentation. </t>
  </si>
  <si>
    <t xml:space="preserve">18) The residency documentation was obtained outside of the open application period that the application was received. </t>
  </si>
  <si>
    <t xml:space="preserve">19) The parent/guardian name on the application does not match the residency documentation and an Alternative Residency form was not completed. </t>
  </si>
  <si>
    <t xml:space="preserve">20) The Alternative Residency form was used but was not properly completed and/or the supporting documentation required by the Alternative Residency form was not provided. </t>
  </si>
  <si>
    <t xml:space="preserve">21) The pupil was inappropriately included on the waiting list. </t>
  </si>
  <si>
    <t xml:space="preserve">22) The pupil was identified as a duplicate by the auditor. </t>
  </si>
  <si>
    <t>23) The school received a payment for the student from the SNSP and the Choice program. The parent/guardian did not elect the Choice program.</t>
  </si>
  <si>
    <t xml:space="preserve">24) The pupil was counted using a different application number for September and January. The application number counted in January is included as ineligible on Schedule 2 and the application number counted in September is included as eligible on Schedule 4. </t>
  </si>
  <si>
    <t>Include This Page Immediately Behind the Cover Page</t>
  </si>
  <si>
    <r>
      <t xml:space="preserve">As a result of your review, does the summer school program have at least 19 days that have at least 270 minutes of non-Title I instruction? </t>
    </r>
    <r>
      <rPr>
        <i/>
        <sz val="8"/>
        <color indexed="8"/>
        <rFont val="Arial"/>
        <family val="2"/>
      </rPr>
      <t xml:space="preserve">Select N/A if the school doesn't offer summer school. </t>
    </r>
  </si>
  <si>
    <r>
      <t xml:space="preserve">As a result of your review, are there changes to the summer school counts? </t>
    </r>
    <r>
      <rPr>
        <i/>
        <sz val="8"/>
        <color indexed="8"/>
        <rFont val="Arial"/>
        <family val="2"/>
      </rPr>
      <t>Select N/A if the school doesn't offer summer school. If Yes is selected, complete the Summer School Pupil Changes schedule below.</t>
    </r>
  </si>
  <si>
    <t>Used for Schedule 6 (summer school) Line 55; which is hidden</t>
  </si>
  <si>
    <t>Used for Schedule 5 regular school year payments</t>
  </si>
  <si>
    <t>Crown of Life Christian Academy - Fort Atkinson</t>
  </si>
  <si>
    <t>Kenosha Lutheran Academy</t>
  </si>
  <si>
    <t>Mount Calvary Lutheran School - Milwaukee</t>
  </si>
  <si>
    <t>Saint Mark Lutheran School - Green Bay</t>
  </si>
  <si>
    <t>SCHOOL_NAME_LONG</t>
  </si>
  <si>
    <t>PROGRAM</t>
  </si>
  <si>
    <t>SCHOOL AND PROGRAM</t>
  </si>
  <si>
    <t>ALL PUPIL COUNT</t>
  </si>
  <si>
    <t>CHOICE PUPIL COUNT</t>
  </si>
  <si>
    <t>Choice FTE</t>
  </si>
  <si>
    <t>K-8 HC</t>
  </si>
  <si>
    <t>K-8 FTE</t>
  </si>
  <si>
    <t>K4_PLUS</t>
  </si>
  <si>
    <t>KG_HALF_TIME</t>
  </si>
  <si>
    <t>KG_3_DAYS</t>
  </si>
  <si>
    <t>KG_4_DAYS</t>
  </si>
  <si>
    <t>KG_5_DAYS</t>
  </si>
  <si>
    <t>GRADES_1_8</t>
  </si>
  <si>
    <t>GRADES_9_12</t>
  </si>
  <si>
    <t>ALL_STUDENTS</t>
  </si>
  <si>
    <t>Choice HC</t>
  </si>
  <si>
    <t>EXPECTED PAYMENT</t>
  </si>
  <si>
    <t>MPCP Waiting List</t>
  </si>
  <si>
    <t>RPCP Waiting List</t>
  </si>
  <si>
    <t>WPCP Waiting List</t>
  </si>
  <si>
    <t>Milwaukee</t>
  </si>
  <si>
    <t>Racine</t>
  </si>
  <si>
    <t>Number of Family Apps</t>
  </si>
  <si>
    <t>Summer School Payments</t>
  </si>
  <si>
    <t>K-8 SS</t>
  </si>
  <si>
    <t>9-12 SS</t>
  </si>
  <si>
    <t>2020-21 - Prior Year</t>
  </si>
  <si>
    <t>2021-22 - Current Year</t>
  </si>
  <si>
    <t xml:space="preserve">The number of family applications that were counted for September 17, 2021, are included below. The number below does not include any waiting list students since the auditor is required to test all of the students included on the Waiting List Reports in OAS. 
The number of family applications can include one or more students. See Step 3.1 in the Enrollment Audit Guide for an explanation of how many counted family applications must be tested. </t>
  </si>
  <si>
    <t>Bethany Lutheran School - Hustisford</t>
  </si>
  <si>
    <t>Crown of Life Evangelical Lutheran School - Hubertus</t>
  </si>
  <si>
    <t>First Evangelical Lutheran School - Elkhorn</t>
  </si>
  <si>
    <t>First Evangelical Lutheran School - La Crosse</t>
  </si>
  <si>
    <t>Liberty Christian School</t>
  </si>
  <si>
    <t>Mount Calvary Lutheran School - Waukesha</t>
  </si>
  <si>
    <t>Petersen Adventist School - Columbus</t>
  </si>
  <si>
    <t>Pleasant Ridge Waldorf School</t>
  </si>
  <si>
    <t>Queen of the Apostles School</t>
  </si>
  <si>
    <t>Saint John Ev Lutheran School - Waterloo</t>
  </si>
  <si>
    <t>Saint John Lutheran School - Merrill</t>
  </si>
  <si>
    <t>Saint John Lutheran School - Peshtigo</t>
  </si>
  <si>
    <t>Saint John Paul II Classical School - Green Bay</t>
  </si>
  <si>
    <t>Saint Johns Lutheran School - Mukwonago</t>
  </si>
  <si>
    <t>Saint Mark Lutheran School - Eau Claire</t>
  </si>
  <si>
    <t>Saint Mary School - Mayville</t>
  </si>
  <si>
    <t>Saint Paul's Evangelical Lutheran School - Ixonia</t>
  </si>
  <si>
    <t>1) Change in all pupil count</t>
  </si>
  <si>
    <t>2) K4 parental outreach result</t>
  </si>
  <si>
    <t>3) Schedule 2: Ineligible Pupils</t>
  </si>
  <si>
    <t>4) Schedule 3: Applications Requiring Corrections</t>
  </si>
  <si>
    <t>5) Schedule 4: Pupil Additions</t>
  </si>
  <si>
    <t>6) Applications with auditor identified corrections that had correct information in OAS</t>
  </si>
  <si>
    <t>7) Number of family applications with instances of income and/or residency related errors</t>
  </si>
  <si>
    <t>8) Schedule 6: Summer school result</t>
  </si>
  <si>
    <t>IV. SUMMARY OF RESULTS</t>
  </si>
  <si>
    <t>25) {Insert other reason as applicable. The auditor should use one of the above reasons whenever able.}</t>
  </si>
  <si>
    <r>
      <t xml:space="preserve">Audited
</t>
    </r>
    <r>
      <rPr>
        <i/>
        <sz val="8"/>
        <color indexed="8"/>
        <rFont val="Arial"/>
        <family val="2"/>
      </rPr>
      <t>ONLY required if grade and/or pupil name changed</t>
    </r>
  </si>
  <si>
    <t>10. Schedule 6: Summer School information is not complete or pupil identified in incorrectly included column.</t>
  </si>
  <si>
    <t>If there are changes to the summer school days attended that require reporting, include the summer school grade, application number, pupil first name, pupil last name, and program. Then input the "Reported Days Attended" and the "Audited Days Attended." Step 4.8 of the Enrollment Audit Guide explains which changes must be reported. The Reported Days Attended must match the school’s submitted Summer School Count Report. The Audited Days Attended is the number of days the student attended an eligible summer school course based on the procedures performed. If a pupil is included in this schedule who was not included in the school’s submitted Summer School Count Report (i.e. the Reported Days Attended is 0), a copy of the email from a DPI Choice auditor approving the addition of the student must be attached to the Enrollment Audit. If additional lines are needed for summer school changes contact the DPI.</t>
  </si>
  <si>
    <r>
      <t xml:space="preserve">Required DPI Application Information Correction(s) </t>
    </r>
    <r>
      <rPr>
        <i/>
        <sz val="8"/>
        <color indexed="8"/>
        <rFont val="Arial"/>
        <family val="2"/>
      </rPr>
      <t xml:space="preserve">
Indicate what must be corrected and the correct information. If no changes are required  indicate "None" below. Note: Only corrections for pupils being added should be included on this schedule.  </t>
    </r>
  </si>
  <si>
    <r>
      <rPr>
        <b/>
        <sz val="8"/>
        <color indexed="8"/>
        <rFont val="Arial"/>
        <family val="2"/>
      </rPr>
      <t>INSTRUCTIONS:</t>
    </r>
    <r>
      <rPr>
        <sz val="8"/>
        <color indexed="8"/>
        <rFont val="Arial"/>
        <family val="2"/>
      </rPr>
      <t xml:space="preserve">  Submit the report in Kiteworks by </t>
    </r>
    <r>
      <rPr>
        <b/>
        <sz val="8"/>
        <color indexed="8"/>
        <rFont val="Arial"/>
        <family val="2"/>
      </rPr>
      <t xml:space="preserve">May 2, 2022, for schools participating in WPCP or RPCP, even if the school does not have any WPCP or RPCP pupils, or June 30, 2022, for schools participating in MPCP only.  </t>
    </r>
    <r>
      <rPr>
        <sz val="8"/>
        <color indexed="8"/>
        <rFont val="Arial"/>
        <family val="2"/>
      </rPr>
      <t xml:space="preserve">Faxed forms are not accepted. </t>
    </r>
    <r>
      <rPr>
        <sz val="8"/>
        <color indexed="8"/>
        <rFont val="Arial"/>
        <family val="2"/>
      </rPr>
      <t xml:space="preserve"> 
Refer to detailed instructions on the Excel Instructions sheet.</t>
    </r>
  </si>
  <si>
    <t>January 14, 2022 Choice Enrollment Audit</t>
  </si>
  <si>
    <r>
      <t xml:space="preserve">Payment Eligibility - </t>
    </r>
    <r>
      <rPr>
        <i/>
        <sz val="8"/>
        <color indexed="8"/>
        <rFont val="Arial"/>
        <family val="2"/>
      </rPr>
      <t>Sum Lines 10 and 13</t>
    </r>
  </si>
  <si>
    <t xml:space="preserve">Total Feb &amp; May Choice Payments Issued </t>
  </si>
  <si>
    <r>
      <t xml:space="preserve">Amount Due From (To) State </t>
    </r>
    <r>
      <rPr>
        <b/>
        <i/>
        <sz val="8"/>
        <color indexed="8"/>
        <rFont val="Arial"/>
        <family val="2"/>
      </rPr>
      <t>Ln 15 Less Ln 16</t>
    </r>
  </si>
  <si>
    <t>Mount Olive Christian Day School - Milwaukee</t>
  </si>
  <si>
    <t>Prairie Hill Waldorf School - Pewaukee</t>
  </si>
  <si>
    <t>Abundant Life Christian School-WPCP</t>
  </si>
  <si>
    <t>Academy of Excellence-Milwaukee</t>
  </si>
  <si>
    <t>Academy of Excellence-Racine</t>
  </si>
  <si>
    <t>Academy of Excellence-WPCP</t>
  </si>
  <si>
    <t>All Saints Grade School - Denmark-WPCP</t>
  </si>
  <si>
    <t>Aquinas Academy - Menomonee Falls-Milwaukee</t>
  </si>
  <si>
    <t>Aquinas Academy - Menomonee Falls-WPCP</t>
  </si>
  <si>
    <t>Aquinas Catholic Schools-WPCP</t>
  </si>
  <si>
    <t>Assumption Catholic Schools-WPCP</t>
  </si>
  <si>
    <t>Assumption of the Blessed Virgin Mary School-WPCP</t>
  </si>
  <si>
    <t>Atlas Preparatory Academy, Inc.-Milwaukee</t>
  </si>
  <si>
    <t>Atonement Lutheran School-Milwaukee</t>
  </si>
  <si>
    <t>Atonement Lutheran School-WPCP</t>
  </si>
  <si>
    <t>Bader Hillel High, Inc.-Milwaukee</t>
  </si>
  <si>
    <t>Bader Hillel High, Inc.-WPCP</t>
  </si>
  <si>
    <t>Badger State Baptist School-Milwaukee</t>
  </si>
  <si>
    <t>Badger State Baptist School-Racine</t>
  </si>
  <si>
    <t>Badger State Baptist School-WPCP</t>
  </si>
  <si>
    <t>Bay City Christian School-WPCP</t>
  </si>
  <si>
    <t>Beautiful Savior Lutheran School-WPCP</t>
  </si>
  <si>
    <t>Believers in Christ Christian Academy-Milwaukee</t>
  </si>
  <si>
    <t>Bethany Lutheran School - Hustisford-WPCP</t>
  </si>
  <si>
    <t>Bethlehem Lutheran School - Sheboygan-WPCP</t>
  </si>
  <si>
    <t>Blessed Sacrament Catholic School-Milwaukee</t>
  </si>
  <si>
    <t>Blessed Sacrament Catholic School-WPCP</t>
  </si>
  <si>
    <t>Blessed Savior Catholic School-Milwaukee</t>
  </si>
  <si>
    <t>Blessed Savior Catholic School-WPCP</t>
  </si>
  <si>
    <t>Burlington Catholic School-WPCP</t>
  </si>
  <si>
    <t>CERT School-Milwaukee</t>
  </si>
  <si>
    <t>CERT School-Racine</t>
  </si>
  <si>
    <t>Calvary Baptist Christian School-WPCP</t>
  </si>
  <si>
    <t>Carter's Christian Academy, Inc.-Milwaukee</t>
  </si>
  <si>
    <t>Catholic Central High School - Burlington-Racine</t>
  </si>
  <si>
    <t>Catholic Central High School - Burlington-WPCP</t>
  </si>
  <si>
    <t>Catholic East Elementary-Milwaukee</t>
  </si>
  <si>
    <t>Catholic East Elementary-WPCP</t>
  </si>
  <si>
    <t>Catholic Memorial High School of Waukesha, Inc.-WPCP</t>
  </si>
  <si>
    <t>Celebration Lutheran School-WPCP</t>
  </si>
  <si>
    <t>Central Wisconsin Christian School-WPCP</t>
  </si>
  <si>
    <t>Chesterton Academy of Milwaukee, Inc.-WPCP</t>
  </si>
  <si>
    <t>Chilton Area Catholic School-WPCP</t>
  </si>
  <si>
    <t>Christ Alone Lutheran School - Thiensville-WPCP</t>
  </si>
  <si>
    <t>Christ Child Academy-WPCP</t>
  </si>
  <si>
    <t>Christ Lutheran School - Big Bend-WPCP</t>
  </si>
  <si>
    <t>Christ St. Peter Lutheran School-Milwaukee</t>
  </si>
  <si>
    <t>Christ St. Peter Lutheran School-WPCP</t>
  </si>
  <si>
    <t>Christian Faith Academy of Higher Learning-Milwaukee</t>
  </si>
  <si>
    <t>Clara Mohammed School-Milwaukee</t>
  </si>
  <si>
    <t>Columbus Catholic Schools-WPCP</t>
  </si>
  <si>
    <t>Community Christian School of Baraboo-WPCP</t>
  </si>
  <si>
    <t>Concordia Lutheran School-Racine</t>
  </si>
  <si>
    <t>Coulee Christian School-WPCP</t>
  </si>
  <si>
    <t>Cristo Rey Jesuit Milwaukee High School-Milwaukee</t>
  </si>
  <si>
    <t>Cristo Rey Jesuit Milwaukee High School-WPCP</t>
  </si>
  <si>
    <t>Cross Trainers Academy-Milwaukee</t>
  </si>
  <si>
    <t>Crown of Life Christian Academy - Fort Atkinson-WPCP</t>
  </si>
  <si>
    <t>Crown of Life Evangelical Lutheran School - Hubertus-WPCP</t>
  </si>
  <si>
    <t>David's Star Lutheran School-WPCP</t>
  </si>
  <si>
    <t>Destiny High School-Milwaukee</t>
  </si>
  <si>
    <t>Divine Destiny School-Milwaukee</t>
  </si>
  <si>
    <t>Divine Mercy School-Milwaukee</t>
  </si>
  <si>
    <t>Divine Mercy School-WPCP</t>
  </si>
  <si>
    <t>Divine Redeemer Lutheran School - Hartland-WPCP</t>
  </si>
  <si>
    <t>Divine Savior Catholic School-WPCP</t>
  </si>
  <si>
    <t>Divine Savior Holy Angels High School-Milwaukee</t>
  </si>
  <si>
    <t>Dominican High School-Milwaukee</t>
  </si>
  <si>
    <t>Dominican High School-WPCP</t>
  </si>
  <si>
    <t>Early View Academy of Excellence-Milwaukee</t>
  </si>
  <si>
    <t>Eastbrook Academy - Milwaukee-Milwaukee</t>
  </si>
  <si>
    <t>Eastbrook Academy - Milwaukee-WPCP</t>
  </si>
  <si>
    <t>Eastside Evangelical Lutheran Elementary - Madison-WPCP</t>
  </si>
  <si>
    <t>El Puente High School-Milwaukee</t>
  </si>
  <si>
    <t>Elm Grove Lutheran School-Milwaukee</t>
  </si>
  <si>
    <t>Elm Grove Lutheran School-WPCP</t>
  </si>
  <si>
    <t>Emanuel Lutheran School-WPCP</t>
  </si>
  <si>
    <t>EverGreen Academy-Racine</t>
  </si>
  <si>
    <t>Faith Christian Academy - Wausau-WPCP</t>
  </si>
  <si>
    <t>Faith Christian School - Coleman-WPCP</t>
  </si>
  <si>
    <t>Faith Lutheran School - Fond du Lac-WPCP</t>
  </si>
  <si>
    <t>First Evangelical Lutheran School - Elkhorn-WPCP</t>
  </si>
  <si>
    <t>First Evangelical Lutheran School - La Crosse-WPCP</t>
  </si>
  <si>
    <t>First Evangelical Lutheran School - Lake Geneva-WPCP</t>
  </si>
  <si>
    <t>First German Evangelical Lutheran Grade School - Manitowoc-WPCP</t>
  </si>
  <si>
    <t>First Immanuel Lutheran School - Cedarburg-Milwaukee</t>
  </si>
  <si>
    <t>First Immanuel Lutheran School - Cedarburg-WPCP</t>
  </si>
  <si>
    <t>Fond du Lac Christian School-WPCP</t>
  </si>
  <si>
    <t>Fox Valley Lutheran High School-WPCP</t>
  </si>
  <si>
    <t>Garden Homes Lutheran School-Milwaukee</t>
  </si>
  <si>
    <t>Garden Homes Lutheran School-WPCP</t>
  </si>
  <si>
    <t>Good Shepherd Evangelical Lutheran School - West Bend-WPCP</t>
  </si>
  <si>
    <t>Good Shepherd Lutheran School - Watertown-WPCP</t>
  </si>
  <si>
    <t>Good Shepherd's Lutheran School - West Allis-Milwaukee</t>
  </si>
  <si>
    <t>Good Shepherd's Lutheran School - West Allis-WPCP</t>
  </si>
  <si>
    <t>Grace Christian Academy - West Allis-Milwaukee</t>
  </si>
  <si>
    <t>Grace Christian Academy - West Allis-WPCP</t>
  </si>
  <si>
    <t>Grace Lutheran School - Menomonee Falls-Milwaukee</t>
  </si>
  <si>
    <t>Grace Lutheran School - Menomonee Falls-WPCP</t>
  </si>
  <si>
    <t>Grace Lutheran School - Oak Creek-Milwaukee</t>
  </si>
  <si>
    <t>Grace Lutheran School - Oak Creek-Racine</t>
  </si>
  <si>
    <t>Grace Lutheran School - Oak Creek-WPCP</t>
  </si>
  <si>
    <t>Grace Lutheran School - Oshkosh-WPCP</t>
  </si>
  <si>
    <t>Granville Lutheran School-Milwaukee</t>
  </si>
  <si>
    <t>Granville Lutheran School-WPCP</t>
  </si>
  <si>
    <t>Greater Holy Temple Christian Academy-Milwaukee</t>
  </si>
  <si>
    <t>Green Bay Adventist Junior Academy-WPCP</t>
  </si>
  <si>
    <t>Green Bay Area Catholic Education - East-WPCP</t>
  </si>
  <si>
    <t>Green Bay Area Catholic Education - South-WPCP</t>
  </si>
  <si>
    <t>Green Bay Area Catholic Education - West-WPCP</t>
  </si>
  <si>
    <t>Green Bay Trinity Lutheran School-WPCP</t>
  </si>
  <si>
    <t>Guidance Academy-Milwaukee</t>
  </si>
  <si>
    <t>Guidance Academy-Racine</t>
  </si>
  <si>
    <t>Guidance Academy-WPCP</t>
  </si>
  <si>
    <t>Hales Corners Lutheran School-Milwaukee</t>
  </si>
  <si>
    <t>Hales Corners Lutheran School-Racine</t>
  </si>
  <si>
    <t>Hales Corners Lutheran School-WPCP</t>
  </si>
  <si>
    <t>Heritage Christian Schools-Milwaukee</t>
  </si>
  <si>
    <t>Heritage Christian Schools-WPCP</t>
  </si>
  <si>
    <t>High Point Christian School-WPCP</t>
  </si>
  <si>
    <t>Hillel Academy-Milwaukee</t>
  </si>
  <si>
    <t>Hillel Academy-WPCP</t>
  </si>
  <si>
    <t>Holy Cross Lutheran School - Madison-WPCP</t>
  </si>
  <si>
    <t>Holy Family School - Brillion-WPCP</t>
  </si>
  <si>
    <t>Holy Redeemer Christian Academy-Milwaukee</t>
  </si>
  <si>
    <t>Holy Rosary Catholic School - Kewaunee-WPCP</t>
  </si>
  <si>
    <t>Holy Rosary Catholic School - Medford-WPCP</t>
  </si>
  <si>
    <t>Holy Spirit Catholic School - Appleton-WPCP</t>
  </si>
  <si>
    <t>Holy Trinity School - Casco-WPCP</t>
  </si>
  <si>
    <t>Holyland Catholic School - Malone-WPCP</t>
  </si>
  <si>
    <t>Hope Christian High School-Milwaukee</t>
  </si>
  <si>
    <t>Hope Christian School: Caritas-Milwaukee</t>
  </si>
  <si>
    <t>Hope Christian School: Fidelis-Milwaukee</t>
  </si>
  <si>
    <t>Hope Christian School: Fortis-Milwaukee</t>
  </si>
  <si>
    <t>Hope Christian School: Prima-Milwaukee</t>
  </si>
  <si>
    <t>Hope Christian School: Semper-Milwaukee</t>
  </si>
  <si>
    <t>Hope Christian School: Via-Racine</t>
  </si>
  <si>
    <t>Immanuel Evangelical Lutheran School - Greenville-WPCP</t>
  </si>
  <si>
    <t>Immanuel Lutheran School - Brookfield-Milwaukee</t>
  </si>
  <si>
    <t>Immanuel Lutheran School - Brookfield-WPCP</t>
  </si>
  <si>
    <t>Immanuel Lutheran School - Wisconsin Rapids-WPCP</t>
  </si>
  <si>
    <t>Institute of Technology and Academics-Milwaukee</t>
  </si>
  <si>
    <t>Jo's Learning Academy-Milwaukee</t>
  </si>
  <si>
    <t>Journeys Lutheran School-Milwaukee</t>
  </si>
  <si>
    <t>Journeys Lutheran School-WPCP</t>
  </si>
  <si>
    <t>Kenosha Lutheran Academy-Racine</t>
  </si>
  <si>
    <t>Kenosha Lutheran Academy-WPCP</t>
  </si>
  <si>
    <t>Kettle Moraine Lutheran High School-Milwaukee</t>
  </si>
  <si>
    <t>Kettle Moraine Lutheran High School-WPCP</t>
  </si>
  <si>
    <t>King's Academy Christian School, Inc.-Milwaukee</t>
  </si>
  <si>
    <t>Kingdom Prep Lutheran High School-Milwaukee</t>
  </si>
  <si>
    <t>Kingdom Prep Lutheran High School-WPCP</t>
  </si>
  <si>
    <t>Lake Country Lutheran High School-WPCP</t>
  </si>
  <si>
    <t>Lakeside Lutheran High School-WPCP</t>
  </si>
  <si>
    <t>Lamb of God Ev Lutheran School-Milwaukee</t>
  </si>
  <si>
    <t>Lamb of God Ev Lutheran School-WPCP</t>
  </si>
  <si>
    <t>Liberty Christian School-WPCP</t>
  </si>
  <si>
    <t>Lighthouse Christian School-WPCP</t>
  </si>
  <si>
    <t>Living Word Lutheran High School-Milwaukee</t>
  </si>
  <si>
    <t>Living Word Lutheran High School-WPCP</t>
  </si>
  <si>
    <t>Lourdes Academy-WPCP</t>
  </si>
  <si>
    <t>Luther High School - Onalaska-WPCP</t>
  </si>
  <si>
    <t>Luther Preparatory School-Milwaukee</t>
  </si>
  <si>
    <t>Luther Preparatory School-Racine</t>
  </si>
  <si>
    <t>Luther Preparatory School-WPCP</t>
  </si>
  <si>
    <t>Lutheran High School Association of Racine-Racine</t>
  </si>
  <si>
    <t>Madinah Academy of Madison-WPCP</t>
  </si>
  <si>
    <t>Malaika Early Learning Center-Milwaukee</t>
  </si>
  <si>
    <t>Manitowoc Lutheran High School-WPCP</t>
  </si>
  <si>
    <t>Maranatha Baptist Academy-WPCP</t>
  </si>
  <si>
    <t>Marquette University High School-Milwaukee</t>
  </si>
  <si>
    <t>Martin Luther High School - Greendale-Milwaukee</t>
  </si>
  <si>
    <t>Martin Luther High School - Greendale-Racine</t>
  </si>
  <si>
    <t>Martin Luther High School - Greendale-WPCP</t>
  </si>
  <si>
    <t>Martin Luther School - Oshkosh-WPCP</t>
  </si>
  <si>
    <t>Mary Queen of Saints Catholic Academy-Milwaukee</t>
  </si>
  <si>
    <t>Mary Queen of Saints Catholic Academy-WPCP</t>
  </si>
  <si>
    <t>McDonell Area Catholic Schools-WPCP</t>
  </si>
  <si>
    <t>Messmer Catholic Schools-Milwaukee</t>
  </si>
  <si>
    <t>Messmer Catholic Schools-WPCP</t>
  </si>
  <si>
    <t>Milwaukee Lutheran High School-Milwaukee</t>
  </si>
  <si>
    <t>Milwaukee Lutheran High School-WPCP</t>
  </si>
  <si>
    <t>Milwaukee Seventh Day Adventist School-Milwaukee</t>
  </si>
  <si>
    <t>Milwaukee Seventh Day Adventist School-WPCP</t>
  </si>
  <si>
    <t>Morning Star Lutheran School-WPCP</t>
  </si>
  <si>
    <t>Morrison Zion Lutheran School-WPCP</t>
  </si>
  <si>
    <t>Most Precious Blood Parish Catholic School-WPCP</t>
  </si>
  <si>
    <t>Mother of Good Counsel School-Milwaukee</t>
  </si>
  <si>
    <t>Mount Calvary Lutheran School - Milwaukee-Milwaukee</t>
  </si>
  <si>
    <t>Mount Calvary Lutheran School - Waukesha-WPCP</t>
  </si>
  <si>
    <t>Mount Lebanon Lutheran School-Milwaukee</t>
  </si>
  <si>
    <t>Mount Lebanon Lutheran School-WPCP</t>
  </si>
  <si>
    <t>Mount Olive Christian Day School - Milwaukee-Milwaukee</t>
  </si>
  <si>
    <t>Mount Olive Christian Day School - Milwaukee-WPCP</t>
  </si>
  <si>
    <t>Mount Olive Evangelical Lutheran School - Appleton-WPCP</t>
  </si>
  <si>
    <t>Nativity Jesuit Academy-Milwaukee</t>
  </si>
  <si>
    <t>Nativity Jesuit Academy-WPCP</t>
  </si>
  <si>
    <t>Neenah Lutheran School-WPCP</t>
  </si>
  <si>
    <t>New Testament Christian Academy-Milwaukee</t>
  </si>
  <si>
    <t>New Testament Christian Academy-WPCP</t>
  </si>
  <si>
    <t>Newman Catholic Schools-WPCP</t>
  </si>
  <si>
    <t>Northeastern Wisconsin Lutheran High School - Green Bay-WPCP</t>
  </si>
  <si>
    <t>Northland Lutheran High School-WPCP</t>
  </si>
  <si>
    <t>Northwest Catholic School-Milwaukee</t>
  </si>
  <si>
    <t>Northwest Catholic School-WPCP</t>
  </si>
  <si>
    <t>Northwest Lutheran School-Milwaukee</t>
  </si>
  <si>
    <t>Northwest Lutheran School-WPCP</t>
  </si>
  <si>
    <t>Notre Dame School of Milwaukee-Milwaukee</t>
  </si>
  <si>
    <t>Notre Dame School of Milwaukee-WPCP</t>
  </si>
  <si>
    <t>Notre Dame de la Baie Academy-WPCP</t>
  </si>
  <si>
    <t>Oostburg Christian School-WPCP</t>
  </si>
  <si>
    <t>Our Father's Lutheran School-Milwaukee</t>
  </si>
  <si>
    <t>Our Father's Lutheran School-Racine</t>
  </si>
  <si>
    <t>Our Father's Lutheran School-WPCP</t>
  </si>
  <si>
    <t>Our Lady Queen of Peace-Milwaukee</t>
  </si>
  <si>
    <t>Our Lady Queen of Peace-WPCP</t>
  </si>
  <si>
    <t>Our Lady of Sorrows Grade School-WPCP</t>
  </si>
  <si>
    <t>Our Lady of The Lake Catholic School-WPCP</t>
  </si>
  <si>
    <t>Pacelli Catholic Schools-WPCP</t>
  </si>
  <si>
    <t>Peace Lutheran School - Antigo-WPCP</t>
  </si>
  <si>
    <t>Peace Lutheran School - Hartford-WPCP</t>
  </si>
  <si>
    <t>Petersen Adventist School - Columbus-WPCP</t>
  </si>
  <si>
    <t>Pilgrim Evangelical Lutheran School - Menomonee Falls-Milwaukee</t>
  </si>
  <si>
    <t>Pilgrim Evangelical Lutheran School - Menomonee Falls-WPCP</t>
  </si>
  <si>
    <t>Pilgrim Lutheran School - Green Bay-WPCP</t>
  </si>
  <si>
    <t>Pilgrim Lutheran School - Wauwatosa-Milwaukee</t>
  </si>
  <si>
    <t>Pilgrim Lutheran School - Wauwatosa-WPCP</t>
  </si>
  <si>
    <t>Pius XI Catholic High School-Milwaukee</t>
  </si>
  <si>
    <t>Pius XI Catholic High School-WPCP</t>
  </si>
  <si>
    <t>Pleasant Ridge Waldorf School-WPCP</t>
  </si>
  <si>
    <t>Prairie Hill Waldorf School - Pewaukee-WPCP</t>
  </si>
  <si>
    <t>Prince of Peace-Milwaukee</t>
  </si>
  <si>
    <t>Prince of Peace-WPCP</t>
  </si>
  <si>
    <t>Queen of the Apostles School-WPCP</t>
  </si>
  <si>
    <t>Racine Christian School-Racine</t>
  </si>
  <si>
    <t>Randolph Christian School Society, Inc.-WPCP</t>
  </si>
  <si>
    <t>Redeemer Lutheran Grade School - Fond Du Lac-WPCP</t>
  </si>
  <si>
    <t>Regis Catholic Schools-WPCP</t>
  </si>
  <si>
    <t>Renaissance Lutheran School-Racine</t>
  </si>
  <si>
    <t>Renaissance Lutheran School-WPCP</t>
  </si>
  <si>
    <t>Right Step, Inc.-Milwaukee</t>
  </si>
  <si>
    <t>Risen Savior Lutheran School-Milwaukee</t>
  </si>
  <si>
    <t>Risen Savior Lutheran School-WPCP</t>
  </si>
  <si>
    <t>Riverview Lutheran School-WPCP</t>
  </si>
  <si>
    <t>Rock County Christian School-WPCP</t>
  </si>
  <si>
    <t>Roncalli Catholic Schools-WPCP</t>
  </si>
  <si>
    <t>Sacred Heart Catholic School-WPCP</t>
  </si>
  <si>
    <t>Saint Adalbert School-Milwaukee</t>
  </si>
  <si>
    <t>Saint Adalbert School-WPCP</t>
  </si>
  <si>
    <t>Saint Agnes School-Milwaukee</t>
  </si>
  <si>
    <t>Saint Agnes School-WPCP</t>
  </si>
  <si>
    <t>Saint Andrew Parish School-WPCP</t>
  </si>
  <si>
    <t>Saint Anthony School - Milwaukee-Milwaukee</t>
  </si>
  <si>
    <t>Saint Anthony School - Oconto Falls-WPCP</t>
  </si>
  <si>
    <t>Saint Anthony de Padua Catholic School-WPCP</t>
  </si>
  <si>
    <t>Saint Augustine Preparatory Academy - Milwaukee-Milwaukee</t>
  </si>
  <si>
    <t>Saint Augustine Preparatory Academy - Milwaukee-WPCP</t>
  </si>
  <si>
    <t>Saint Augustine School - Hartford-WPCP</t>
  </si>
  <si>
    <t>Saint Bruno Parish School-WPCP</t>
  </si>
  <si>
    <t>Saint Catherine School-Milwaukee</t>
  </si>
  <si>
    <t>Saint Charles Borromeo Catholic School - Milwaukee-Milwaukee</t>
  </si>
  <si>
    <t>Saint Charles Borromeo Catholic School - Milwaukee-WPCP</t>
  </si>
  <si>
    <t>Saint Clare Catholic School-WPCP</t>
  </si>
  <si>
    <t>Saint Edward School-WPCP</t>
  </si>
  <si>
    <t>Saint Elizabeth Ann Seton Catholic School-WPCP</t>
  </si>
  <si>
    <t>Saint Francis Xavier Catholic School System, Inc. - Appleton-WPCP</t>
  </si>
  <si>
    <t>Saint Francis de Sales Grade School - Spooner-WPCP</t>
  </si>
  <si>
    <t>Saint Francis de Sales Parish School - Lake Geneva-WPCP</t>
  </si>
  <si>
    <t>Saint Gregory the Great Parish School-Milwaukee</t>
  </si>
  <si>
    <t>Saint Gregory the Great Parish School-WPCP</t>
  </si>
  <si>
    <t>Saint Ignatius of Loyola Catholic School-WPCP</t>
  </si>
  <si>
    <t>Saint Jacobi Lutheran School-Milwaukee</t>
  </si>
  <si>
    <t>Saint Jacobi Lutheran School-WPCP</t>
  </si>
  <si>
    <t>Saint James Lutheran School - Shawano-WPCP</t>
  </si>
  <si>
    <t>Saint Jerome Parish School-WPCP</t>
  </si>
  <si>
    <t>Saint Joan Antida High School-Milwaukee</t>
  </si>
  <si>
    <t>Saint Joan Antida High School-WPCP</t>
  </si>
  <si>
    <t>Saint John Bosco Catholic School - Sturgeon Bay-WPCP</t>
  </si>
  <si>
    <t>Saint John Ev Lutheran School - Waterloo-WPCP</t>
  </si>
  <si>
    <t>Saint John Evangelical Lutheran School - Wrightstown-WPCP</t>
  </si>
  <si>
    <t>Saint John Grade School - Little Chute-WPCP</t>
  </si>
  <si>
    <t>Saint John Lutheran School - Berlin-WPCP</t>
  </si>
  <si>
    <t>Saint John Lutheran School - Merrill-WPCP</t>
  </si>
  <si>
    <t>Saint John Lutheran School - Peshtigo-WPCP</t>
  </si>
  <si>
    <t>Saint John Lutheran School - Plymouth-WPCP</t>
  </si>
  <si>
    <t>Saint John Lutheran School - Wausau-WPCP</t>
  </si>
  <si>
    <t>Saint John Paul II Classical School - Green Bay-WPCP</t>
  </si>
  <si>
    <t>Saint John Paul II School - Milwaukee-Milwaukee</t>
  </si>
  <si>
    <t>Saint John Sacred Heart School - Sherwood-WPCP</t>
  </si>
  <si>
    <t>Saint John Saint James Lutheran School - Reedsville-WPCP</t>
  </si>
  <si>
    <t>Saint John School - Edgar-WPCP</t>
  </si>
  <si>
    <t>Saint John XXIII Catholic School - Port Washington-WPCP</t>
  </si>
  <si>
    <t>Saint John the Evangelist - Greenfield-Milwaukee</t>
  </si>
  <si>
    <t>Saint John the Evangelist - Greenfield-WPCP</t>
  </si>
  <si>
    <t>Saint John's Ev. Lutheran School - Sparta-WPCP</t>
  </si>
  <si>
    <t>Saint John's Evangelical Lutheran School - Jefferson-WPCP</t>
  </si>
  <si>
    <t>Saint John's Lutheran Grade School - Two Rivers-WPCP</t>
  </si>
  <si>
    <t>Saint John's Lutheran School - Burlington-WPCP</t>
  </si>
  <si>
    <t>Saint John's Lutheran School - Glendale-Milwaukee</t>
  </si>
  <si>
    <t>Saint John's Lutheran School - Glendale-WPCP</t>
  </si>
  <si>
    <t>Saint John's Lutheran School - Lannon-Milwaukee</t>
  </si>
  <si>
    <t>Saint John's Lutheran School - Lannon-WPCP</t>
  </si>
  <si>
    <t>Saint John's Lutheran School - Mayville-WPCP</t>
  </si>
  <si>
    <t>Saint John's Lutheran School - Milwaukee-Milwaukee</t>
  </si>
  <si>
    <t>Saint John's Lutheran School - Milwaukee-WPCP</t>
  </si>
  <si>
    <t>Saint John's Lutheran School - Newburg-WPCP</t>
  </si>
  <si>
    <t>Saint John's Lutheran School - Portage-WPCP</t>
  </si>
  <si>
    <t>Saint John's Lutheran School - Racine-Racine</t>
  </si>
  <si>
    <t>Saint John's Lutheran School - Watertown-WPCP</t>
  </si>
  <si>
    <t>Saint John's Lutheran School - West Bend-WPCP</t>
  </si>
  <si>
    <t>Saint Johns Lutheran School - Mukwonago-WPCP</t>
  </si>
  <si>
    <t>Saint Josaphat Parish School-Milwaukee</t>
  </si>
  <si>
    <t>Saint Josaphat Parish School-WPCP</t>
  </si>
  <si>
    <t>Saint Joseph Academy - Milwaukee-Milwaukee</t>
  </si>
  <si>
    <t>Saint Joseph Academy - Milwaukee-WPCP</t>
  </si>
  <si>
    <t>Saint Joseph Catholic Academy - Kenosha-WPCP</t>
  </si>
  <si>
    <t>Saint Joseph Catholic School - Boyd-WPCP</t>
  </si>
  <si>
    <t>Saint Joseph Catholic School - Stratford-WPCP</t>
  </si>
  <si>
    <t>Saint Joseph Parish School - Grafton-WPCP</t>
  </si>
  <si>
    <t>Saint Joseph School - Rice Lake-WPCP</t>
  </si>
  <si>
    <t>Saint Joseph School - Wauwatosa-Milwaukee</t>
  </si>
  <si>
    <t>Saint Joseph School - Wauwatosa-WPCP</t>
  </si>
  <si>
    <t>Saint Katharine Drexel School-WPCP</t>
  </si>
  <si>
    <t>Saint Kilian School-WPCP</t>
  </si>
  <si>
    <t>Saint Leonard School-WPCP</t>
  </si>
  <si>
    <t>Saint Lucas Lutheran School-Milwaukee</t>
  </si>
  <si>
    <t>Saint Lucas Lutheran School-WPCP</t>
  </si>
  <si>
    <t>Saint Lukes Lutheran School - Oakfield-WPCP</t>
  </si>
  <si>
    <t>Saint Marcus Lutheran School-Milwaukee</t>
  </si>
  <si>
    <t>Saint Margaret Mary School-Milwaukee</t>
  </si>
  <si>
    <t>Saint Mark Lutheran School - Eau Claire-WPCP</t>
  </si>
  <si>
    <t>Saint Mark Lutheran School - Green Bay-WPCP</t>
  </si>
  <si>
    <t>Saint Martin Lutheran School - Clintonville-WPCP</t>
  </si>
  <si>
    <t>Saint Martini Lutheran School-Milwaukee</t>
  </si>
  <si>
    <t>Saint Martini Lutheran School-WPCP</t>
  </si>
  <si>
    <t>Saint Mary Catholic School - Hilbert-WPCP</t>
  </si>
  <si>
    <t>Saint Mary Catholic Schools - Neenah-WPCP</t>
  </si>
  <si>
    <t>Saint Mary Saint Michael School-WPCP</t>
  </si>
  <si>
    <t>Saint Mary School - Algoma-WPCP</t>
  </si>
  <si>
    <t>Saint Mary School - Colby-WPCP</t>
  </si>
  <si>
    <t>Saint Mary School - Luxemburg-WPCP</t>
  </si>
  <si>
    <t>Saint Mary School - Mayville-WPCP</t>
  </si>
  <si>
    <t>Saint Mary of the Assumption Catholic School-WPCP</t>
  </si>
  <si>
    <t>Saint Mary of the Immaculate Conception-WPCP</t>
  </si>
  <si>
    <t>Saint Mary's Springs Academy-WPCP</t>
  </si>
  <si>
    <t>Saint Matthew School - Oak Creek-Racine</t>
  </si>
  <si>
    <t>Saint Matthew's Evangelical Lutheran School - Stoddard-WPCP</t>
  </si>
  <si>
    <t>Saint Matthew's Lutheran School - Oconomowoc-WPCP</t>
  </si>
  <si>
    <t>Saint Matthias Parish School-Milwaukee</t>
  </si>
  <si>
    <t>Saint Matthias Parish School-WPCP</t>
  </si>
  <si>
    <t>Saint Nicholas Catholic School-WPCP</t>
  </si>
  <si>
    <t>Saint Patrick School-WPCP</t>
  </si>
  <si>
    <t>Saint Paul Lutheran Grade School - Stevens Point-WPCP</t>
  </si>
  <si>
    <t>Saint Paul Lutheran School - Appleton-WPCP</t>
  </si>
  <si>
    <t>Saint Paul Lutheran School - Bonduel-WPCP</t>
  </si>
  <si>
    <t>Saint Paul Lutheran School - Grafton-WPCP</t>
  </si>
  <si>
    <t>Saint Paul Lutheran School - Green Bay-WPCP</t>
  </si>
  <si>
    <t>Saint Paul Lutheran School - Luxemburg-WPCP</t>
  </si>
  <si>
    <t>Saint Paul Lutheran School - Sheboygan-WPCP</t>
  </si>
  <si>
    <t>Saint Paul's Evangelical Lutheran School - Ixonia-WPCP</t>
  </si>
  <si>
    <t>Saint Paul's Evangelical Lutheran School - Oconomowoc-WPCP</t>
  </si>
  <si>
    <t>Saint Paul's Evangelical Lutheran School - Onalaska-WPCP</t>
  </si>
  <si>
    <t>Saint Paul's Lutheran School - Cudahy-Milwaukee</t>
  </si>
  <si>
    <t>Saint Paul's Lutheran School - Cudahy-WPCP</t>
  </si>
  <si>
    <t>Saint Paul's Lutheran School - East Troy-WPCP</t>
  </si>
  <si>
    <t>Saint Paul's Lutheran School - Fort Atkinson-WPCP</t>
  </si>
  <si>
    <t>Saint Paul's Lutheran School - Howards Grove-WPCP</t>
  </si>
  <si>
    <t>Saint Paul's Lutheran School - Janesville-WPCP</t>
  </si>
  <si>
    <t>Saint Paul's Lutheran School - Menomonie-WPCP</t>
  </si>
  <si>
    <t>Saint Paul's Lutheran School - Muskego-Milwaukee</t>
  </si>
  <si>
    <t>Saint Paul's Lutheran School - Muskego-WPCP</t>
  </si>
  <si>
    <t>Saint Paul's Lutheran School - West Allis-Milwaukee</t>
  </si>
  <si>
    <t>Saint Paul's Lutheran School - West Allis-WPCP</t>
  </si>
  <si>
    <t>Saint Peter Immanuel Lutheran School - Milwaukee-Milwaukee</t>
  </si>
  <si>
    <t>Saint Peter Immanuel Lutheran School - Milwaukee-WPCP</t>
  </si>
  <si>
    <t>Saint Peter Lutheran School - Freedom-WPCP</t>
  </si>
  <si>
    <t>Saint Peter's Lutheran School - Helenville-WPCP</t>
  </si>
  <si>
    <t>Saint Peter's School - East Troy-WPCP</t>
  </si>
  <si>
    <t>Saint Peters Lutheran School - Reedsburg-WPCP</t>
  </si>
  <si>
    <t>Saint Philip's Lutheran School-Milwaukee</t>
  </si>
  <si>
    <t>Saint Philip's Lutheran School-WPCP</t>
  </si>
  <si>
    <t>Saint Rafael the Archangel School-Milwaukee</t>
  </si>
  <si>
    <t>Saint Rafael the Archangel School-WPCP</t>
  </si>
  <si>
    <t>Saint Roman Parish School-Milwaukee</t>
  </si>
  <si>
    <t>Saint Roman Parish School-WPCP</t>
  </si>
  <si>
    <t>Saint Rose Saint Mary's School-WPCP</t>
  </si>
  <si>
    <t>Saint Sebastian School-Milwaukee</t>
  </si>
  <si>
    <t>Saint Sebastian School-WPCP</t>
  </si>
  <si>
    <t>Saint Stephen Lutheran School-WPCP</t>
  </si>
  <si>
    <t>Saint Thomas Aquinas Academy - Marinette-WPCP</t>
  </si>
  <si>
    <t>Saint Thomas Aquinas Academy - Milwaukee-Milwaukee</t>
  </si>
  <si>
    <t>Saint Thomas Aquinas Academy - Milwaukee-WPCP</t>
  </si>
  <si>
    <t>Saint Thomas More High School-Milwaukee</t>
  </si>
  <si>
    <t>Saint Thomas More High School-WPCP</t>
  </si>
  <si>
    <t>Saint Vincent Pallotti Catholic School-Milwaukee</t>
  </si>
  <si>
    <t>Saint Vincent Pallotti Catholic School-WPCP</t>
  </si>
  <si>
    <t>Salam School-Milwaukee</t>
  </si>
  <si>
    <t>Salam School-WPCP</t>
  </si>
  <si>
    <t>Salem Evangelical Lutheran School-Milwaukee</t>
  </si>
  <si>
    <t>Salem Evangelical Lutheran School-WPCP</t>
  </si>
  <si>
    <t>Sheboygan Area Lutheran High School-WPCP</t>
  </si>
  <si>
    <t>Sheboygan Christian School-WPCP</t>
  </si>
  <si>
    <t>Shepherd of the Valley Lutheran School, Inc. - Menasha-WPCP</t>
  </si>
  <si>
    <t>Shining Star Christian Schools, Inc.-Milwaukee</t>
  </si>
  <si>
    <t>Shining Star Christian Schools, Inc.-Racine</t>
  </si>
  <si>
    <t>Shining Star Christian Schools, Inc.-WPCP</t>
  </si>
  <si>
    <t>Shoreland Lutheran High School-Milwaukee</t>
  </si>
  <si>
    <t>Shoreland Lutheran High School-Racine</t>
  </si>
  <si>
    <t>Shoreland Lutheran High School-WPCP</t>
  </si>
  <si>
    <t>Siena Catholic Schools of Racine, Inc-Racine</t>
  </si>
  <si>
    <t>Siloah Lutheran School-Milwaukee</t>
  </si>
  <si>
    <t>Star of Bethlehem Evangelical Lutheran School-Milwaukee</t>
  </si>
  <si>
    <t>Star of Bethlehem Evangelical Lutheran School-WPCP</t>
  </si>
  <si>
    <t>Stevens Point Christian Academy-WPCP</t>
  </si>
  <si>
    <t>Tamarack Waldorf School-Milwaukee</t>
  </si>
  <si>
    <t>The City School-Milwaukee</t>
  </si>
  <si>
    <t>Thorp Catholic School-WPCP</t>
  </si>
  <si>
    <t>Torah Academy of Milwaukee-Milwaukee</t>
  </si>
  <si>
    <t>Torah Academy of Milwaukee-WPCP</t>
  </si>
  <si>
    <t>Trinity Evangelical Lutheran School - Brillion-WPCP</t>
  </si>
  <si>
    <t>Trinity Lutheran School - Athens-WPCP</t>
  </si>
  <si>
    <t>Trinity Lutheran School - Caledonia-Racine</t>
  </si>
  <si>
    <t>Trinity Lutheran School - Caledonia-WPCP</t>
  </si>
  <si>
    <t>Trinity Lutheran School - Marinette-WPCP</t>
  </si>
  <si>
    <t>Trinity Lutheran School - Mequon-Milwaukee</t>
  </si>
  <si>
    <t>Trinity Lutheran School - Mequon-WPCP</t>
  </si>
  <si>
    <t>Trinity Lutheran School - Merrill-WPCP</t>
  </si>
  <si>
    <t>Trinity Lutheran School - Oshkosh-WPCP</t>
  </si>
  <si>
    <t>Trinity Lutheran School - Racine-Racine</t>
  </si>
  <si>
    <t>Trinity Lutheran School - Racine-WPCP</t>
  </si>
  <si>
    <t>Trinity Lutheran School - Sheboygan-WPCP</t>
  </si>
  <si>
    <t>Trinity Lutheran School - Waukesha-Milwaukee</t>
  </si>
  <si>
    <t>Trinity Lutheran School - Waukesha-WPCP</t>
  </si>
  <si>
    <t>Trinity Lutheran School - Wausau-WPCP</t>
  </si>
  <si>
    <t>Trinity St. Luke's Lutheran School - Watertown-WPCP</t>
  </si>
  <si>
    <t>Valley Christian School - Osceola-WPCP</t>
  </si>
  <si>
    <t>Valley Christian School - Oshkosh-WPCP</t>
  </si>
  <si>
    <t>Victory Christian Academy-Milwaukee</t>
  </si>
  <si>
    <t>Victory Christian Academy-Racine</t>
  </si>
  <si>
    <t>Victory Christian Academy-WPCP</t>
  </si>
  <si>
    <t>Waukesha Catholic School System-WPCP</t>
  </si>
  <si>
    <t>Waupaca Christian Academy-WPCP</t>
  </si>
  <si>
    <t>Westside Christian School-WPCP</t>
  </si>
  <si>
    <t>Winnebago Lutheran Academy-WPCP</t>
  </si>
  <si>
    <t>Wisconsin Academy-Milwaukee</t>
  </si>
  <si>
    <t>Wisconsin Academy-WPCP</t>
  </si>
  <si>
    <t>Wisconsin Lutheran High School - Milwaukee-Milwaukee</t>
  </si>
  <si>
    <t>Wisconsin Lutheran High School - Milwaukee-WPCP</t>
  </si>
  <si>
    <t>Wisconsin Lutheran School - Racine-Racine</t>
  </si>
  <si>
    <t>Wolf River Lutheran High School-WPCP</t>
  </si>
  <si>
    <t>Word of Life Evangelical Lutheran School-Milwaukee</t>
  </si>
  <si>
    <t>Word of Life Evangelical Lutheran School-Racine</t>
  </si>
  <si>
    <t>Word of Life Evangelical Lutheran School-WPCP</t>
  </si>
  <si>
    <t>Yeshiva Elementary School-Milwaukee</t>
  </si>
  <si>
    <t>Yeshiva Elementary School-WPCP</t>
  </si>
  <si>
    <t>Zion Lutheran School - Hartland-WPCP</t>
  </si>
  <si>
    <t>Zion Lutheran School - Menomonee Falls-Milwaukee</t>
  </si>
  <si>
    <t>Zion Lutheran School - Menomonee Falls-WPCP</t>
  </si>
  <si>
    <t>Zion Lutheran School - Wayside-WPCP</t>
  </si>
  <si>
    <r>
      <rPr>
        <b/>
        <sz val="8"/>
        <color indexed="8"/>
        <rFont val="Arial"/>
        <family val="2"/>
      </rPr>
      <t>The auditor must maintain all supporting documentation in their audit working papers for all pupils identified as ineligible for DPI review.</t>
    </r>
    <r>
      <rPr>
        <sz val="8"/>
        <color indexed="8"/>
        <rFont val="Arial"/>
        <family val="2"/>
      </rPr>
      <t xml:space="preserve"> The potential ineligibility reasons are listed on the "Ineligibility Reasons" tab. Determine ALL reasons the application is ineligible and place an "X" in each related cell to the right of Schedule 2 for each pupil. </t>
    </r>
    <r>
      <rPr>
        <i/>
        <sz val="8"/>
        <color indexed="8"/>
        <rFont val="Arial"/>
        <family val="2"/>
      </rPr>
      <t xml:space="preserve">Then resize the row so all reasons are visible. </t>
    </r>
    <r>
      <rPr>
        <sz val="8"/>
        <color indexed="8"/>
        <rFont val="Arial"/>
        <family val="2"/>
      </rPr>
      <t xml:space="preserve">If a student application is eligible but the Online Application System (OAS) requires a correction, the application should </t>
    </r>
    <r>
      <rPr>
        <b/>
        <u val="single"/>
        <sz val="8"/>
        <color indexed="8"/>
        <rFont val="Arial"/>
        <family val="2"/>
      </rPr>
      <t>not</t>
    </r>
    <r>
      <rPr>
        <sz val="8"/>
        <color indexed="8"/>
        <rFont val="Arial"/>
        <family val="2"/>
      </rPr>
      <t xml:space="preserve"> be included as ineligible on Schedule 2; but instead the pupil should be included on Schedule 3. If a waiting list pupil was determined ineligible, a "W" should be entered in the "Wait" column. There are three different versions of this document. See the Excel Instructions sheet for additional information.</t>
    </r>
  </si>
  <si>
    <t xml:space="preserve">The following pupils required a correction to the Online Application System (OAS) application, had a grade change, or required a change in the FTE. Based on our audit, these pupils meet the attendance criteria (excluding those on the waiting list) and have the required supporting documentation, and should therefore be included in the School's reported Choice enrollment count or Choice waiting list. Final determination regarding the eligibility of these pupils will be made by the DPI. The auditor must maintain a copy of all residency and income documentation in their audit working papers for all pupils identified on this schedule for DPI review. The auditor should list any changes needed to OAS in the "Required DPI Application Information Correction(s)" column. For grade, pupil first name or pupil last name changes the audited columns must be completed for the information that changed. Then resize the row so all correction reasons are visible. If a waiting list pupil is included on this schedule, a "W" should be entered in the "Wait" column. There are three different versions of this document. See the Excel Instructions sheet for additional information.
</t>
  </si>
  <si>
    <t>The following pupils are to be added to the count or waiting list. Based on our audit, these pupils meet the attendance criteria (excluding those on the waiting list) and have the required supporting documentation, and should therefore be included in the school's reported Choice enrollment count or Choice waiting list. Final determination regarding the eligibility or non-eligibility of these pupils will be made by the DPI. The auditor must maintain a copy of all residency and income documentation in their audit working papers for all pupils identified on this schedule for DPI review. Indicate if the pupil should be added to the count or if the pupil should be added to the waiting list by placing an "X" in either the Pupil Added to Count or Pupil Added to Waiting List column. Any corrections for pupils being added should be noted in the column titled "Required DPI Application Information Correction(s)." Then resize the row so all correction reasons are visible. Due to the DPI maintained waiting list, no additional pupils may be added to the count or waiting list for WPCP unless an email from DPI approving the addition is submitted with the Enrollment Audit. There are three different versions of this document. See the Excel Instructions sheet for additional information.</t>
  </si>
  <si>
    <r>
      <t xml:space="preserve">Wisconsin Department of Public Instruction
</t>
    </r>
    <r>
      <rPr>
        <b/>
        <sz val="8"/>
        <color indexed="8"/>
        <rFont val="Arial"/>
        <family val="2"/>
      </rPr>
      <t>PRIVATE SCHOOL CHOICE PROGRAMS
ENROLLMENT AUDIT FOR FEBRUARY AND MAY 2022
PAYMENT ELIGIBILITY AS OF JANUARY 14, 2022</t>
    </r>
    <r>
      <rPr>
        <sz val="8"/>
        <color indexed="8"/>
        <rFont val="Arial"/>
        <family val="2"/>
      </rPr>
      <t xml:space="preserve">
PI-PCP-106 (5 Lines) (Rev 03-22)</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</si>
</sst>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0.0"/>
    <numFmt numFmtId="174" formatCode="&quot;$&quot;#,##0.00"/>
    <numFmt numFmtId="175" formatCode="[&lt;=9999999]###\-####;\(###\)\ ###\-####"/>
    <numFmt numFmtId="176" formatCode="_(* #,##0.0_);_(* \(#,##0.0\);_(* &quot;-&quot;?_);_(@_)"/>
    <numFmt numFmtId="177" formatCode="_(&quot;$&quot;* #,##0.0_);_(&quot;$&quot;* \(#,##0.0\);_(&quot;$&quot;* &quot;-&quot;??_);_(@_)"/>
    <numFmt numFmtId="178" formatCode="_(&quot;$&quot;* #,##0_);_(&quot;$&quot;* \(#,##0\);_(&quot;$&quot;* &quot;-&quot;??_);_(@_)"/>
    <numFmt numFmtId="179" formatCode="[$-409]dddd\,\ mmmm\ dd\,\ yyyy"/>
    <numFmt numFmtId="180" formatCode="#,##0.000"/>
    <numFmt numFmtId="181" formatCode="#,##0.0000"/>
    <numFmt numFmtId="182" formatCode="_(&quot;$&quot;* #,##0.000_);_(&quot;$&quot;* \(#,##0.000\);_(&quot;$&quot;* &quot;-&quot;??_);_(@_)"/>
    <numFmt numFmtId="183" formatCode="[$-409]h:mm:ss\ AM/PM"/>
    <numFmt numFmtId="184" formatCode="[$-409]dddd\,\ mmmm\ d\,\ yyyy"/>
    <numFmt numFmtId="185" formatCode="0.000"/>
    <numFmt numFmtId="186" formatCode="_(* #,##0.000_);_(* \(#,##0.000\);_(* &quot;-&quot;??_);_(@_)"/>
  </numFmts>
  <fonts count="81">
    <font>
      <sz val="11"/>
      <color theme="1"/>
      <name val="Calibri"/>
      <family val="2"/>
    </font>
    <font>
      <sz val="11"/>
      <color indexed="8"/>
      <name val="Calibri"/>
      <family val="2"/>
    </font>
    <font>
      <sz val="10"/>
      <name val="Arial"/>
      <family val="2"/>
    </font>
    <font>
      <b/>
      <sz val="8"/>
      <color indexed="8"/>
      <name val="Arial"/>
      <family val="2"/>
    </font>
    <font>
      <sz val="8"/>
      <color indexed="8"/>
      <name val="Arial"/>
      <family val="2"/>
    </font>
    <font>
      <b/>
      <sz val="8"/>
      <name val="Arial"/>
      <family val="2"/>
    </font>
    <font>
      <sz val="8"/>
      <name val="Arial"/>
      <family val="2"/>
    </font>
    <font>
      <b/>
      <sz val="8"/>
      <color indexed="40"/>
      <name val="Arial"/>
      <family val="2"/>
    </font>
    <font>
      <i/>
      <sz val="8"/>
      <name val="Arial"/>
      <family val="2"/>
    </font>
    <font>
      <sz val="10"/>
      <name val="Times New Roman"/>
      <family val="1"/>
    </font>
    <font>
      <i/>
      <sz val="8"/>
      <color indexed="8"/>
      <name val="Arial"/>
      <family val="2"/>
    </font>
    <font>
      <b/>
      <i/>
      <sz val="8"/>
      <color indexed="8"/>
      <name val="Arial"/>
      <family val="2"/>
    </font>
    <font>
      <sz val="8"/>
      <color indexed="11"/>
      <name val="Arial"/>
      <family val="2"/>
    </font>
    <font>
      <b/>
      <u val="single"/>
      <sz val="8"/>
      <color indexed="8"/>
      <name val="Arial"/>
      <family val="2"/>
    </font>
    <font>
      <b/>
      <sz val="8"/>
      <color indexed="62"/>
      <name val="Arial"/>
      <family val="2"/>
    </font>
    <font>
      <b/>
      <sz val="9"/>
      <color indexed="8"/>
      <name val="Arial"/>
      <family val="2"/>
    </font>
    <font>
      <sz val="9"/>
      <color indexed="8"/>
      <name val="Arial"/>
      <family val="2"/>
    </font>
    <font>
      <b/>
      <sz val="8"/>
      <color indexed="11"/>
      <name val="Arial"/>
      <family val="2"/>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3"/>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8"/>
      <color indexed="10"/>
      <name val="Arial"/>
      <family val="2"/>
    </font>
    <font>
      <sz val="10"/>
      <color indexed="8"/>
      <name val="Times New Roman"/>
      <family val="1"/>
    </font>
    <font>
      <u val="single"/>
      <sz val="10"/>
      <color indexed="8"/>
      <name val="Arial"/>
      <family val="2"/>
    </font>
    <font>
      <b/>
      <sz val="8"/>
      <color indexed="56"/>
      <name val="Arial"/>
      <family val="2"/>
    </font>
    <font>
      <u val="single"/>
      <sz val="8"/>
      <color indexed="8"/>
      <name val="Arial"/>
      <family val="2"/>
    </font>
    <font>
      <b/>
      <i/>
      <sz val="11"/>
      <color indexed="8"/>
      <name val="Calibri"/>
      <family val="2"/>
    </font>
    <font>
      <sz val="8"/>
      <name val="Segoe UI"/>
      <family val="2"/>
    </font>
    <font>
      <b/>
      <u val="single"/>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
      <sz val="10"/>
      <color theme="1"/>
      <name val="Arial"/>
      <family val="2"/>
    </font>
    <font>
      <sz val="8"/>
      <color theme="1"/>
      <name val="Arial"/>
      <family val="2"/>
    </font>
    <font>
      <sz val="8"/>
      <color rgb="FFFF0000"/>
      <name val="Arial"/>
      <family val="2"/>
    </font>
    <font>
      <b/>
      <sz val="8"/>
      <color theme="1"/>
      <name val="Arial"/>
      <family val="2"/>
    </font>
    <font>
      <sz val="10"/>
      <color theme="1"/>
      <name val="Times New Roman"/>
      <family val="1"/>
    </font>
    <font>
      <u val="single"/>
      <sz val="10"/>
      <color theme="1"/>
      <name val="Arial"/>
      <family val="2"/>
    </font>
    <font>
      <b/>
      <sz val="8"/>
      <color rgb="FF002060"/>
      <name val="Arial"/>
      <family val="2"/>
    </font>
    <font>
      <b/>
      <u val="single"/>
      <sz val="8"/>
      <color theme="1"/>
      <name val="Arial"/>
      <family val="2"/>
    </font>
    <font>
      <b/>
      <sz val="8"/>
      <color rgb="FF00B0F0"/>
      <name val="Arial"/>
      <family val="2"/>
    </font>
    <font>
      <u val="single"/>
      <sz val="8"/>
      <color theme="1"/>
      <name val="Arial"/>
      <family val="2"/>
    </font>
    <font>
      <b/>
      <i/>
      <sz val="11"/>
      <color theme="1"/>
      <name val="Calibri"/>
      <family val="2"/>
    </font>
    <font>
      <b/>
      <sz val="10"/>
      <color theme="1"/>
      <name val="Arial"/>
      <family val="2"/>
    </font>
    <font>
      <b/>
      <sz val="9"/>
      <color theme="1"/>
      <name val="Arial"/>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bgColor indexed="64"/>
      </patternFill>
    </fill>
    <fill>
      <patternFill patternType="solid">
        <fgColor rgb="FFFFFF99"/>
        <bgColor indexed="64"/>
      </patternFill>
    </fill>
    <fill>
      <patternFill patternType="solid">
        <fgColor rgb="FFCCEC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04997999966144562"/>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style="thin"/>
      <right style="thin"/>
      <top/>
      <bottom style="thin"/>
    </border>
    <border>
      <left style="medium"/>
      <right style="thin"/>
      <top>
        <color indexed="63"/>
      </top>
      <bottom style="thin"/>
    </border>
    <border>
      <left style="thin"/>
      <right style="medium"/>
      <top>
        <color indexed="63"/>
      </top>
      <bottom style="thin"/>
    </border>
    <border>
      <left>
        <color indexed="63"/>
      </left>
      <right>
        <color indexed="63"/>
      </right>
      <top style="double"/>
      <bottom style="thin"/>
    </border>
    <border>
      <left/>
      <right style="thin"/>
      <top style="thin"/>
      <bottom style="thin"/>
    </border>
    <border>
      <left/>
      <right style="thin"/>
      <top style="thin"/>
      <bottom/>
    </border>
    <border>
      <left/>
      <right style="thin"/>
      <top style="medium"/>
      <bottom style="double"/>
    </border>
    <border>
      <left style="thin"/>
      <right style="thin"/>
      <top style="thin"/>
      <bottom style="thin"/>
    </border>
    <border>
      <left style="thin"/>
      <right style="thin"/>
      <top style="thin"/>
      <bottom/>
    </border>
    <border>
      <left>
        <color indexed="63"/>
      </left>
      <right>
        <color indexed="63"/>
      </right>
      <top>
        <color indexed="63"/>
      </top>
      <bottom style="double"/>
    </border>
    <border>
      <left/>
      <right style="thin"/>
      <top style="thin"/>
      <bottom style="medium"/>
    </border>
    <border>
      <left/>
      <right style="thin"/>
      <top style="medium"/>
      <bottom style="medium"/>
    </border>
    <border>
      <left>
        <color indexed="63"/>
      </left>
      <right style="thin"/>
      <top>
        <color indexed="63"/>
      </top>
      <bottom style="double"/>
    </border>
    <border>
      <left style="thin"/>
      <right>
        <color indexed="63"/>
      </right>
      <top>
        <color indexed="63"/>
      </top>
      <bottom style="double"/>
    </border>
    <border>
      <left style="thin"/>
      <right/>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color indexed="63"/>
      </left>
      <right>
        <color indexed="63"/>
      </right>
      <top style="double"/>
      <bottom>
        <color indexed="63"/>
      </bottom>
    </border>
    <border>
      <left style="thin"/>
      <right/>
      <top style="thin"/>
      <bottom/>
    </border>
    <border>
      <left/>
      <right style="thin"/>
      <top>
        <color indexed="63"/>
      </top>
      <bottom style="medium"/>
    </border>
    <border>
      <left/>
      <right style="thin"/>
      <top/>
      <bottom style="thin"/>
    </border>
    <border>
      <left style="thin"/>
      <right/>
      <top style="medium"/>
      <bottom style="medium"/>
    </border>
    <border>
      <left/>
      <right/>
      <top/>
      <bottom style="thin"/>
    </border>
    <border>
      <left style="thin"/>
      <right/>
      <top/>
      <bottom style="thin"/>
    </border>
    <border>
      <left style="thin"/>
      <right/>
      <top style="thin"/>
      <bottom style="double"/>
    </border>
    <border>
      <left style="thin"/>
      <right style="medium"/>
      <top>
        <color indexed="63"/>
      </top>
      <bottom style="medium"/>
    </border>
    <border>
      <left style="medium"/>
      <right style="thin"/>
      <top style="medium"/>
      <bottom style="medium"/>
    </border>
    <border>
      <left style="thin"/>
      <right style="medium"/>
      <top style="medium"/>
      <bottom style="medium"/>
    </border>
    <border>
      <left style="medium"/>
      <right style="thin"/>
      <top style="medium"/>
      <bottom style="double"/>
    </border>
    <border>
      <left>
        <color indexed="63"/>
      </left>
      <right/>
      <top>
        <color indexed="63"/>
      </top>
      <bottom style="medium"/>
    </border>
    <border>
      <left/>
      <right>
        <color indexed="63"/>
      </right>
      <top style="thin"/>
      <bottom style="thin"/>
    </border>
    <border>
      <left/>
      <right>
        <color indexed="63"/>
      </right>
      <top style="thin"/>
      <bottom style="medium"/>
    </border>
    <border>
      <left style="thin"/>
      <right/>
      <top style="double"/>
      <bottom>
        <color indexed="63"/>
      </bottom>
    </border>
    <border>
      <left/>
      <right/>
      <top style="medium"/>
      <bottom style="double"/>
    </border>
    <border>
      <left>
        <color indexed="63"/>
      </left>
      <right style="medium"/>
      <top>
        <color indexed="63"/>
      </top>
      <bottom>
        <color indexed="63"/>
      </bottom>
    </border>
    <border>
      <left>
        <color indexed="63"/>
      </left>
      <right style="medium"/>
      <top/>
      <bottom style="medium"/>
    </border>
    <border>
      <left/>
      <right style="thin"/>
      <top style="thin"/>
      <bottom style="double"/>
    </border>
    <border>
      <left/>
      <right style="thin"/>
      <top>
        <color indexed="63"/>
      </top>
      <bottom/>
    </border>
    <border>
      <left style="thin"/>
      <right style="thin"/>
      <top>
        <color indexed="63"/>
      </top>
      <bottom>
        <color indexed="63"/>
      </bottom>
    </border>
    <border>
      <left style="thin"/>
      <right style="thin"/>
      <top style="thin"/>
      <bottom style="double"/>
    </border>
    <border>
      <left/>
      <right>
        <color indexed="63"/>
      </right>
      <top style="thin"/>
      <bottom style="double"/>
    </border>
    <border>
      <left style="thin">
        <color rgb="FF000000"/>
      </left>
      <right style="thin">
        <color rgb="FF000000"/>
      </right>
      <top style="thin">
        <color rgb="FF000000"/>
      </top>
      <bottom style="thin">
        <color rgb="FF000000"/>
      </bottom>
    </border>
    <border>
      <left>
        <color indexed="63"/>
      </left>
      <right>
        <color indexed="63"/>
      </right>
      <top style="double"/>
      <bottom style="double"/>
    </border>
    <border>
      <left style="thin"/>
      <right style="thin"/>
      <top style="medium"/>
      <bottom style="double"/>
    </border>
    <border>
      <left style="thin"/>
      <right/>
      <top style="medium"/>
      <bottom style="double"/>
    </border>
    <border>
      <left/>
      <right style="thin"/>
      <top style="double"/>
      <bottom/>
    </border>
    <border>
      <left/>
      <right style="thin"/>
      <top style="double"/>
      <bottom style="thin"/>
    </border>
    <border>
      <left style="medium"/>
      <right style="medium"/>
      <top style="medium"/>
      <bottom style="medium"/>
    </border>
    <border>
      <left style="thin"/>
      <right style="thin"/>
      <top>
        <color indexed="63"/>
      </top>
      <bottom style="medium"/>
    </border>
    <border>
      <left style="thin"/>
      <right style="thin"/>
      <top/>
      <bottom style="double"/>
    </border>
    <border>
      <left style="thin"/>
      <right style="medium"/>
      <top style="thin"/>
      <bottom/>
    </border>
    <border>
      <left style="thin"/>
      <right style="medium"/>
      <top style="medium"/>
      <bottom style="double"/>
    </border>
    <border>
      <left style="medium"/>
      <right/>
      <top style="medium"/>
      <bottom style="double"/>
    </border>
    <border>
      <left style="thin"/>
      <right/>
      <top style="double"/>
      <bottom style="thin"/>
    </border>
    <border>
      <left>
        <color indexed="63"/>
      </left>
      <right>
        <color indexed="63"/>
      </right>
      <top style="medium"/>
      <bottom style="medium"/>
    </border>
    <border>
      <left style="medium"/>
      <right style="thin"/>
      <top>
        <color indexed="63"/>
      </top>
      <bottom style="double"/>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style="thin">
        <color rgb="FF000000"/>
      </top>
      <bottom>
        <color indexed="63"/>
      </bottom>
    </border>
    <border>
      <left>
        <color indexed="63"/>
      </left>
      <right>
        <color indexed="63"/>
      </right>
      <top style="medium"/>
      <bottom>
        <color indexed="63"/>
      </bottom>
    </border>
    <border>
      <left style="medium"/>
      <right style="medium"/>
      <top>
        <color indexed="63"/>
      </top>
      <bottom style="medium"/>
    </border>
    <border>
      <left style="medium"/>
      <right style="thin">
        <color rgb="FF000000"/>
      </right>
      <top>
        <color indexed="63"/>
      </top>
      <bottom>
        <color indexed="63"/>
      </bottom>
    </border>
    <border>
      <left style="thin">
        <color rgb="FF000000"/>
      </left>
      <right style="medium"/>
      <top>
        <color indexed="63"/>
      </top>
      <bottom>
        <color indexed="63"/>
      </bottom>
    </border>
    <border>
      <left/>
      <right/>
      <top style="thin"/>
      <bottom/>
    </border>
    <border>
      <left style="medium"/>
      <right>
        <color indexed="63"/>
      </right>
      <top>
        <color indexed="63"/>
      </top>
      <bottom>
        <color indexed="63"/>
      </bottom>
    </border>
    <border>
      <left style="medium"/>
      <right>
        <color indexed="63"/>
      </right>
      <top style="double"/>
      <bottom>
        <color indexed="63"/>
      </bottom>
    </border>
    <border>
      <left>
        <color indexed="63"/>
      </left>
      <right style="medium"/>
      <top style="double"/>
      <bottom>
        <color indexed="63"/>
      </bottom>
    </border>
    <border>
      <left style="thin"/>
      <right style="thin"/>
      <top style="double"/>
      <bottom style="thin"/>
    </border>
    <border>
      <left/>
      <right style="medium"/>
      <top style="double"/>
      <bottom style="thin"/>
    </border>
    <border>
      <left style="medium"/>
      <right style="medium"/>
      <top style="double"/>
      <bottom style="thin"/>
    </border>
    <border>
      <left>
        <color indexed="63"/>
      </left>
      <right>
        <color indexed="63"/>
      </right>
      <top style="double"/>
      <bottom style="medium"/>
    </border>
    <border>
      <left style="medium"/>
      <right>
        <color indexed="63"/>
      </right>
      <top style="medium"/>
      <bottom style="thin"/>
    </border>
    <border>
      <left/>
      <right style="medium"/>
      <top style="medium"/>
      <bottom style="thin"/>
    </border>
    <border>
      <left/>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pplyBorder="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4" fontId="2" fillId="32" borderId="9">
      <alignment horizontal="left" vertical="center"/>
      <protection locked="0"/>
    </xf>
    <xf numFmtId="0" fontId="62" fillId="0" borderId="0" applyNumberFormat="0" applyFill="0" applyBorder="0" applyAlignment="0" applyProtection="0"/>
    <xf numFmtId="0" fontId="63" fillId="0" borderId="10" applyNumberFormat="0" applyFill="0" applyAlignment="0" applyProtection="0"/>
    <xf numFmtId="0" fontId="64" fillId="0" borderId="0" applyNumberFormat="0" applyFill="0" applyBorder="0" applyAlignment="0" applyProtection="0"/>
  </cellStyleXfs>
  <cellXfs count="590">
    <xf numFmtId="0" fontId="0" fillId="0" borderId="0" xfId="0" applyFont="1" applyAlignment="1">
      <alignment/>
    </xf>
    <xf numFmtId="0" fontId="65" fillId="0" borderId="0" xfId="0" applyFont="1" applyAlignment="1">
      <alignment horizontal="left" readingOrder="1"/>
    </xf>
    <xf numFmtId="0" fontId="66" fillId="0" borderId="0" xfId="0" applyFont="1" applyAlignment="1">
      <alignment horizontal="left" readingOrder="1"/>
    </xf>
    <xf numFmtId="0" fontId="67" fillId="0" borderId="0" xfId="0" applyFont="1" applyAlignment="1" applyProtection="1">
      <alignment/>
      <protection/>
    </xf>
    <xf numFmtId="0" fontId="68" fillId="0" borderId="0" xfId="0" applyFont="1" applyAlignment="1" applyProtection="1">
      <alignment/>
      <protection/>
    </xf>
    <xf numFmtId="0" fontId="68" fillId="0" borderId="0" xfId="0" applyFont="1" applyAlignment="1" applyProtection="1">
      <alignment horizontal="right"/>
      <protection/>
    </xf>
    <xf numFmtId="0" fontId="69" fillId="0" borderId="0" xfId="0" applyFont="1" applyAlignment="1" applyProtection="1">
      <alignment/>
      <protection/>
    </xf>
    <xf numFmtId="0" fontId="68" fillId="0" borderId="0" xfId="0" applyFont="1" applyFill="1" applyBorder="1" applyAlignment="1" applyProtection="1">
      <alignment/>
      <protection/>
    </xf>
    <xf numFmtId="0" fontId="68" fillId="0" borderId="0" xfId="0" applyFont="1" applyAlignment="1" applyProtection="1">
      <alignment horizontal="left" vertical="center" wrapText="1"/>
      <protection/>
    </xf>
    <xf numFmtId="0" fontId="68" fillId="0" borderId="0" xfId="0" applyFont="1" applyAlignment="1" applyProtection="1">
      <alignment/>
      <protection/>
    </xf>
    <xf numFmtId="0" fontId="67" fillId="0" borderId="0" xfId="0" applyFont="1" applyFill="1" applyAlignment="1" applyProtection="1">
      <alignment horizontal="justify"/>
      <protection/>
    </xf>
    <xf numFmtId="0" fontId="70" fillId="0" borderId="11" xfId="0" applyFont="1" applyBorder="1" applyAlignment="1" applyProtection="1">
      <alignment horizontal="center"/>
      <protection/>
    </xf>
    <xf numFmtId="0" fontId="70" fillId="0" borderId="12" xfId="0" applyFont="1" applyBorder="1" applyAlignment="1" applyProtection="1">
      <alignment horizontal="center"/>
      <protection/>
    </xf>
    <xf numFmtId="0" fontId="70" fillId="0" borderId="13" xfId="0" applyFont="1" applyBorder="1" applyAlignment="1" applyProtection="1">
      <alignment horizontal="center"/>
      <protection/>
    </xf>
    <xf numFmtId="0" fontId="68" fillId="0" borderId="0" xfId="0" applyFont="1" applyAlignment="1" applyProtection="1">
      <alignment wrapText="1"/>
      <protection/>
    </xf>
    <xf numFmtId="0" fontId="67" fillId="0" borderId="0" xfId="0" applyFont="1" applyAlignment="1">
      <alignment/>
    </xf>
    <xf numFmtId="0" fontId="68" fillId="33" borderId="14" xfId="0" applyFont="1" applyFill="1" applyBorder="1" applyAlignment="1" applyProtection="1">
      <alignment/>
      <protection/>
    </xf>
    <xf numFmtId="0" fontId="5" fillId="33" borderId="14" xfId="0" applyFont="1" applyFill="1" applyBorder="1" applyAlignment="1" applyProtection="1">
      <alignment horizontal="center"/>
      <protection/>
    </xf>
    <xf numFmtId="0" fontId="5" fillId="34" borderId="14" xfId="0" applyFont="1" applyFill="1" applyBorder="1" applyAlignment="1" applyProtection="1">
      <alignment horizontal="center" vertical="center"/>
      <protection/>
    </xf>
    <xf numFmtId="0" fontId="68" fillId="0" borderId="0" xfId="59" applyFont="1" applyProtection="1">
      <alignment/>
      <protection/>
    </xf>
    <xf numFmtId="0" fontId="67" fillId="0" borderId="0" xfId="59" applyFont="1" applyProtection="1">
      <alignment/>
      <protection/>
    </xf>
    <xf numFmtId="0" fontId="68" fillId="0" borderId="0" xfId="0" applyFont="1" applyAlignment="1" applyProtection="1">
      <alignment vertical="center"/>
      <protection/>
    </xf>
    <xf numFmtId="0" fontId="68" fillId="33" borderId="14" xfId="0" applyFont="1" applyFill="1" applyBorder="1" applyAlignment="1" applyProtection="1">
      <alignment horizontal="center" vertical="center"/>
      <protection/>
    </xf>
    <xf numFmtId="0" fontId="68" fillId="0" borderId="15" xfId="0" applyFont="1" applyBorder="1" applyAlignment="1" applyProtection="1">
      <alignment horizontal="center" vertical="center"/>
      <protection/>
    </xf>
    <xf numFmtId="0" fontId="68" fillId="0" borderId="16" xfId="0" applyFont="1" applyBorder="1" applyAlignment="1" applyProtection="1">
      <alignment horizontal="center" vertical="center"/>
      <protection/>
    </xf>
    <xf numFmtId="0" fontId="68" fillId="0" borderId="17" xfId="0" applyFont="1" applyBorder="1" applyAlignment="1" applyProtection="1">
      <alignment horizontal="center" vertical="center"/>
      <protection/>
    </xf>
    <xf numFmtId="0" fontId="71" fillId="32" borderId="15" xfId="0" applyFont="1" applyFill="1" applyBorder="1" applyAlignment="1" applyProtection="1">
      <alignment horizontal="center" vertical="center" wrapText="1"/>
      <protection locked="0"/>
    </xf>
    <xf numFmtId="0" fontId="71" fillId="32" borderId="18" xfId="0" applyFont="1" applyFill="1" applyBorder="1" applyAlignment="1" applyProtection="1">
      <alignment horizontal="center" vertical="center" wrapText="1"/>
      <protection locked="0"/>
    </xf>
    <xf numFmtId="0" fontId="71" fillId="32" borderId="18" xfId="0" applyFont="1" applyFill="1" applyBorder="1" applyAlignment="1" applyProtection="1">
      <alignment vertical="center" wrapText="1"/>
      <protection locked="0"/>
    </xf>
    <xf numFmtId="0" fontId="71" fillId="34" borderId="18" xfId="0" applyFont="1" applyFill="1" applyBorder="1" applyAlignment="1" applyProtection="1">
      <alignment vertical="center" wrapText="1"/>
      <protection/>
    </xf>
    <xf numFmtId="0" fontId="71" fillId="0" borderId="0" xfId="0" applyFont="1" applyAlignment="1" applyProtection="1">
      <alignment vertical="center"/>
      <protection/>
    </xf>
    <xf numFmtId="0" fontId="71" fillId="32" borderId="16" xfId="0" applyFont="1" applyFill="1" applyBorder="1" applyAlignment="1" applyProtection="1">
      <alignment horizontal="center" vertical="center" wrapText="1"/>
      <protection locked="0"/>
    </xf>
    <xf numFmtId="0" fontId="71" fillId="32" borderId="19" xfId="0" applyFont="1" applyFill="1" applyBorder="1" applyAlignment="1" applyProtection="1">
      <alignment horizontal="center" vertical="center" wrapText="1"/>
      <protection locked="0"/>
    </xf>
    <xf numFmtId="0" fontId="71" fillId="32" borderId="19" xfId="0" applyFont="1" applyFill="1" applyBorder="1" applyAlignment="1" applyProtection="1">
      <alignment vertical="center" wrapText="1"/>
      <protection locked="0"/>
    </xf>
    <xf numFmtId="44" fontId="70" fillId="0" borderId="0" xfId="46" applyFont="1" applyFill="1" applyBorder="1" applyAlignment="1" applyProtection="1">
      <alignment vertical="center"/>
      <protection/>
    </xf>
    <xf numFmtId="0" fontId="67" fillId="0" borderId="0" xfId="0" applyFont="1" applyFill="1" applyAlignment="1" applyProtection="1">
      <alignment horizontal="justify" vertical="top"/>
      <protection/>
    </xf>
    <xf numFmtId="0" fontId="72" fillId="0" borderId="0" xfId="0" applyFont="1" applyAlignment="1" applyProtection="1">
      <alignment horizontal="center"/>
      <protection/>
    </xf>
    <xf numFmtId="0" fontId="67" fillId="0" borderId="0" xfId="0" applyFont="1" applyAlignment="1" applyProtection="1">
      <alignment/>
      <protection/>
    </xf>
    <xf numFmtId="0" fontId="67" fillId="0" borderId="0" xfId="0" applyFont="1" applyAlignment="1" applyProtection="1">
      <alignment vertical="center"/>
      <protection/>
    </xf>
    <xf numFmtId="0" fontId="68" fillId="34" borderId="0" xfId="0" applyFont="1" applyFill="1" applyAlignment="1" applyProtection="1">
      <alignment/>
      <protection/>
    </xf>
    <xf numFmtId="0" fontId="68" fillId="0" borderId="20" xfId="0" applyFont="1" applyBorder="1" applyAlignment="1" applyProtection="1">
      <alignment horizontal="left" vertical="center"/>
      <protection/>
    </xf>
    <xf numFmtId="0" fontId="70" fillId="0" borderId="0" xfId="0" applyFont="1" applyAlignment="1" applyProtection="1">
      <alignment/>
      <protection/>
    </xf>
    <xf numFmtId="0" fontId="68" fillId="0" borderId="20" xfId="0" applyFont="1" applyBorder="1" applyAlignment="1" applyProtection="1">
      <alignment/>
      <protection/>
    </xf>
    <xf numFmtId="0" fontId="68" fillId="35" borderId="9" xfId="0" applyFont="1" applyFill="1" applyBorder="1" applyAlignment="1" applyProtection="1">
      <alignment vertical="center"/>
      <protection locked="0"/>
    </xf>
    <xf numFmtId="0" fontId="68" fillId="0" borderId="0" xfId="0" applyFont="1" applyBorder="1" applyAlignment="1" applyProtection="1">
      <alignment/>
      <protection/>
    </xf>
    <xf numFmtId="0" fontId="68" fillId="0" borderId="21" xfId="0" applyFont="1" applyBorder="1" applyAlignment="1" applyProtection="1">
      <alignment horizontal="center" vertical="center"/>
      <protection/>
    </xf>
    <xf numFmtId="0" fontId="68" fillId="0" borderId="22" xfId="0" applyFont="1" applyBorder="1" applyAlignment="1" applyProtection="1">
      <alignment horizontal="center" vertical="center"/>
      <protection/>
    </xf>
    <xf numFmtId="0" fontId="68" fillId="0" borderId="23" xfId="0" applyFont="1" applyBorder="1" applyAlignment="1" applyProtection="1">
      <alignment horizontal="center" vertical="center"/>
      <protection/>
    </xf>
    <xf numFmtId="0" fontId="68" fillId="0" borderId="0" xfId="0" applyFont="1" applyBorder="1" applyAlignment="1" applyProtection="1">
      <alignment vertical="center"/>
      <protection/>
    </xf>
    <xf numFmtId="37" fontId="70" fillId="36" borderId="24" xfId="42" applyNumberFormat="1" applyFont="1" applyFill="1" applyBorder="1" applyAlignment="1" applyProtection="1">
      <alignment vertical="center"/>
      <protection/>
    </xf>
    <xf numFmtId="173" fontId="68" fillId="0" borderId="25" xfId="0" applyNumberFormat="1" applyFont="1" applyBorder="1" applyAlignment="1" applyProtection="1">
      <alignment vertical="center"/>
      <protection/>
    </xf>
    <xf numFmtId="173" fontId="68" fillId="0" borderId="9" xfId="0" applyNumberFormat="1" applyFont="1" applyBorder="1" applyAlignment="1" applyProtection="1">
      <alignment vertical="center"/>
      <protection/>
    </xf>
    <xf numFmtId="3" fontId="71" fillId="32" borderId="18" xfId="0" applyNumberFormat="1" applyFont="1" applyFill="1" applyBorder="1" applyAlignment="1" applyProtection="1">
      <alignment vertical="center"/>
      <protection locked="0"/>
    </xf>
    <xf numFmtId="3" fontId="71" fillId="32" borderId="19" xfId="0" applyNumberFormat="1" applyFont="1" applyFill="1" applyBorder="1" applyAlignment="1" applyProtection="1">
      <alignment vertical="center"/>
      <protection locked="0"/>
    </xf>
    <xf numFmtId="0" fontId="71" fillId="32" borderId="18" xfId="0" applyFont="1" applyFill="1" applyBorder="1" applyAlignment="1" applyProtection="1">
      <alignment horizontal="center" vertical="center"/>
      <protection locked="0"/>
    </xf>
    <xf numFmtId="0" fontId="71" fillId="32" borderId="26" xfId="0" applyFont="1" applyFill="1" applyBorder="1" applyAlignment="1" applyProtection="1">
      <alignment horizontal="center" vertical="center"/>
      <protection locked="0"/>
    </xf>
    <xf numFmtId="0" fontId="71" fillId="32" borderId="27" xfId="0" applyFont="1" applyFill="1" applyBorder="1" applyAlignment="1" applyProtection="1">
      <alignment horizontal="center" vertical="center"/>
      <protection locked="0"/>
    </xf>
    <xf numFmtId="0" fontId="71" fillId="32" borderId="28" xfId="0" applyFont="1" applyFill="1" applyBorder="1" applyAlignment="1" applyProtection="1">
      <alignment horizontal="center" vertical="center"/>
      <protection locked="0"/>
    </xf>
    <xf numFmtId="0" fontId="71" fillId="32" borderId="29" xfId="0" applyFont="1" applyFill="1" applyBorder="1" applyAlignment="1" applyProtection="1">
      <alignment horizontal="center" vertical="center"/>
      <protection locked="0"/>
    </xf>
    <xf numFmtId="0" fontId="71" fillId="32" borderId="30" xfId="0" applyFont="1" applyFill="1" applyBorder="1" applyAlignment="1" applyProtection="1">
      <alignment horizontal="center" vertical="center"/>
      <protection locked="0"/>
    </xf>
    <xf numFmtId="0" fontId="71" fillId="32" borderId="31" xfId="0" applyFont="1" applyFill="1" applyBorder="1" applyAlignment="1" applyProtection="1">
      <alignment horizontal="center" vertical="center"/>
      <protection locked="0"/>
    </xf>
    <xf numFmtId="0" fontId="68" fillId="35" borderId="30" xfId="0" applyFont="1" applyFill="1" applyBorder="1" applyAlignment="1" applyProtection="1">
      <alignment vertical="center"/>
      <protection locked="0"/>
    </xf>
    <xf numFmtId="0" fontId="70" fillId="0" borderId="32" xfId="0" applyFont="1" applyFill="1" applyBorder="1" applyAlignment="1" applyProtection="1">
      <alignment horizontal="center"/>
      <protection/>
    </xf>
    <xf numFmtId="0" fontId="70" fillId="0" borderId="0" xfId="0" applyFont="1" applyAlignment="1" applyProtection="1" quotePrefix="1">
      <alignment horizontal="center"/>
      <protection/>
    </xf>
    <xf numFmtId="0" fontId="70" fillId="0" borderId="0" xfId="0" applyFont="1" applyAlignment="1" applyProtection="1">
      <alignment horizontal="center"/>
      <protection/>
    </xf>
    <xf numFmtId="0" fontId="71" fillId="32" borderId="9" xfId="0" applyFont="1" applyFill="1" applyBorder="1" applyAlignment="1" applyProtection="1">
      <alignment horizontal="center" vertical="center"/>
      <protection locked="0"/>
    </xf>
    <xf numFmtId="0" fontId="6" fillId="34" borderId="0" xfId="61" applyFont="1" applyFill="1" applyAlignment="1">
      <alignment vertical="center"/>
      <protection/>
    </xf>
    <xf numFmtId="0" fontId="6" fillId="34" borderId="0" xfId="61" applyFont="1" applyFill="1" applyAlignment="1" applyProtection="1">
      <alignment vertical="center"/>
      <protection/>
    </xf>
    <xf numFmtId="0" fontId="6" fillId="34" borderId="0" xfId="61" applyFont="1" applyFill="1" applyBorder="1" applyAlignment="1">
      <alignment vertical="center"/>
      <protection/>
    </xf>
    <xf numFmtId="0" fontId="12" fillId="34" borderId="0" xfId="61" applyFont="1" applyFill="1" applyBorder="1" applyAlignment="1">
      <alignment vertical="center"/>
      <protection/>
    </xf>
    <xf numFmtId="0" fontId="12" fillId="34" borderId="0" xfId="61" applyFont="1" applyFill="1" applyAlignment="1">
      <alignment vertical="center"/>
      <protection/>
    </xf>
    <xf numFmtId="0" fontId="5" fillId="36" borderId="0" xfId="61" applyFont="1" applyFill="1" applyAlignment="1" applyProtection="1">
      <alignment horizontal="center" vertical="center"/>
      <protection/>
    </xf>
    <xf numFmtId="0" fontId="6" fillId="34" borderId="0" xfId="61" applyFont="1" applyFill="1" applyAlignment="1">
      <alignment horizontal="left" vertical="center" indent="1"/>
      <protection/>
    </xf>
    <xf numFmtId="0" fontId="6" fillId="0" borderId="0" xfId="61" applyFont="1" applyFill="1" applyAlignment="1">
      <alignment vertical="center"/>
      <protection/>
    </xf>
    <xf numFmtId="0" fontId="6" fillId="0" borderId="0" xfId="61" applyFont="1" applyAlignment="1">
      <alignment horizontal="center" vertical="center"/>
      <protection/>
    </xf>
    <xf numFmtId="0" fontId="6" fillId="34" borderId="0" xfId="61" applyFont="1" applyFill="1" applyAlignment="1">
      <alignment horizontal="center" vertical="center"/>
      <protection/>
    </xf>
    <xf numFmtId="0" fontId="2" fillId="34" borderId="0" xfId="61" applyFill="1" applyAlignment="1">
      <alignment vertical="center"/>
      <protection/>
    </xf>
    <xf numFmtId="0" fontId="68" fillId="0" borderId="33" xfId="0" applyFont="1" applyBorder="1" applyAlignment="1" applyProtection="1">
      <alignment vertical="center"/>
      <protection/>
    </xf>
    <xf numFmtId="0" fontId="68" fillId="0" borderId="16" xfId="0" applyFont="1" applyBorder="1" applyAlignment="1" applyProtection="1">
      <alignment vertical="center"/>
      <protection/>
    </xf>
    <xf numFmtId="0" fontId="68" fillId="0" borderId="34" xfId="0" applyFont="1" applyBorder="1" applyAlignment="1" applyProtection="1">
      <alignment horizontal="center" vertical="center"/>
      <protection/>
    </xf>
    <xf numFmtId="0" fontId="70" fillId="37" borderId="14" xfId="0" applyFont="1" applyFill="1" applyBorder="1" applyAlignment="1" applyProtection="1">
      <alignment horizontal="center"/>
      <protection/>
    </xf>
    <xf numFmtId="0" fontId="68" fillId="0" borderId="0" xfId="0" applyFont="1" applyFill="1" applyAlignment="1" applyProtection="1">
      <alignment/>
      <protection/>
    </xf>
    <xf numFmtId="0" fontId="68" fillId="0" borderId="35" xfId="0" applyFont="1" applyBorder="1" applyAlignment="1" applyProtection="1">
      <alignment horizontal="center" vertical="center"/>
      <protection/>
    </xf>
    <xf numFmtId="0" fontId="70" fillId="0" borderId="0" xfId="0" applyFont="1" applyBorder="1" applyAlignment="1" applyProtection="1">
      <alignment vertical="center"/>
      <protection/>
    </xf>
    <xf numFmtId="0" fontId="70" fillId="0" borderId="0" xfId="0" applyFont="1" applyAlignment="1" applyProtection="1">
      <alignment vertical="center"/>
      <protection/>
    </xf>
    <xf numFmtId="44" fontId="70" fillId="0" borderId="24" xfId="0" applyNumberFormat="1" applyFont="1" applyBorder="1" applyAlignment="1" applyProtection="1">
      <alignment vertical="center"/>
      <protection/>
    </xf>
    <xf numFmtId="44" fontId="70" fillId="0" borderId="36" xfId="0" applyNumberFormat="1" applyFont="1" applyBorder="1" applyAlignment="1" applyProtection="1">
      <alignment vertical="center"/>
      <protection/>
    </xf>
    <xf numFmtId="173" fontId="70" fillId="0" borderId="36" xfId="0" applyNumberFormat="1" applyFont="1" applyBorder="1" applyAlignment="1" applyProtection="1">
      <alignment vertical="center"/>
      <protection/>
    </xf>
    <xf numFmtId="0" fontId="68" fillId="37" borderId="14" xfId="0" applyFont="1" applyFill="1" applyBorder="1" applyAlignment="1" applyProtection="1">
      <alignment horizontal="center"/>
      <protection/>
    </xf>
    <xf numFmtId="0" fontId="68" fillId="37" borderId="37" xfId="0" applyFont="1" applyFill="1" applyBorder="1" applyAlignment="1" applyProtection="1">
      <alignment horizontal="center"/>
      <protection/>
    </xf>
    <xf numFmtId="44" fontId="68" fillId="0" borderId="9" xfId="46" applyFont="1" applyFill="1" applyBorder="1" applyAlignment="1" applyProtection="1">
      <alignment vertical="center"/>
      <protection/>
    </xf>
    <xf numFmtId="44" fontId="68" fillId="0" borderId="30" xfId="46" applyFont="1" applyFill="1" applyBorder="1" applyAlignment="1" applyProtection="1">
      <alignment vertical="center"/>
      <protection/>
    </xf>
    <xf numFmtId="0" fontId="6" fillId="0" borderId="0" xfId="61" applyFont="1" applyFill="1" applyAlignment="1" applyProtection="1">
      <alignment horizontal="left" vertical="center" indent="1"/>
      <protection/>
    </xf>
    <xf numFmtId="0" fontId="5" fillId="0" borderId="0" xfId="61" applyFont="1" applyFill="1" applyAlignment="1" applyProtection="1">
      <alignment horizontal="center" vertical="center"/>
      <protection/>
    </xf>
    <xf numFmtId="0" fontId="68" fillId="34" borderId="25" xfId="0" applyFont="1" applyFill="1" applyBorder="1" applyAlignment="1" applyProtection="1">
      <alignment vertical="center"/>
      <protection/>
    </xf>
    <xf numFmtId="43" fontId="68" fillId="0" borderId="9" xfId="42" applyFont="1" applyBorder="1" applyAlignment="1" applyProtection="1">
      <alignment vertical="center"/>
      <protection/>
    </xf>
    <xf numFmtId="43" fontId="68" fillId="0" borderId="30" xfId="42" applyFont="1" applyBorder="1" applyAlignment="1" applyProtection="1">
      <alignment vertical="center"/>
      <protection/>
    </xf>
    <xf numFmtId="44" fontId="68" fillId="0" borderId="36" xfId="46" applyFont="1" applyBorder="1" applyAlignment="1" applyProtection="1">
      <alignment vertical="center"/>
      <protection/>
    </xf>
    <xf numFmtId="43" fontId="71" fillId="32" borderId="18" xfId="46" applyNumberFormat="1" applyFont="1" applyFill="1" applyBorder="1" applyAlignment="1" applyProtection="1">
      <alignment vertical="center"/>
      <protection locked="0"/>
    </xf>
    <xf numFmtId="44" fontId="70" fillId="0" borderId="38" xfId="46" applyFont="1" applyBorder="1" applyAlignment="1" applyProtection="1">
      <alignment vertical="center"/>
      <protection/>
    </xf>
    <xf numFmtId="0" fontId="70" fillId="0" borderId="38" xfId="0" applyFont="1" applyBorder="1" applyAlignment="1" applyProtection="1">
      <alignment horizontal="center"/>
      <protection/>
    </xf>
    <xf numFmtId="0" fontId="70" fillId="0" borderId="35" xfId="0" applyFont="1" applyBorder="1" applyAlignment="1" applyProtection="1">
      <alignment horizontal="center"/>
      <protection/>
    </xf>
    <xf numFmtId="0" fontId="70" fillId="0" borderId="14" xfId="0" applyFont="1" applyBorder="1" applyAlignment="1" applyProtection="1">
      <alignment horizontal="center" vertical="center"/>
      <protection/>
    </xf>
    <xf numFmtId="0" fontId="68" fillId="0" borderId="9" xfId="0" applyFont="1" applyFill="1" applyBorder="1" applyAlignment="1" applyProtection="1">
      <alignment vertical="center"/>
      <protection/>
    </xf>
    <xf numFmtId="0" fontId="0" fillId="0" borderId="0" xfId="0" applyFill="1" applyAlignment="1">
      <alignment/>
    </xf>
    <xf numFmtId="0" fontId="70" fillId="0" borderId="14" xfId="0" applyFont="1" applyBorder="1" applyAlignment="1" applyProtection="1">
      <alignment horizontal="center" vertical="center"/>
      <protection/>
    </xf>
    <xf numFmtId="0" fontId="68" fillId="33" borderId="37" xfId="0" applyFont="1" applyFill="1" applyBorder="1" applyAlignment="1" applyProtection="1">
      <alignment/>
      <protection/>
    </xf>
    <xf numFmtId="49" fontId="71" fillId="32" borderId="39" xfId="0" applyNumberFormat="1" applyFont="1" applyFill="1" applyBorder="1" applyAlignment="1" applyProtection="1">
      <alignment vertical="center"/>
      <protection locked="0"/>
    </xf>
    <xf numFmtId="0" fontId="70" fillId="0" borderId="12" xfId="0" applyFont="1" applyBorder="1" applyAlignment="1" applyProtection="1">
      <alignment horizontal="center" vertical="center" wrapText="1"/>
      <protection/>
    </xf>
    <xf numFmtId="0" fontId="70" fillId="0" borderId="13" xfId="0" applyFont="1" applyBorder="1" applyAlignment="1" applyProtection="1">
      <alignment horizontal="center" vertical="center" wrapText="1"/>
      <protection/>
    </xf>
    <xf numFmtId="3" fontId="68" fillId="0" borderId="26" xfId="0" applyNumberFormat="1" applyFont="1" applyBorder="1" applyAlignment="1" applyProtection="1">
      <alignment vertical="center"/>
      <protection/>
    </xf>
    <xf numFmtId="173" fontId="68" fillId="0" borderId="27" xfId="0" applyNumberFormat="1" applyFont="1" applyBorder="1" applyAlignment="1" applyProtection="1">
      <alignment vertical="center"/>
      <protection/>
    </xf>
    <xf numFmtId="173" fontId="68" fillId="0" borderId="40" xfId="0" applyNumberFormat="1" applyFont="1" applyBorder="1" applyAlignment="1" applyProtection="1">
      <alignment vertical="center"/>
      <protection/>
    </xf>
    <xf numFmtId="3" fontId="70" fillId="0" borderId="41" xfId="0" applyNumberFormat="1" applyFont="1" applyBorder="1" applyAlignment="1" applyProtection="1">
      <alignment vertical="center"/>
      <protection/>
    </xf>
    <xf numFmtId="173" fontId="70" fillId="0" borderId="42" xfId="0" applyNumberFormat="1" applyFont="1" applyBorder="1" applyAlignment="1" applyProtection="1">
      <alignment vertical="center"/>
      <protection/>
    </xf>
    <xf numFmtId="44" fontId="68" fillId="0" borderId="42" xfId="46" applyFont="1" applyBorder="1" applyAlignment="1" applyProtection="1">
      <alignment vertical="center"/>
      <protection/>
    </xf>
    <xf numFmtId="44" fontId="70" fillId="0" borderId="42" xfId="0" applyNumberFormat="1" applyFont="1" applyBorder="1" applyAlignment="1" applyProtection="1">
      <alignment vertical="center"/>
      <protection/>
    </xf>
    <xf numFmtId="3" fontId="68" fillId="0" borderId="28" xfId="0" applyNumberFormat="1" applyFont="1" applyBorder="1" applyAlignment="1" applyProtection="1">
      <alignment vertical="center"/>
      <protection/>
    </xf>
    <xf numFmtId="0" fontId="68" fillId="37" borderId="41" xfId="0" applyFont="1" applyFill="1" applyBorder="1" applyAlignment="1" applyProtection="1">
      <alignment vertical="center" wrapText="1"/>
      <protection/>
    </xf>
    <xf numFmtId="0" fontId="70" fillId="37" borderId="43" xfId="0" applyFont="1" applyFill="1" applyBorder="1" applyAlignment="1" applyProtection="1">
      <alignment vertical="center" wrapText="1"/>
      <protection/>
    </xf>
    <xf numFmtId="44" fontId="68" fillId="0" borderId="44" xfId="46" applyFont="1" applyFill="1" applyBorder="1" applyAlignment="1" applyProtection="1">
      <alignment vertical="center"/>
      <protection/>
    </xf>
    <xf numFmtId="0" fontId="0" fillId="0" borderId="0" xfId="0" applyAlignment="1" applyProtection="1">
      <alignment/>
      <protection/>
    </xf>
    <xf numFmtId="41" fontId="68" fillId="35" borderId="9" xfId="46" applyNumberFormat="1" applyFont="1" applyFill="1" applyBorder="1" applyAlignment="1" applyProtection="1">
      <alignment vertical="center"/>
      <protection/>
    </xf>
    <xf numFmtId="41" fontId="68" fillId="35" borderId="30" xfId="46" applyNumberFormat="1" applyFont="1" applyFill="1" applyBorder="1" applyAlignment="1" applyProtection="1">
      <alignment vertical="center"/>
      <protection/>
    </xf>
    <xf numFmtId="44" fontId="68" fillId="35" borderId="45" xfId="46" applyFont="1" applyFill="1" applyBorder="1" applyAlignment="1" applyProtection="1">
      <alignment vertical="center"/>
      <protection/>
    </xf>
    <xf numFmtId="44" fontId="68" fillId="35" borderId="46" xfId="46" applyFont="1" applyFill="1" applyBorder="1" applyAlignment="1" applyProtection="1">
      <alignment vertical="center"/>
      <protection/>
    </xf>
    <xf numFmtId="0" fontId="70" fillId="0" borderId="47" xfId="0" applyFont="1" applyFill="1" applyBorder="1" applyAlignment="1" applyProtection="1">
      <alignment horizontal="center"/>
      <protection/>
    </xf>
    <xf numFmtId="0" fontId="9" fillId="32" borderId="24" xfId="0" applyFont="1" applyFill="1" applyBorder="1" applyAlignment="1" applyProtection="1">
      <alignment horizontal="center" vertical="center"/>
      <protection locked="0"/>
    </xf>
    <xf numFmtId="0" fontId="68" fillId="0" borderId="0" xfId="0" applyFont="1" applyAlignment="1" applyProtection="1">
      <alignment horizontal="center"/>
      <protection/>
    </xf>
    <xf numFmtId="0" fontId="5" fillId="33" borderId="37" xfId="0" applyFont="1" applyFill="1" applyBorder="1" applyAlignment="1" applyProtection="1">
      <alignment horizontal="center"/>
      <protection/>
    </xf>
    <xf numFmtId="0" fontId="5" fillId="34" borderId="37"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34" borderId="20" xfId="0" applyFont="1" applyFill="1" applyBorder="1" applyAlignment="1" applyProtection="1">
      <alignment vertical="center"/>
      <protection/>
    </xf>
    <xf numFmtId="0" fontId="68" fillId="0" borderId="46" xfId="0" applyFont="1" applyBorder="1" applyAlignment="1" applyProtection="1">
      <alignment horizontal="center" vertical="center"/>
      <protection/>
    </xf>
    <xf numFmtId="0" fontId="68" fillId="37" borderId="37" xfId="0" applyFont="1" applyFill="1" applyBorder="1" applyAlignment="1" applyProtection="1">
      <alignment horizontal="center" vertical="center"/>
      <protection/>
    </xf>
    <xf numFmtId="0" fontId="70" fillId="37" borderId="37" xfId="0" applyFont="1" applyFill="1" applyBorder="1" applyAlignment="1" applyProtection="1">
      <alignment horizontal="center" vertical="center"/>
      <protection/>
    </xf>
    <xf numFmtId="0" fontId="6" fillId="34" borderId="0" xfId="61" applyFont="1" applyFill="1" applyBorder="1" applyAlignment="1" applyProtection="1">
      <alignment vertical="center"/>
      <protection/>
    </xf>
    <xf numFmtId="0" fontId="70" fillId="0" borderId="38" xfId="0" applyFont="1" applyBorder="1" applyAlignment="1" applyProtection="1">
      <alignment horizontal="center"/>
      <protection/>
    </xf>
    <xf numFmtId="0" fontId="70" fillId="0" borderId="35" xfId="0" applyFont="1" applyBorder="1" applyAlignment="1" applyProtection="1">
      <alignment horizontal="center"/>
      <protection/>
    </xf>
    <xf numFmtId="0" fontId="70" fillId="0" borderId="38" xfId="0" applyFont="1" applyBorder="1" applyAlignment="1" applyProtection="1">
      <alignment horizontal="center"/>
      <protection/>
    </xf>
    <xf numFmtId="0" fontId="70" fillId="0" borderId="20" xfId="0" applyFont="1" applyFill="1" applyBorder="1" applyAlignment="1" applyProtection="1">
      <alignment vertical="center" wrapText="1"/>
      <protection/>
    </xf>
    <xf numFmtId="0" fontId="70" fillId="0" borderId="20" xfId="0" applyFont="1" applyFill="1" applyBorder="1" applyAlignment="1" applyProtection="1">
      <alignment vertical="center"/>
      <protection/>
    </xf>
    <xf numFmtId="166" fontId="70" fillId="0" borderId="0" xfId="0" applyNumberFormat="1" applyFont="1" applyAlignment="1" applyProtection="1">
      <alignment vertical="center"/>
      <protection/>
    </xf>
    <xf numFmtId="0" fontId="70" fillId="0" borderId="14" xfId="0" applyFont="1" applyBorder="1" applyAlignment="1" applyProtection="1">
      <alignment horizontal="center" vertical="center"/>
      <protection/>
    </xf>
    <xf numFmtId="44" fontId="70" fillId="0" borderId="48" xfId="46" applyFont="1" applyFill="1" applyBorder="1" applyAlignment="1" applyProtection="1">
      <alignment vertical="center"/>
      <protection/>
    </xf>
    <xf numFmtId="0" fontId="70" fillId="0" borderId="38" xfId="0" applyFont="1" applyFill="1" applyBorder="1" applyAlignment="1" applyProtection="1">
      <alignment horizontal="center"/>
      <protection/>
    </xf>
    <xf numFmtId="43" fontId="71" fillId="32" borderId="9" xfId="46" applyNumberFormat="1" applyFont="1" applyFill="1" applyBorder="1" applyAlignment="1" applyProtection="1">
      <alignment vertical="center"/>
      <protection locked="0"/>
    </xf>
    <xf numFmtId="0" fontId="70" fillId="0" borderId="49" xfId="0" applyFont="1" applyFill="1" applyBorder="1" applyAlignment="1" applyProtection="1">
      <alignment horizontal="center"/>
      <protection/>
    </xf>
    <xf numFmtId="44" fontId="71" fillId="34" borderId="49" xfId="46" applyNumberFormat="1" applyFont="1" applyFill="1" applyBorder="1" applyAlignment="1" applyProtection="1">
      <alignment vertical="center"/>
      <protection/>
    </xf>
    <xf numFmtId="44" fontId="71" fillId="34" borderId="49" xfId="0" applyNumberFormat="1" applyFont="1" applyFill="1" applyBorder="1" applyAlignment="1" applyProtection="1">
      <alignment vertical="center"/>
      <protection/>
    </xf>
    <xf numFmtId="44" fontId="71" fillId="34" borderId="50" xfId="0" applyNumberFormat="1" applyFont="1" applyFill="1" applyBorder="1" applyAlignment="1" applyProtection="1">
      <alignment vertical="center"/>
      <protection/>
    </xf>
    <xf numFmtId="0" fontId="70" fillId="34" borderId="35" xfId="0" applyFont="1" applyFill="1" applyBorder="1" applyAlignment="1" applyProtection="1">
      <alignment horizontal="center" vertical="center"/>
      <protection/>
    </xf>
    <xf numFmtId="0" fontId="68" fillId="0" borderId="0" xfId="0" applyFont="1" applyBorder="1" applyAlignment="1" applyProtection="1">
      <alignment horizontal="center"/>
      <protection/>
    </xf>
    <xf numFmtId="0" fontId="5" fillId="38" borderId="14" xfId="0" applyFont="1" applyFill="1" applyBorder="1" applyAlignment="1" applyProtection="1">
      <alignment horizontal="center" wrapText="1"/>
      <protection/>
    </xf>
    <xf numFmtId="0" fontId="71" fillId="32" borderId="15" xfId="0" applyFont="1" applyFill="1" applyBorder="1" applyAlignment="1" applyProtection="1">
      <alignment horizontal="center" vertical="center" wrapText="1"/>
      <protection locked="0"/>
    </xf>
    <xf numFmtId="0" fontId="68" fillId="0" borderId="0" xfId="0" applyFont="1" applyBorder="1" applyAlignment="1" applyProtection="1">
      <alignment horizontal="center" vertical="center" wrapText="1"/>
      <protection/>
    </xf>
    <xf numFmtId="0" fontId="68" fillId="37" borderId="26" xfId="0" applyFont="1" applyFill="1" applyBorder="1" applyAlignment="1" applyProtection="1">
      <alignment vertical="center" wrapText="1"/>
      <protection/>
    </xf>
    <xf numFmtId="0" fontId="68" fillId="37" borderId="28" xfId="0" applyFont="1" applyFill="1" applyBorder="1" applyAlignment="1" applyProtection="1">
      <alignment vertical="center" wrapText="1"/>
      <protection/>
    </xf>
    <xf numFmtId="0" fontId="68" fillId="0" borderId="51" xfId="0" applyFont="1" applyBorder="1" applyAlignment="1" applyProtection="1">
      <alignment horizontal="center" vertical="center"/>
      <protection/>
    </xf>
    <xf numFmtId="0" fontId="7" fillId="0" borderId="0" xfId="0" applyFont="1" applyAlignment="1" applyProtection="1">
      <alignment/>
      <protection/>
    </xf>
    <xf numFmtId="0" fontId="7" fillId="0" borderId="0" xfId="0" applyFont="1" applyFill="1" applyAlignment="1" applyProtection="1">
      <alignment horizontal="justify" wrapText="1"/>
      <protection/>
    </xf>
    <xf numFmtId="0" fontId="7" fillId="34" borderId="0" xfId="61" applyFont="1" applyFill="1" applyAlignment="1">
      <alignment vertical="center"/>
      <protection/>
    </xf>
    <xf numFmtId="0" fontId="7" fillId="0" borderId="0" xfId="0" applyFont="1" applyAlignment="1">
      <alignment horizontal="left"/>
    </xf>
    <xf numFmtId="0" fontId="7" fillId="0" borderId="0" xfId="0" applyFont="1" applyAlignment="1">
      <alignment/>
    </xf>
    <xf numFmtId="0" fontId="70" fillId="0" borderId="52" xfId="0" applyFont="1" applyBorder="1" applyAlignment="1" applyProtection="1">
      <alignment horizontal="center" wrapText="1"/>
      <protection/>
    </xf>
    <xf numFmtId="0" fontId="70" fillId="0" borderId="11" xfId="0" applyFont="1" applyBorder="1" applyAlignment="1" applyProtection="1">
      <alignment horizontal="center" wrapText="1"/>
      <protection/>
    </xf>
    <xf numFmtId="0" fontId="70" fillId="0" borderId="53" xfId="0" applyFont="1" applyBorder="1" applyAlignment="1" applyProtection="1">
      <alignment horizontal="left" textRotation="90" wrapText="1"/>
      <protection/>
    </xf>
    <xf numFmtId="0" fontId="70" fillId="0" borderId="53" xfId="0" applyFont="1" applyFill="1" applyBorder="1" applyAlignment="1" applyProtection="1">
      <alignment horizontal="center" wrapText="1"/>
      <protection/>
    </xf>
    <xf numFmtId="0" fontId="70" fillId="0" borderId="0" xfId="0" applyFont="1" applyAlignment="1" applyProtection="1">
      <alignment horizontal="center" wrapText="1"/>
      <protection/>
    </xf>
    <xf numFmtId="0" fontId="67" fillId="0" borderId="0" xfId="0" applyFont="1" applyAlignment="1" applyProtection="1">
      <alignment horizontal="center" vertical="center"/>
      <protection/>
    </xf>
    <xf numFmtId="0" fontId="0" fillId="0" borderId="0" xfId="0" applyAlignment="1">
      <alignment horizontal="left"/>
    </xf>
    <xf numFmtId="0" fontId="68" fillId="0" borderId="0" xfId="0" applyFont="1" applyAlignment="1" applyProtection="1">
      <alignment vertical="center" wrapText="1"/>
      <protection/>
    </xf>
    <xf numFmtId="0" fontId="63" fillId="0" borderId="0" xfId="0" applyFont="1" applyAlignment="1">
      <alignment wrapText="1"/>
    </xf>
    <xf numFmtId="3" fontId="71" fillId="32" borderId="18" xfId="0" applyNumberFormat="1" applyFont="1" applyFill="1" applyBorder="1" applyAlignment="1" applyProtection="1">
      <alignment horizontal="center" vertical="center"/>
      <protection locked="0"/>
    </xf>
    <xf numFmtId="3" fontId="71" fillId="32" borderId="9" xfId="0" applyNumberFormat="1" applyFont="1" applyFill="1" applyBorder="1" applyAlignment="1" applyProtection="1">
      <alignment horizontal="center" vertical="center"/>
      <protection locked="0"/>
    </xf>
    <xf numFmtId="44" fontId="68" fillId="0" borderId="27" xfId="46" applyNumberFormat="1" applyFont="1" applyBorder="1" applyAlignment="1" applyProtection="1">
      <alignment vertical="center"/>
      <protection/>
    </xf>
    <xf numFmtId="0" fontId="70" fillId="37" borderId="12" xfId="0" applyFont="1" applyFill="1" applyBorder="1" applyAlignment="1" applyProtection="1">
      <alignment horizontal="center" vertical="center" wrapText="1"/>
      <protection/>
    </xf>
    <xf numFmtId="44" fontId="68" fillId="0" borderId="0" xfId="0" applyNumberFormat="1" applyFont="1" applyAlignment="1" applyProtection="1">
      <alignment/>
      <protection/>
    </xf>
    <xf numFmtId="0" fontId="68" fillId="0" borderId="18" xfId="0" applyFont="1" applyBorder="1" applyAlignment="1" applyProtection="1">
      <alignment vertical="center"/>
      <protection/>
    </xf>
    <xf numFmtId="0" fontId="68" fillId="0" borderId="54" xfId="0" applyFont="1" applyBorder="1" applyAlignment="1" applyProtection="1">
      <alignment vertical="center"/>
      <protection/>
    </xf>
    <xf numFmtId="43" fontId="68" fillId="0" borderId="39" xfId="0" applyNumberFormat="1" applyFont="1" applyBorder="1" applyAlignment="1" applyProtection="1">
      <alignment vertical="center"/>
      <protection/>
    </xf>
    <xf numFmtId="43" fontId="68" fillId="0" borderId="9" xfId="0" applyNumberFormat="1" applyFont="1" applyBorder="1" applyAlignment="1" applyProtection="1">
      <alignment vertical="center"/>
      <protection/>
    </xf>
    <xf numFmtId="0" fontId="63" fillId="0" borderId="0" xfId="0" applyFont="1" applyFill="1" applyAlignment="1">
      <alignment/>
    </xf>
    <xf numFmtId="0" fontId="68" fillId="0" borderId="0" xfId="0" applyFont="1" applyAlignment="1" applyProtection="1">
      <alignment horizontal="center" vertical="center"/>
      <protection/>
    </xf>
    <xf numFmtId="0" fontId="68" fillId="0" borderId="18" xfId="0" applyFont="1" applyBorder="1" applyAlignment="1" applyProtection="1">
      <alignment horizontal="center" vertical="center"/>
      <protection/>
    </xf>
    <xf numFmtId="43" fontId="71" fillId="32" borderId="19" xfId="46" applyNumberFormat="1" applyFont="1" applyFill="1" applyBorder="1" applyAlignment="1" applyProtection="1">
      <alignment vertical="center"/>
      <protection locked="0"/>
    </xf>
    <xf numFmtId="0" fontId="5" fillId="34" borderId="0" xfId="61" applyFont="1" applyFill="1" applyAlignment="1" applyProtection="1">
      <alignment horizontal="center" vertical="center"/>
      <protection/>
    </xf>
    <xf numFmtId="0" fontId="68" fillId="0" borderId="18" xfId="0" applyFont="1" applyBorder="1" applyAlignment="1" applyProtection="1">
      <alignment/>
      <protection/>
    </xf>
    <xf numFmtId="0" fontId="68" fillId="0" borderId="33" xfId="0" applyFont="1" applyBorder="1" applyAlignment="1" applyProtection="1">
      <alignment/>
      <protection/>
    </xf>
    <xf numFmtId="0" fontId="68" fillId="0" borderId="16" xfId="0" applyFont="1" applyBorder="1" applyAlignment="1" applyProtection="1">
      <alignment/>
      <protection/>
    </xf>
    <xf numFmtId="0" fontId="68" fillId="0" borderId="38" xfId="0" applyFont="1" applyBorder="1" applyAlignment="1" applyProtection="1">
      <alignment/>
      <protection/>
    </xf>
    <xf numFmtId="0" fontId="68" fillId="0" borderId="35" xfId="0" applyFont="1" applyBorder="1" applyAlignment="1" applyProtection="1">
      <alignment/>
      <protection/>
    </xf>
    <xf numFmtId="0" fontId="70" fillId="0" borderId="19" xfId="0" applyFont="1" applyBorder="1" applyAlignment="1" applyProtection="1">
      <alignment horizontal="center" vertical="center"/>
      <protection/>
    </xf>
    <xf numFmtId="0" fontId="70" fillId="0" borderId="11" xfId="0" applyFont="1" applyBorder="1" applyAlignment="1" applyProtection="1">
      <alignment horizontal="center" vertical="center"/>
      <protection/>
    </xf>
    <xf numFmtId="0" fontId="70" fillId="0" borderId="38" xfId="0" applyFont="1" applyBorder="1" applyAlignment="1" applyProtection="1">
      <alignment horizontal="center" vertical="center"/>
      <protection/>
    </xf>
    <xf numFmtId="0" fontId="68" fillId="0" borderId="55" xfId="0" applyFont="1" applyBorder="1" applyAlignment="1" applyProtection="1">
      <alignment horizontal="center" vertical="center"/>
      <protection/>
    </xf>
    <xf numFmtId="0" fontId="0" fillId="0" borderId="56" xfId="0" applyBorder="1" applyAlignment="1">
      <alignment wrapText="1"/>
    </xf>
    <xf numFmtId="0" fontId="6" fillId="34" borderId="0" xfId="61" applyFont="1" applyFill="1" applyAlignment="1" applyProtection="1">
      <alignment horizontal="left" vertical="center" indent="1"/>
      <protection/>
    </xf>
    <xf numFmtId="0" fontId="70" fillId="0" borderId="38" xfId="0" applyFont="1" applyBorder="1" applyAlignment="1" applyProtection="1">
      <alignment horizontal="center" wrapText="1"/>
      <protection/>
    </xf>
    <xf numFmtId="0" fontId="70" fillId="0" borderId="35" xfId="0" applyFont="1" applyBorder="1" applyAlignment="1" applyProtection="1">
      <alignment horizontal="center" wrapText="1"/>
      <protection/>
    </xf>
    <xf numFmtId="0" fontId="68" fillId="0" borderId="9" xfId="0" applyFont="1" applyBorder="1" applyAlignment="1" applyProtection="1">
      <alignment vertical="center" wrapText="1"/>
      <protection/>
    </xf>
    <xf numFmtId="0" fontId="68" fillId="0" borderId="15" xfId="0" applyFont="1" applyBorder="1" applyAlignment="1" applyProtection="1">
      <alignment vertical="center" wrapText="1"/>
      <protection/>
    </xf>
    <xf numFmtId="0" fontId="68" fillId="0" borderId="9" xfId="0" applyFont="1" applyBorder="1" applyAlignment="1" applyProtection="1">
      <alignment vertical="center"/>
      <protection/>
    </xf>
    <xf numFmtId="0" fontId="68" fillId="0" borderId="15" xfId="0" applyFont="1" applyBorder="1" applyAlignment="1" applyProtection="1">
      <alignment vertical="center"/>
      <protection/>
    </xf>
    <xf numFmtId="0" fontId="68" fillId="0" borderId="30" xfId="0" applyFont="1" applyBorder="1" applyAlignment="1" applyProtection="1">
      <alignment vertical="center"/>
      <protection/>
    </xf>
    <xf numFmtId="0" fontId="68" fillId="0" borderId="21" xfId="0" applyFont="1" applyBorder="1" applyAlignment="1" applyProtection="1">
      <alignment vertical="center"/>
      <protection/>
    </xf>
    <xf numFmtId="0" fontId="70" fillId="0" borderId="48" xfId="0" applyFont="1" applyFill="1" applyBorder="1" applyAlignment="1" applyProtection="1">
      <alignment horizontal="left" vertical="center"/>
      <protection/>
    </xf>
    <xf numFmtId="0" fontId="70" fillId="0" borderId="11" xfId="0" applyFont="1" applyFill="1" applyBorder="1" applyAlignment="1" applyProtection="1">
      <alignment horizontal="center" wrapText="1"/>
      <protection/>
    </xf>
    <xf numFmtId="0" fontId="70" fillId="0" borderId="38" xfId="0" applyFont="1" applyFill="1" applyBorder="1" applyAlignment="1" applyProtection="1">
      <alignment horizontal="center" wrapText="1"/>
      <protection/>
    </xf>
    <xf numFmtId="0" fontId="9" fillId="32" borderId="57" xfId="0" applyFont="1" applyFill="1" applyBorder="1" applyAlignment="1" applyProtection="1">
      <alignment horizontal="center" vertical="center"/>
      <protection locked="0"/>
    </xf>
    <xf numFmtId="0" fontId="70" fillId="0" borderId="37" xfId="0" applyFont="1" applyBorder="1" applyAlignment="1" applyProtection="1">
      <alignment horizontal="center" vertical="center"/>
      <protection/>
    </xf>
    <xf numFmtId="0" fontId="70" fillId="0" borderId="23" xfId="0" applyFont="1" applyBorder="1" applyAlignment="1" applyProtection="1">
      <alignment vertical="center"/>
      <protection/>
    </xf>
    <xf numFmtId="0" fontId="70" fillId="0" borderId="0" xfId="0" applyFont="1" applyFill="1" applyBorder="1" applyAlignment="1" applyProtection="1">
      <alignment horizontal="center"/>
      <protection/>
    </xf>
    <xf numFmtId="0" fontId="70" fillId="0" borderId="58" xfId="0" applyFont="1" applyFill="1" applyBorder="1" applyAlignment="1" applyProtection="1">
      <alignment horizontal="center" vertical="center"/>
      <protection/>
    </xf>
    <xf numFmtId="0" fontId="70" fillId="0" borderId="59" xfId="0" applyFont="1" applyFill="1" applyBorder="1" applyAlignment="1" applyProtection="1">
      <alignment horizontal="center" vertical="center"/>
      <protection/>
    </xf>
    <xf numFmtId="0" fontId="68" fillId="0" borderId="60" xfId="0" applyFont="1" applyBorder="1" applyAlignment="1" applyProtection="1">
      <alignment/>
      <protection/>
    </xf>
    <xf numFmtId="0" fontId="70" fillId="0" borderId="35" xfId="0" applyFont="1" applyBorder="1" applyAlignment="1" applyProtection="1">
      <alignment/>
      <protection/>
    </xf>
    <xf numFmtId="0" fontId="70" fillId="0" borderId="15" xfId="0" applyFont="1" applyBorder="1" applyAlignment="1" applyProtection="1">
      <alignment/>
      <protection/>
    </xf>
    <xf numFmtId="0" fontId="70" fillId="0" borderId="17" xfId="0" applyFont="1" applyFill="1" applyBorder="1" applyAlignment="1" applyProtection="1">
      <alignment horizontal="center" vertical="center"/>
      <protection/>
    </xf>
    <xf numFmtId="0" fontId="70" fillId="0" borderId="61" xfId="0" applyFont="1" applyBorder="1" applyAlignment="1" applyProtection="1">
      <alignment/>
      <protection/>
    </xf>
    <xf numFmtId="0" fontId="5" fillId="0" borderId="17" xfId="0" applyFont="1" applyFill="1" applyBorder="1" applyAlignment="1" applyProtection="1">
      <alignment horizontal="right" vertical="center"/>
      <protection/>
    </xf>
    <xf numFmtId="175" fontId="6" fillId="0" borderId="18" xfId="69" applyNumberFormat="1" applyFont="1" applyFill="1" applyBorder="1" applyAlignment="1" applyProtection="1">
      <alignment horizontal="center" vertical="center"/>
      <protection/>
    </xf>
    <xf numFmtId="175" fontId="6" fillId="0" borderId="54" xfId="69" applyNumberFormat="1" applyFont="1" applyFill="1" applyBorder="1" applyAlignment="1" applyProtection="1">
      <alignment horizontal="center" vertical="center"/>
      <protection/>
    </xf>
    <xf numFmtId="0" fontId="6" fillId="34" borderId="20" xfId="0" applyFont="1" applyFill="1" applyBorder="1" applyAlignment="1" applyProtection="1">
      <alignment vertical="center" wrapText="1"/>
      <protection/>
    </xf>
    <xf numFmtId="49" fontId="6" fillId="34" borderId="0" xfId="0" applyNumberFormat="1" applyFont="1" applyFill="1" applyBorder="1" applyAlignment="1" applyProtection="1">
      <alignment horizontal="left" vertical="center"/>
      <protection/>
    </xf>
    <xf numFmtId="0" fontId="6" fillId="34" borderId="0" xfId="0" applyFont="1" applyFill="1" applyBorder="1" applyAlignment="1" applyProtection="1">
      <alignment horizontal="center"/>
      <protection/>
    </xf>
    <xf numFmtId="0" fontId="68" fillId="2" borderId="62" xfId="0" applyFont="1" applyFill="1" applyBorder="1" applyAlignment="1" applyProtection="1">
      <alignment horizontal="center"/>
      <protection/>
    </xf>
    <xf numFmtId="49" fontId="6" fillId="34" borderId="0" xfId="0" applyNumberFormat="1" applyFont="1" applyFill="1" applyBorder="1" applyAlignment="1" applyProtection="1">
      <alignment vertical="center"/>
      <protection/>
    </xf>
    <xf numFmtId="0" fontId="73" fillId="36" borderId="62" xfId="61" applyFont="1" applyFill="1" applyBorder="1" applyAlignment="1" applyProtection="1">
      <alignment horizontal="center" vertical="center"/>
      <protection/>
    </xf>
    <xf numFmtId="0" fontId="73" fillId="0" borderId="0" xfId="61" applyFont="1" applyFill="1" applyBorder="1" applyAlignment="1" applyProtection="1">
      <alignment horizontal="center" vertical="center"/>
      <protection/>
    </xf>
    <xf numFmtId="0" fontId="17" fillId="0" borderId="0" xfId="61" applyFont="1" applyFill="1" applyBorder="1" applyAlignment="1" applyProtection="1">
      <alignment horizontal="center" vertical="center"/>
      <protection/>
    </xf>
    <xf numFmtId="0" fontId="73" fillId="34" borderId="0" xfId="61" applyFont="1" applyFill="1" applyBorder="1" applyAlignment="1" applyProtection="1">
      <alignment horizontal="center" vertical="center"/>
      <protection/>
    </xf>
    <xf numFmtId="0" fontId="68" fillId="0" borderId="0" xfId="0" applyFont="1" applyAlignment="1" applyProtection="1">
      <alignment/>
      <protection/>
    </xf>
    <xf numFmtId="3" fontId="68" fillId="34" borderId="18" xfId="0" applyNumberFormat="1" applyFont="1" applyFill="1" applyBorder="1" applyAlignment="1" applyProtection="1">
      <alignment vertical="center"/>
      <protection/>
    </xf>
    <xf numFmtId="3" fontId="68" fillId="34" borderId="9" xfId="0" applyNumberFormat="1" applyFont="1" applyFill="1" applyBorder="1" applyAlignment="1" applyProtection="1">
      <alignment vertical="center"/>
      <protection/>
    </xf>
    <xf numFmtId="3" fontId="68" fillId="34" borderId="33" xfId="0" applyNumberFormat="1" applyFont="1" applyFill="1" applyBorder="1" applyAlignment="1" applyProtection="1">
      <alignment vertical="center"/>
      <protection/>
    </xf>
    <xf numFmtId="3" fontId="68" fillId="0" borderId="58" xfId="0" applyNumberFormat="1" applyFont="1" applyFill="1" applyBorder="1" applyAlignment="1" applyProtection="1">
      <alignment vertical="center"/>
      <protection/>
    </xf>
    <xf numFmtId="3" fontId="68" fillId="0" borderId="58" xfId="0" applyNumberFormat="1" applyFont="1" applyBorder="1" applyAlignment="1" applyProtection="1">
      <alignment horizontal="right" vertical="center"/>
      <protection/>
    </xf>
    <xf numFmtId="3" fontId="68" fillId="0" borderId="59" xfId="0" applyNumberFormat="1" applyFont="1" applyFill="1" applyBorder="1" applyAlignment="1" applyProtection="1">
      <alignment vertical="center"/>
      <protection/>
    </xf>
    <xf numFmtId="3" fontId="68" fillId="34" borderId="18" xfId="0" applyNumberFormat="1" applyFont="1" applyFill="1" applyBorder="1" applyAlignment="1" applyProtection="1">
      <alignment horizontal="right" vertical="center"/>
      <protection/>
    </xf>
    <xf numFmtId="3" fontId="68" fillId="0" borderId="18" xfId="0" applyNumberFormat="1" applyFont="1" applyFill="1" applyBorder="1" applyAlignment="1" applyProtection="1">
      <alignment horizontal="right" vertical="center"/>
      <protection/>
    </xf>
    <xf numFmtId="3" fontId="68" fillId="0" borderId="18" xfId="0" applyNumberFormat="1" applyFont="1" applyFill="1" applyBorder="1" applyAlignment="1" applyProtection="1">
      <alignment vertical="center"/>
      <protection/>
    </xf>
    <xf numFmtId="3" fontId="68" fillId="0" borderId="9" xfId="0" applyNumberFormat="1" applyFont="1" applyFill="1" applyBorder="1" applyAlignment="1" applyProtection="1">
      <alignment vertical="center"/>
      <protection/>
    </xf>
    <xf numFmtId="3" fontId="68" fillId="38" borderId="19" xfId="0" applyNumberFormat="1" applyFont="1" applyFill="1" applyBorder="1" applyAlignment="1" applyProtection="1">
      <alignment vertical="center"/>
      <protection/>
    </xf>
    <xf numFmtId="3" fontId="68" fillId="38" borderId="53" xfId="0" applyNumberFormat="1" applyFont="1" applyFill="1" applyBorder="1" applyAlignment="1" applyProtection="1">
      <alignment vertical="center"/>
      <protection/>
    </xf>
    <xf numFmtId="3" fontId="68" fillId="38" borderId="63" xfId="0" applyNumberFormat="1" applyFont="1" applyFill="1" applyBorder="1" applyAlignment="1" applyProtection="1">
      <alignment vertical="center"/>
      <protection/>
    </xf>
    <xf numFmtId="3" fontId="68" fillId="0" borderId="58" xfId="0" applyNumberFormat="1" applyFont="1" applyFill="1" applyBorder="1" applyAlignment="1" applyProtection="1">
      <alignment horizontal="right" vertical="center"/>
      <protection/>
    </xf>
    <xf numFmtId="3" fontId="68" fillId="38" borderId="64" xfId="0" applyNumberFormat="1" applyFont="1" applyFill="1" applyBorder="1" applyAlignment="1" applyProtection="1">
      <alignment vertical="center"/>
      <protection/>
    </xf>
    <xf numFmtId="3" fontId="68" fillId="34" borderId="18" xfId="0" applyNumberFormat="1" applyFont="1" applyFill="1" applyBorder="1" applyAlignment="1" applyProtection="1">
      <alignment horizontal="center" vertical="center"/>
      <protection/>
    </xf>
    <xf numFmtId="3" fontId="68" fillId="0" borderId="18" xfId="0" applyNumberFormat="1" applyFont="1" applyFill="1" applyBorder="1" applyAlignment="1" applyProtection="1">
      <alignment horizontal="center" vertical="center"/>
      <protection/>
    </xf>
    <xf numFmtId="3" fontId="68" fillId="0" borderId="58" xfId="0" applyNumberFormat="1" applyFont="1" applyFill="1" applyBorder="1" applyAlignment="1" applyProtection="1">
      <alignment horizontal="center" vertical="center"/>
      <protection/>
    </xf>
    <xf numFmtId="3" fontId="68" fillId="0" borderId="58" xfId="0" applyNumberFormat="1" applyFont="1" applyBorder="1" applyAlignment="1" applyProtection="1">
      <alignment horizontal="center" vertical="center"/>
      <protection/>
    </xf>
    <xf numFmtId="0" fontId="3" fillId="0" borderId="0" xfId="0" applyFont="1" applyFill="1" applyAlignment="1" applyProtection="1">
      <alignment horizontal="justify" wrapText="1"/>
      <protection/>
    </xf>
    <xf numFmtId="0" fontId="74" fillId="0" borderId="0" xfId="0" applyFont="1" applyFill="1" applyAlignment="1" applyProtection="1">
      <alignment horizontal="justify" wrapText="1"/>
      <protection/>
    </xf>
    <xf numFmtId="0" fontId="68" fillId="0" borderId="18" xfId="0" applyFont="1" applyFill="1" applyBorder="1" applyAlignment="1" applyProtection="1">
      <alignment horizontal="justify" vertical="top" wrapText="1"/>
      <protection/>
    </xf>
    <xf numFmtId="0" fontId="68" fillId="0" borderId="18" xfId="0" applyNumberFormat="1" applyFont="1" applyFill="1" applyBorder="1" applyAlignment="1" applyProtection="1">
      <alignment horizontal="justify" vertical="top" wrapText="1"/>
      <protection/>
    </xf>
    <xf numFmtId="0" fontId="68" fillId="32" borderId="18" xfId="0" applyFont="1" applyFill="1" applyBorder="1" applyAlignment="1" applyProtection="1">
      <alignment horizontal="justify" vertical="top" wrapText="1"/>
      <protection locked="0"/>
    </xf>
    <xf numFmtId="0" fontId="68" fillId="0" borderId="0" xfId="0" applyFont="1" applyFill="1" applyAlignment="1" applyProtection="1">
      <alignment horizontal="justify" wrapText="1"/>
      <protection/>
    </xf>
    <xf numFmtId="0" fontId="70" fillId="0" borderId="27" xfId="0" applyFont="1" applyFill="1" applyBorder="1" applyAlignment="1" applyProtection="1">
      <alignment horizontal="center"/>
      <protection/>
    </xf>
    <xf numFmtId="0" fontId="70" fillId="0" borderId="26" xfId="0" applyFont="1" applyFill="1" applyBorder="1" applyAlignment="1" applyProtection="1">
      <alignment horizontal="center" wrapText="1"/>
      <protection/>
    </xf>
    <xf numFmtId="43" fontId="71" fillId="32" borderId="27" xfId="46" applyNumberFormat="1" applyFont="1" applyFill="1" applyBorder="1" applyAlignment="1" applyProtection="1">
      <alignment vertical="center"/>
      <protection locked="0"/>
    </xf>
    <xf numFmtId="0" fontId="71" fillId="32" borderId="26" xfId="0" applyFont="1" applyFill="1" applyBorder="1" applyAlignment="1" applyProtection="1">
      <alignment horizontal="center" vertical="center" wrapText="1"/>
      <protection locked="0"/>
    </xf>
    <xf numFmtId="43" fontId="71" fillId="32" borderId="65" xfId="46" applyNumberFormat="1" applyFont="1" applyFill="1" applyBorder="1" applyAlignment="1" applyProtection="1">
      <alignment vertical="center"/>
      <protection locked="0"/>
    </xf>
    <xf numFmtId="0" fontId="70" fillId="0" borderId="66" xfId="0" applyFont="1" applyFill="1" applyBorder="1" applyAlignment="1" applyProtection="1">
      <alignment horizontal="center" vertical="center"/>
      <protection/>
    </xf>
    <xf numFmtId="0" fontId="70" fillId="0" borderId="67" xfId="0" applyFont="1" applyFill="1" applyBorder="1" applyAlignment="1" applyProtection="1">
      <alignment horizontal="left" vertical="center"/>
      <protection/>
    </xf>
    <xf numFmtId="0" fontId="70" fillId="0" borderId="13" xfId="0" applyFont="1" applyFill="1" applyBorder="1" applyAlignment="1" applyProtection="1">
      <alignment horizontal="center" wrapText="1"/>
      <protection/>
    </xf>
    <xf numFmtId="0" fontId="71" fillId="32" borderId="27" xfId="0" applyFont="1" applyFill="1" applyBorder="1" applyAlignment="1" applyProtection="1">
      <alignment vertical="center" wrapText="1"/>
      <protection locked="0"/>
    </xf>
    <xf numFmtId="0" fontId="71" fillId="32" borderId="28" xfId="0" applyFont="1" applyFill="1" applyBorder="1" applyAlignment="1" applyProtection="1">
      <alignment horizontal="center" vertical="center" wrapText="1"/>
      <protection locked="0"/>
    </xf>
    <xf numFmtId="0" fontId="71" fillId="32" borderId="29" xfId="0" applyFont="1" applyFill="1" applyBorder="1" applyAlignment="1" applyProtection="1">
      <alignment vertical="center" wrapText="1"/>
      <protection locked="0"/>
    </xf>
    <xf numFmtId="0" fontId="71" fillId="32" borderId="31" xfId="0" applyFont="1" applyFill="1" applyBorder="1" applyAlignment="1" applyProtection="1">
      <alignment vertical="center" wrapText="1"/>
      <protection locked="0"/>
    </xf>
    <xf numFmtId="0" fontId="6" fillId="32" borderId="68" xfId="0" applyFont="1" applyFill="1" applyBorder="1" applyAlignment="1" applyProtection="1">
      <alignment horizontal="center" vertical="center"/>
      <protection locked="0"/>
    </xf>
    <xf numFmtId="37" fontId="70" fillId="0" borderId="48" xfId="46" applyNumberFormat="1" applyFont="1" applyFill="1" applyBorder="1" applyAlignment="1" applyProtection="1">
      <alignment vertical="center"/>
      <protection/>
    </xf>
    <xf numFmtId="0" fontId="70" fillId="0" borderId="0" xfId="0" applyFont="1" applyAlignment="1">
      <alignment wrapText="1"/>
    </xf>
    <xf numFmtId="0" fontId="68" fillId="0" borderId="0" xfId="0" applyFont="1" applyAlignment="1">
      <alignment horizontal="left"/>
    </xf>
    <xf numFmtId="0" fontId="68" fillId="0" borderId="0" xfId="0" applyFont="1" applyAlignment="1">
      <alignment/>
    </xf>
    <xf numFmtId="0" fontId="68" fillId="0" borderId="11" xfId="0" applyFont="1" applyBorder="1" applyAlignment="1" applyProtection="1">
      <alignment vertical="center" wrapText="1"/>
      <protection/>
    </xf>
    <xf numFmtId="0" fontId="68" fillId="0" borderId="19" xfId="0" applyFont="1" applyBorder="1" applyAlignment="1" applyProtection="1">
      <alignment/>
      <protection/>
    </xf>
    <xf numFmtId="0" fontId="70" fillId="0" borderId="48" xfId="0" applyFont="1" applyBorder="1" applyAlignment="1" applyProtection="1">
      <alignment horizontal="center" vertical="center"/>
      <protection/>
    </xf>
    <xf numFmtId="0" fontId="70" fillId="0" borderId="48" xfId="0" applyFont="1" applyBorder="1" applyAlignment="1" applyProtection="1">
      <alignment/>
      <protection/>
    </xf>
    <xf numFmtId="0" fontId="75" fillId="0" borderId="51" xfId="0" applyFont="1" applyFill="1" applyBorder="1" applyAlignment="1" applyProtection="1">
      <alignment horizontal="center" vertical="center"/>
      <protection/>
    </xf>
    <xf numFmtId="0" fontId="75" fillId="0" borderId="39" xfId="0" applyFont="1" applyFill="1" applyBorder="1" applyAlignment="1" applyProtection="1">
      <alignment horizontal="center" vertical="center"/>
      <protection/>
    </xf>
    <xf numFmtId="41" fontId="70" fillId="0" borderId="54" xfId="0" applyNumberFormat="1" applyFont="1" applyFill="1" applyBorder="1" applyAlignment="1" applyProtection="1">
      <alignment vertical="center"/>
      <protection/>
    </xf>
    <xf numFmtId="41" fontId="70" fillId="0" borderId="39" xfId="0" applyNumberFormat="1" applyFont="1" applyFill="1" applyBorder="1" applyAlignment="1" applyProtection="1">
      <alignment vertical="center"/>
      <protection/>
    </xf>
    <xf numFmtId="0" fontId="68" fillId="0" borderId="0" xfId="0" applyFont="1" applyAlignment="1">
      <alignment wrapText="1"/>
    </xf>
    <xf numFmtId="0" fontId="68" fillId="0" borderId="0" xfId="0" applyFont="1" applyBorder="1" applyAlignment="1">
      <alignment/>
    </xf>
    <xf numFmtId="0" fontId="71" fillId="32" borderId="68" xfId="0" applyFont="1" applyFill="1" applyBorder="1" applyAlignment="1" applyProtection="1">
      <alignment horizontal="center" vertical="center"/>
      <protection locked="0"/>
    </xf>
    <xf numFmtId="0" fontId="71" fillId="32" borderId="39" xfId="0" applyFont="1" applyFill="1" applyBorder="1" applyAlignment="1" applyProtection="1">
      <alignment horizontal="center" vertical="center"/>
      <protection locked="0"/>
    </xf>
    <xf numFmtId="0" fontId="70" fillId="0" borderId="19" xfId="0" applyFont="1" applyBorder="1" applyAlignment="1" applyProtection="1">
      <alignment horizontal="center" vertical="center" wrapText="1"/>
      <protection/>
    </xf>
    <xf numFmtId="0" fontId="70" fillId="0" borderId="11" xfId="0" applyFont="1" applyBorder="1" applyAlignment="1" applyProtection="1">
      <alignment horizontal="center" vertical="center" wrapText="1"/>
      <protection/>
    </xf>
    <xf numFmtId="0" fontId="70" fillId="0" borderId="0" xfId="0" applyFont="1" applyBorder="1" applyAlignment="1" applyProtection="1">
      <alignment horizontal="left" vertical="center" wrapText="1"/>
      <protection/>
    </xf>
    <xf numFmtId="44" fontId="71" fillId="34" borderId="0" xfId="46" applyFont="1" applyFill="1" applyBorder="1" applyAlignment="1" applyProtection="1">
      <alignment vertical="center"/>
      <protection/>
    </xf>
    <xf numFmtId="0" fontId="76" fillId="0" borderId="0" xfId="0" applyFont="1" applyBorder="1" applyAlignment="1" applyProtection="1">
      <alignment horizontal="center"/>
      <protection/>
    </xf>
    <xf numFmtId="0" fontId="6" fillId="0" borderId="0" xfId="0" applyFont="1" applyFill="1" applyBorder="1" applyAlignment="1" applyProtection="1">
      <alignment vertical="center" wrapText="1"/>
      <protection/>
    </xf>
    <xf numFmtId="0" fontId="71" fillId="32" borderId="15" xfId="0" applyFont="1" applyFill="1" applyBorder="1" applyAlignment="1" applyProtection="1">
      <alignment horizontal="center" vertical="center" wrapText="1"/>
      <protection locked="0"/>
    </xf>
    <xf numFmtId="0" fontId="70" fillId="0" borderId="33" xfId="0" applyFont="1" applyBorder="1" applyAlignment="1" applyProtection="1">
      <alignment horizontal="center" vertical="center"/>
      <protection/>
    </xf>
    <xf numFmtId="0" fontId="68" fillId="0" borderId="11" xfId="0" applyFont="1" applyBorder="1" applyAlignment="1" applyProtection="1">
      <alignment horizontal="center" vertical="center"/>
      <protection/>
    </xf>
    <xf numFmtId="0" fontId="68" fillId="0" borderId="11" xfId="0" applyFont="1" applyBorder="1" applyAlignment="1" applyProtection="1">
      <alignment vertical="center"/>
      <protection/>
    </xf>
    <xf numFmtId="43" fontId="68" fillId="0" borderId="38" xfId="0" applyNumberFormat="1" applyFont="1" applyBorder="1" applyAlignment="1" applyProtection="1">
      <alignment vertical="center"/>
      <protection/>
    </xf>
    <xf numFmtId="9" fontId="68" fillId="0" borderId="0" xfId="67" applyFont="1" applyAlignment="1" applyProtection="1">
      <alignment/>
      <protection/>
    </xf>
    <xf numFmtId="40" fontId="68" fillId="0" borderId="0" xfId="46" applyNumberFormat="1" applyFont="1" applyAlignment="1" applyProtection="1">
      <alignment/>
      <protection/>
    </xf>
    <xf numFmtId="44" fontId="68" fillId="0" borderId="0" xfId="0" applyNumberFormat="1" applyFont="1" applyAlignment="1" applyProtection="1">
      <alignment vertical="center"/>
      <protection/>
    </xf>
    <xf numFmtId="44" fontId="68" fillId="0" borderId="11" xfId="0" applyNumberFormat="1" applyFont="1" applyBorder="1" applyAlignment="1" applyProtection="1">
      <alignment vertical="center" wrapText="1"/>
      <protection/>
    </xf>
    <xf numFmtId="44" fontId="68" fillId="0" borderId="54" xfId="0" applyNumberFormat="1" applyFont="1" applyBorder="1" applyAlignment="1" applyProtection="1">
      <alignment vertical="center"/>
      <protection/>
    </xf>
    <xf numFmtId="44" fontId="68" fillId="0" borderId="38" xfId="46" applyFont="1" applyBorder="1" applyAlignment="1" applyProtection="1">
      <alignment vertical="center"/>
      <protection/>
    </xf>
    <xf numFmtId="44" fontId="68" fillId="0" borderId="39" xfId="46" applyFont="1" applyBorder="1" applyAlignment="1" applyProtection="1">
      <alignment vertical="center"/>
      <protection/>
    </xf>
    <xf numFmtId="0" fontId="70" fillId="0" borderId="11" xfId="0" applyFont="1" applyFill="1" applyBorder="1" applyAlignment="1" applyProtection="1">
      <alignment horizontal="center" wrapText="1"/>
      <protection/>
    </xf>
    <xf numFmtId="0" fontId="5" fillId="0" borderId="58"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37" fontId="18" fillId="0" borderId="59" xfId="46" applyNumberFormat="1" applyFont="1" applyFill="1" applyBorder="1" applyAlignment="1" applyProtection="1">
      <alignment vertical="center"/>
      <protection/>
    </xf>
    <xf numFmtId="44" fontId="5" fillId="0" borderId="0" xfId="46" applyFont="1" applyFill="1" applyBorder="1" applyAlignment="1" applyProtection="1">
      <alignment vertical="center"/>
      <protection/>
    </xf>
    <xf numFmtId="0" fontId="6" fillId="0" borderId="0" xfId="0" applyFont="1" applyAlignment="1" applyProtection="1">
      <alignment vertical="center"/>
      <protection/>
    </xf>
    <xf numFmtId="173" fontId="68" fillId="0" borderId="31" xfId="0" applyNumberFormat="1" applyFont="1" applyBorder="1" applyAlignment="1" applyProtection="1">
      <alignment vertical="center"/>
      <protection/>
    </xf>
    <xf numFmtId="173" fontId="68" fillId="0" borderId="28" xfId="0" applyNumberFormat="1" applyFont="1" applyBorder="1" applyAlignment="1" applyProtection="1">
      <alignment vertical="center"/>
      <protection/>
    </xf>
    <xf numFmtId="0" fontId="6" fillId="32" borderId="39" xfId="0" applyFont="1" applyFill="1" applyBorder="1" applyAlignment="1" applyProtection="1">
      <alignment horizontal="center" vertical="center"/>
      <protection locked="0"/>
    </xf>
    <xf numFmtId="0" fontId="70" fillId="0" borderId="38" xfId="0" applyFont="1" applyFill="1" applyBorder="1" applyAlignment="1" applyProtection="1">
      <alignment horizontal="center" wrapText="1"/>
      <protection/>
    </xf>
    <xf numFmtId="0" fontId="70" fillId="0" borderId="11" xfId="0" applyFont="1" applyFill="1" applyBorder="1" applyAlignment="1" applyProtection="1">
      <alignment horizontal="center"/>
      <protection/>
    </xf>
    <xf numFmtId="0" fontId="70" fillId="0" borderId="9" xfId="0" applyFont="1" applyFill="1" applyBorder="1" applyAlignment="1" applyProtection="1">
      <alignment horizontal="center"/>
      <protection/>
    </xf>
    <xf numFmtId="0" fontId="70" fillId="0" borderId="38" xfId="0" applyFont="1" applyBorder="1" applyAlignment="1" applyProtection="1">
      <alignment horizontal="center" vertical="center" wrapText="1"/>
      <protection/>
    </xf>
    <xf numFmtId="0" fontId="70" fillId="0" borderId="18" xfId="0" applyFont="1" applyFill="1" applyBorder="1" applyAlignment="1" applyProtection="1">
      <alignment horizontal="center"/>
      <protection/>
    </xf>
    <xf numFmtId="44" fontId="0" fillId="0" borderId="0" xfId="46" applyFont="1" applyAlignment="1">
      <alignment/>
    </xf>
    <xf numFmtId="3" fontId="68" fillId="37" borderId="12" xfId="0" applyNumberFormat="1" applyFont="1" applyFill="1" applyBorder="1" applyAlignment="1" applyProtection="1">
      <alignment vertical="center"/>
      <protection/>
    </xf>
    <xf numFmtId="44" fontId="68" fillId="0" borderId="38" xfId="46" applyFont="1" applyFill="1" applyBorder="1" applyAlignment="1" applyProtection="1">
      <alignment vertical="center"/>
      <protection/>
    </xf>
    <xf numFmtId="0" fontId="68" fillId="0" borderId="69" xfId="0" applyFont="1" applyBorder="1" applyAlignment="1" applyProtection="1">
      <alignment horizontal="center" vertical="center"/>
      <protection/>
    </xf>
    <xf numFmtId="0" fontId="70" fillId="37" borderId="41" xfId="0" applyFont="1" applyFill="1" applyBorder="1" applyAlignment="1" applyProtection="1">
      <alignment vertical="center" wrapText="1"/>
      <protection/>
    </xf>
    <xf numFmtId="44" fontId="70" fillId="0" borderId="36" xfId="46" applyFont="1" applyFill="1" applyBorder="1" applyAlignment="1" applyProtection="1">
      <alignment vertical="center"/>
      <protection/>
    </xf>
    <xf numFmtId="0" fontId="68" fillId="0" borderId="20" xfId="0" applyFont="1" applyBorder="1" applyAlignment="1" applyProtection="1">
      <alignment horizontal="center" vertical="center"/>
      <protection/>
    </xf>
    <xf numFmtId="0" fontId="70" fillId="37" borderId="70" xfId="0" applyFont="1" applyFill="1" applyBorder="1" applyAlignment="1" applyProtection="1">
      <alignment vertical="center" wrapText="1"/>
      <protection/>
    </xf>
    <xf numFmtId="44" fontId="70" fillId="0" borderId="24" xfId="46" applyFont="1" applyFill="1" applyBorder="1" applyAlignment="1" applyProtection="1">
      <alignment vertical="center"/>
      <protection/>
    </xf>
    <xf numFmtId="0" fontId="63" fillId="0" borderId="0" xfId="0" applyFont="1" applyAlignment="1">
      <alignment horizontal="center" wrapText="1"/>
    </xf>
    <xf numFmtId="0" fontId="68" fillId="0" borderId="0" xfId="0" applyFont="1" applyBorder="1" applyAlignment="1" applyProtection="1">
      <alignment horizontal="center" vertical="center"/>
      <protection/>
    </xf>
    <xf numFmtId="0" fontId="68" fillId="0" borderId="0" xfId="0" applyFont="1" applyFill="1" applyBorder="1" applyAlignment="1" applyProtection="1">
      <alignment horizontal="left" vertical="center"/>
      <protection/>
    </xf>
    <xf numFmtId="3" fontId="68" fillId="0" borderId="0" xfId="0" applyNumberFormat="1" applyFont="1" applyFill="1" applyBorder="1" applyAlignment="1" applyProtection="1">
      <alignment vertical="center"/>
      <protection/>
    </xf>
    <xf numFmtId="0" fontId="68" fillId="34" borderId="0" xfId="0" applyFont="1" applyFill="1" applyBorder="1" applyAlignment="1" applyProtection="1">
      <alignment horizontal="center" vertical="center"/>
      <protection/>
    </xf>
    <xf numFmtId="0" fontId="68" fillId="0" borderId="0" xfId="0" applyFont="1" applyFill="1" applyBorder="1" applyAlignment="1" applyProtection="1">
      <alignment horizontal="center" vertical="center"/>
      <protection/>
    </xf>
    <xf numFmtId="0" fontId="70" fillId="0" borderId="0" xfId="0" applyFont="1" applyFill="1" applyBorder="1" applyAlignment="1" applyProtection="1">
      <alignment horizontal="center" wrapText="1"/>
      <protection/>
    </xf>
    <xf numFmtId="0" fontId="0" fillId="0" borderId="18" xfId="0" applyBorder="1" applyAlignment="1">
      <alignment/>
    </xf>
    <xf numFmtId="44" fontId="0" fillId="0" borderId="0" xfId="46" applyFont="1" applyAlignment="1">
      <alignment/>
    </xf>
    <xf numFmtId="0" fontId="70" fillId="0" borderId="18" xfId="0" applyFont="1" applyFill="1" applyBorder="1" applyAlignment="1" applyProtection="1">
      <alignment horizontal="center" wrapText="1"/>
      <protection/>
    </xf>
    <xf numFmtId="0" fontId="70" fillId="0" borderId="9" xfId="0" applyFont="1" applyFill="1" applyBorder="1" applyAlignment="1" applyProtection="1">
      <alignment horizontal="center" wrapText="1"/>
      <protection/>
    </xf>
    <xf numFmtId="49" fontId="71" fillId="32" borderId="45" xfId="46" applyNumberFormat="1" applyFont="1" applyFill="1" applyBorder="1" applyAlignment="1" applyProtection="1">
      <alignment vertical="center" wrapText="1"/>
      <protection locked="0"/>
    </xf>
    <xf numFmtId="49" fontId="71" fillId="32" borderId="46" xfId="46" applyNumberFormat="1" applyFont="1" applyFill="1" applyBorder="1" applyAlignment="1" applyProtection="1">
      <alignment vertical="center" wrapText="1"/>
      <protection locked="0"/>
    </xf>
    <xf numFmtId="49" fontId="71" fillId="32" borderId="45" xfId="46" applyNumberFormat="1" applyFont="1" applyFill="1" applyBorder="1" applyAlignment="1" applyProtection="1">
      <alignment horizontal="left" vertical="center" wrapText="1"/>
      <protection locked="0"/>
    </xf>
    <xf numFmtId="49" fontId="71" fillId="32" borderId="9" xfId="46" applyNumberFormat="1" applyFont="1" applyFill="1" applyBorder="1" applyAlignment="1" applyProtection="1">
      <alignment horizontal="left" vertical="center" wrapText="1"/>
      <protection locked="0"/>
    </xf>
    <xf numFmtId="0" fontId="70" fillId="0" borderId="38" xfId="0" applyFont="1" applyFill="1" applyBorder="1" applyAlignment="1" applyProtection="1">
      <alignment horizontal="justify" wrapText="1"/>
      <protection/>
    </xf>
    <xf numFmtId="49" fontId="71" fillId="32" borderId="9" xfId="46" applyNumberFormat="1" applyFont="1" applyFill="1" applyBorder="1" applyAlignment="1" applyProtection="1">
      <alignment vertical="center" wrapText="1"/>
      <protection locked="0"/>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172" fontId="68" fillId="0" borderId="11" xfId="42" applyNumberFormat="1" applyFont="1" applyBorder="1" applyAlignment="1" applyProtection="1">
      <alignment horizontal="center" vertical="center"/>
      <protection/>
    </xf>
    <xf numFmtId="172" fontId="68" fillId="0" borderId="18" xfId="42" applyNumberFormat="1" applyFont="1" applyBorder="1" applyAlignment="1" applyProtection="1">
      <alignment horizontal="center"/>
      <protection/>
    </xf>
    <xf numFmtId="172" fontId="68" fillId="0" borderId="9" xfId="42" applyNumberFormat="1" applyFont="1" applyBorder="1" applyAlignment="1" applyProtection="1">
      <alignment horizontal="center"/>
      <protection/>
    </xf>
    <xf numFmtId="172" fontId="68" fillId="0" borderId="19" xfId="42" applyNumberFormat="1" applyFont="1" applyBorder="1" applyAlignment="1" applyProtection="1">
      <alignment horizontal="center"/>
      <protection/>
    </xf>
    <xf numFmtId="172" fontId="68" fillId="0" borderId="33" xfId="42" applyNumberFormat="1" applyFont="1" applyBorder="1" applyAlignment="1" applyProtection="1">
      <alignment horizontal="center"/>
      <protection/>
    </xf>
    <xf numFmtId="172" fontId="70" fillId="0" borderId="58" xfId="42" applyNumberFormat="1" applyFont="1" applyBorder="1" applyAlignment="1" applyProtection="1">
      <alignment horizontal="center"/>
      <protection/>
    </xf>
    <xf numFmtId="172" fontId="70" fillId="0" borderId="59" xfId="42" applyNumberFormat="1" applyFont="1" applyBorder="1" applyAlignment="1" applyProtection="1">
      <alignment horizontal="center"/>
      <protection/>
    </xf>
    <xf numFmtId="0" fontId="68" fillId="0" borderId="45" xfId="0" applyFont="1" applyBorder="1" applyAlignment="1" applyProtection="1">
      <alignment horizontal="center" vertical="center"/>
      <protection/>
    </xf>
    <xf numFmtId="0" fontId="70" fillId="0" borderId="0" xfId="0" applyFont="1" applyBorder="1" applyAlignment="1" applyProtection="1">
      <alignment horizontal="center" vertical="center"/>
      <protection/>
    </xf>
    <xf numFmtId="0" fontId="70" fillId="0" borderId="15" xfId="0" applyFont="1" applyFill="1" applyBorder="1" applyAlignment="1" applyProtection="1">
      <alignment wrapText="1"/>
      <protection/>
    </xf>
    <xf numFmtId="0" fontId="70" fillId="0" borderId="18" xfId="0" applyFont="1" applyFill="1" applyBorder="1" applyAlignment="1" applyProtection="1">
      <alignment wrapText="1"/>
      <protection/>
    </xf>
    <xf numFmtId="37" fontId="68" fillId="36" borderId="17" xfId="42" applyNumberFormat="1" applyFont="1" applyFill="1" applyBorder="1" applyAlignment="1" applyProtection="1">
      <alignment horizontal="center" vertical="center"/>
      <protection/>
    </xf>
    <xf numFmtId="172" fontId="68" fillId="0" borderId="0" xfId="42" applyNumberFormat="1" applyFont="1" applyBorder="1" applyAlignment="1" applyProtection="1">
      <alignment horizontal="center" vertical="center"/>
      <protection/>
    </xf>
    <xf numFmtId="172" fontId="68" fillId="0" borderId="0" xfId="42" applyNumberFormat="1" applyFont="1" applyBorder="1" applyAlignment="1" applyProtection="1">
      <alignment horizontal="center"/>
      <protection/>
    </xf>
    <xf numFmtId="44" fontId="68" fillId="0" borderId="0" xfId="0" applyNumberFormat="1" applyFont="1" applyBorder="1" applyAlignment="1" applyProtection="1">
      <alignment/>
      <protection/>
    </xf>
    <xf numFmtId="3" fontId="68" fillId="0" borderId="64" xfId="0" applyNumberFormat="1" applyFont="1" applyFill="1" applyBorder="1" applyAlignment="1" applyProtection="1">
      <alignment vertical="center"/>
      <protection/>
    </xf>
    <xf numFmtId="3" fontId="68" fillId="0" borderId="24" xfId="0" applyNumberFormat="1" applyFont="1" applyFill="1" applyBorder="1" applyAlignment="1" applyProtection="1">
      <alignment vertical="center"/>
      <protection/>
    </xf>
    <xf numFmtId="0" fontId="63" fillId="0" borderId="56" xfId="0" applyFont="1" applyBorder="1" applyAlignment="1">
      <alignment horizontal="center" vertical="center" wrapText="1"/>
    </xf>
    <xf numFmtId="172" fontId="63" fillId="0" borderId="0" xfId="42" applyNumberFormat="1" applyFont="1" applyAlignment="1">
      <alignment/>
    </xf>
    <xf numFmtId="0" fontId="0" fillId="0" borderId="71" xfId="0" applyBorder="1" applyAlignment="1">
      <alignment wrapText="1"/>
    </xf>
    <xf numFmtId="172" fontId="63" fillId="0" borderId="18" xfId="42" applyNumberFormat="1" applyFont="1" applyBorder="1" applyAlignment="1">
      <alignment/>
    </xf>
    <xf numFmtId="1" fontId="63" fillId="0" borderId="18" xfId="42" applyNumberFormat="1" applyFont="1" applyBorder="1" applyAlignment="1">
      <alignment/>
    </xf>
    <xf numFmtId="0" fontId="63" fillId="8" borderId="72" xfId="0" applyFont="1" applyFill="1" applyBorder="1" applyAlignment="1">
      <alignment horizontal="center" vertical="center" wrapText="1"/>
    </xf>
    <xf numFmtId="0" fontId="63" fillId="10" borderId="72" xfId="0" applyFont="1" applyFill="1" applyBorder="1" applyAlignment="1">
      <alignment horizontal="center" vertical="center" wrapText="1"/>
    </xf>
    <xf numFmtId="0" fontId="63" fillId="10" borderId="73" xfId="0" applyFont="1" applyFill="1" applyBorder="1" applyAlignment="1">
      <alignment horizontal="center" vertical="center" wrapText="1"/>
    </xf>
    <xf numFmtId="0" fontId="0" fillId="0" borderId="19" xfId="0" applyBorder="1" applyAlignment="1">
      <alignment/>
    </xf>
    <xf numFmtId="0" fontId="0" fillId="0" borderId="74" xfId="0" applyBorder="1" applyAlignment="1">
      <alignment wrapText="1"/>
    </xf>
    <xf numFmtId="172" fontId="77" fillId="0" borderId="18" xfId="42" applyNumberFormat="1" applyFont="1" applyBorder="1" applyAlignment="1">
      <alignment horizontal="right"/>
    </xf>
    <xf numFmtId="43" fontId="63" fillId="0" borderId="51" xfId="42" applyFont="1" applyBorder="1" applyAlignment="1">
      <alignment/>
    </xf>
    <xf numFmtId="0" fontId="63" fillId="0" borderId="0" xfId="0" applyFont="1" applyFill="1" applyBorder="1" applyAlignment="1">
      <alignment/>
    </xf>
    <xf numFmtId="0" fontId="0" fillId="0" borderId="0" xfId="0" applyFill="1" applyBorder="1" applyAlignment="1">
      <alignment/>
    </xf>
    <xf numFmtId="0" fontId="63" fillId="10" borderId="75" xfId="0" applyFont="1" applyFill="1" applyBorder="1" applyAlignment="1">
      <alignment horizontal="center"/>
    </xf>
    <xf numFmtId="0" fontId="63" fillId="10" borderId="18" xfId="0" applyFont="1" applyFill="1" applyBorder="1" applyAlignment="1">
      <alignment horizontal="center" vertical="center" wrapText="1"/>
    </xf>
    <xf numFmtId="0" fontId="63" fillId="10" borderId="9" xfId="0" applyFont="1" applyFill="1" applyBorder="1" applyAlignment="1">
      <alignment horizontal="center" vertical="center" wrapText="1"/>
    </xf>
    <xf numFmtId="4" fontId="0" fillId="0" borderId="11" xfId="0" applyNumberFormat="1" applyBorder="1" applyAlignment="1">
      <alignment/>
    </xf>
    <xf numFmtId="0" fontId="63" fillId="10" borderId="18" xfId="0" applyFont="1" applyFill="1" applyBorder="1" applyAlignment="1">
      <alignment horizontal="center"/>
    </xf>
    <xf numFmtId="0" fontId="0" fillId="10" borderId="18" xfId="0" applyFill="1" applyBorder="1" applyAlignment="1">
      <alignment/>
    </xf>
    <xf numFmtId="0" fontId="63" fillId="0" borderId="76" xfId="0" applyFont="1" applyFill="1" applyBorder="1" applyAlignment="1">
      <alignment horizontal="center" vertical="center" wrapText="1"/>
    </xf>
    <xf numFmtId="0" fontId="63" fillId="0" borderId="77" xfId="0" applyFont="1" applyBorder="1" applyAlignment="1">
      <alignment horizontal="center" vertical="center" wrapText="1"/>
    </xf>
    <xf numFmtId="0" fontId="63" fillId="0" borderId="72" xfId="0" applyFont="1" applyBorder="1" applyAlignment="1" quotePrefix="1">
      <alignment horizontal="center" vertical="center" wrapText="1"/>
    </xf>
    <xf numFmtId="43" fontId="63" fillId="0" borderId="78" xfId="42" applyFont="1" applyBorder="1" applyAlignment="1">
      <alignment horizontal="center" vertical="center" wrapText="1"/>
    </xf>
    <xf numFmtId="0" fontId="8" fillId="0" borderId="79" xfId="0" applyFont="1" applyBorder="1" applyAlignment="1" applyProtection="1">
      <alignment vertical="center"/>
      <protection/>
    </xf>
    <xf numFmtId="171" fontId="63" fillId="0" borderId="18" xfId="42" applyNumberFormat="1" applyFont="1" applyBorder="1" applyAlignment="1">
      <alignment/>
    </xf>
    <xf numFmtId="0" fontId="0" fillId="39" borderId="0" xfId="0" applyFill="1" applyAlignment="1">
      <alignment/>
    </xf>
    <xf numFmtId="49" fontId="6" fillId="2" borderId="37" xfId="0" applyNumberFormat="1" applyFont="1" applyFill="1" applyBorder="1" applyAlignment="1" applyProtection="1">
      <alignment vertical="center"/>
      <protection/>
    </xf>
    <xf numFmtId="49" fontId="6" fillId="2" borderId="35" xfId="0" applyNumberFormat="1" applyFont="1" applyFill="1" applyBorder="1" applyAlignment="1" applyProtection="1">
      <alignment vertical="center"/>
      <protection/>
    </xf>
    <xf numFmtId="0" fontId="6" fillId="2" borderId="37" xfId="0" applyFont="1" applyFill="1" applyBorder="1" applyAlignment="1" applyProtection="1">
      <alignment horizontal="center" vertical="center"/>
      <protection/>
    </xf>
    <xf numFmtId="43" fontId="0" fillId="0" borderId="0" xfId="42" applyFont="1" applyAlignment="1">
      <alignment/>
    </xf>
    <xf numFmtId="43" fontId="63" fillId="0" borderId="18" xfId="42" applyFont="1" applyBorder="1" applyAlignment="1">
      <alignment/>
    </xf>
    <xf numFmtId="43" fontId="0" fillId="0" borderId="0" xfId="0" applyNumberFormat="1" applyAlignment="1">
      <alignment/>
    </xf>
    <xf numFmtId="0" fontId="70" fillId="0" borderId="0" xfId="0" applyFont="1" applyBorder="1" applyAlignment="1" applyProtection="1">
      <alignment horizontal="center"/>
      <protection/>
    </xf>
    <xf numFmtId="37" fontId="68" fillId="0" borderId="0" xfId="0" applyNumberFormat="1" applyFont="1" applyFill="1" applyBorder="1" applyAlignment="1">
      <alignment/>
    </xf>
    <xf numFmtId="0" fontId="70" fillId="0" borderId="0" xfId="0" applyFont="1" applyBorder="1" applyAlignment="1" applyProtection="1">
      <alignment/>
      <protection/>
    </xf>
    <xf numFmtId="37" fontId="68" fillId="0" borderId="0" xfId="0" applyNumberFormat="1" applyFont="1" applyFill="1" applyBorder="1" applyAlignment="1">
      <alignment horizontal="center"/>
    </xf>
    <xf numFmtId="0" fontId="68" fillId="40" borderId="0" xfId="0" applyFont="1" applyFill="1" applyBorder="1" applyAlignment="1" applyProtection="1">
      <alignment/>
      <protection/>
    </xf>
    <xf numFmtId="0" fontId="68" fillId="40" borderId="0" xfId="0" applyFont="1" applyFill="1" applyBorder="1" applyAlignment="1" applyProtection="1">
      <alignment horizontal="center"/>
      <protection/>
    </xf>
    <xf numFmtId="37" fontId="68" fillId="40" borderId="0" xfId="0" applyNumberFormat="1" applyFont="1" applyFill="1" applyBorder="1" applyAlignment="1">
      <alignment horizontal="center"/>
    </xf>
    <xf numFmtId="37" fontId="68" fillId="0" borderId="0" xfId="0" applyNumberFormat="1" applyFont="1" applyFill="1" applyBorder="1" applyAlignment="1">
      <alignment horizontal="left"/>
    </xf>
    <xf numFmtId="0" fontId="68" fillId="0" borderId="20" xfId="0" applyFont="1" applyFill="1" applyBorder="1" applyAlignment="1" applyProtection="1">
      <alignment/>
      <protection/>
    </xf>
    <xf numFmtId="0" fontId="70" fillId="0" borderId="59" xfId="0" applyFont="1" applyBorder="1" applyAlignment="1" applyProtection="1">
      <alignment/>
      <protection/>
    </xf>
    <xf numFmtId="172" fontId="68" fillId="0" borderId="38" xfId="42" applyNumberFormat="1" applyFont="1" applyBorder="1" applyAlignment="1" applyProtection="1">
      <alignment horizontal="center" vertical="center"/>
      <protection/>
    </xf>
    <xf numFmtId="37" fontId="68" fillId="0" borderId="20" xfId="0" applyNumberFormat="1" applyFont="1" applyFill="1" applyBorder="1" applyAlignment="1">
      <alignment horizontal="center"/>
    </xf>
    <xf numFmtId="0" fontId="70" fillId="0" borderId="48" xfId="0" applyFont="1" applyBorder="1" applyAlignment="1" applyProtection="1">
      <alignment vertical="center"/>
      <protection/>
    </xf>
    <xf numFmtId="0" fontId="68" fillId="0" borderId="0" xfId="0" applyFont="1" applyBorder="1" applyAlignment="1" applyProtection="1">
      <alignment horizontal="center" wrapText="1"/>
      <protection/>
    </xf>
    <xf numFmtId="0" fontId="68" fillId="34" borderId="0" xfId="0" applyFont="1" applyFill="1" applyBorder="1" applyAlignment="1" applyProtection="1">
      <alignment horizontal="right" vertical="center" wrapText="1"/>
      <protection/>
    </xf>
    <xf numFmtId="0" fontId="6" fillId="0" borderId="45" xfId="0" applyFont="1" applyFill="1" applyBorder="1" applyAlignment="1" applyProtection="1">
      <alignment horizontal="justify" vertical="center" wrapText="1"/>
      <protection/>
    </xf>
    <xf numFmtId="0" fontId="6" fillId="0" borderId="16" xfId="59" applyFont="1" applyFill="1" applyBorder="1" applyAlignment="1" applyProtection="1">
      <alignment horizontal="left" vertical="center"/>
      <protection/>
    </xf>
    <xf numFmtId="0" fontId="6" fillId="0" borderId="19" xfId="59" applyFont="1" applyFill="1" applyBorder="1" applyAlignment="1" applyProtection="1">
      <alignment horizontal="left" vertical="center"/>
      <protection/>
    </xf>
    <xf numFmtId="0" fontId="9" fillId="32" borderId="20" xfId="69" applyNumberFormat="1" applyFont="1" applyBorder="1" applyAlignment="1">
      <alignment horizontal="left" vertical="center"/>
      <protection locked="0"/>
    </xf>
    <xf numFmtId="0" fontId="9" fillId="32" borderId="23" xfId="69" applyNumberFormat="1" applyFont="1" applyBorder="1" applyAlignment="1">
      <alignment horizontal="left" vertical="center"/>
      <protection locked="0"/>
    </xf>
    <xf numFmtId="0" fontId="6" fillId="0" borderId="19" xfId="59" applyFont="1" applyFill="1" applyBorder="1" applyAlignment="1" applyProtection="1">
      <alignment horizontal="center" vertical="center"/>
      <protection/>
    </xf>
    <xf numFmtId="0" fontId="6" fillId="0" borderId="33" xfId="59" applyFont="1" applyFill="1" applyBorder="1" applyAlignment="1" applyProtection="1">
      <alignment horizontal="center" vertical="center"/>
      <protection/>
    </xf>
    <xf numFmtId="0" fontId="9" fillId="32" borderId="24" xfId="55" applyNumberFormat="1" applyFont="1" applyFill="1" applyBorder="1" applyAlignment="1">
      <alignment horizontal="center" vertical="center"/>
    </xf>
    <xf numFmtId="0" fontId="9" fillId="32" borderId="20" xfId="69" applyNumberFormat="1" applyFont="1" applyBorder="1" applyAlignment="1">
      <alignment horizontal="center" vertical="center"/>
      <protection locked="0"/>
    </xf>
    <xf numFmtId="0" fontId="6" fillId="0" borderId="79" xfId="0" applyFont="1" applyBorder="1" applyAlignment="1" applyProtection="1">
      <alignment horizontal="left" vertical="center"/>
      <protection/>
    </xf>
    <xf numFmtId="37" fontId="68" fillId="0" borderId="20" xfId="0" applyNumberFormat="1" applyFont="1" applyFill="1" applyBorder="1" applyAlignment="1">
      <alignment horizontal="left"/>
    </xf>
    <xf numFmtId="0" fontId="6" fillId="0" borderId="79" xfId="0" applyFont="1" applyFill="1" applyBorder="1" applyAlignment="1" applyProtection="1">
      <alignment vertical="center" wrapText="1"/>
      <protection/>
    </xf>
    <xf numFmtId="0" fontId="9" fillId="32" borderId="37" xfId="0" applyFont="1" applyFill="1" applyBorder="1" applyAlignment="1" applyProtection="1">
      <alignment horizontal="left" vertical="center"/>
      <protection locked="0"/>
    </xf>
    <xf numFmtId="0" fontId="6" fillId="0" borderId="79" xfId="0" applyFont="1" applyFill="1" applyBorder="1" applyAlignment="1" applyProtection="1">
      <alignment vertical="center"/>
      <protection/>
    </xf>
    <xf numFmtId="0" fontId="68" fillId="0" borderId="0" xfId="0" applyFont="1" applyBorder="1" applyAlignment="1" applyProtection="1">
      <alignment vertical="top" wrapText="1"/>
      <protection/>
    </xf>
    <xf numFmtId="0" fontId="68" fillId="0" borderId="20" xfId="0" applyFont="1" applyBorder="1" applyAlignment="1" applyProtection="1">
      <alignment vertical="top" wrapText="1"/>
      <protection/>
    </xf>
    <xf numFmtId="0" fontId="4" fillId="0" borderId="20" xfId="0" applyFont="1" applyBorder="1" applyAlignment="1" applyProtection="1">
      <alignment horizontal="justify" vertical="top" wrapText="1"/>
      <protection/>
    </xf>
    <xf numFmtId="0" fontId="68" fillId="0" borderId="20" xfId="0" applyFont="1" applyBorder="1" applyAlignment="1" applyProtection="1">
      <alignment horizontal="justify" vertical="top"/>
      <protection/>
    </xf>
    <xf numFmtId="0" fontId="6" fillId="34" borderId="0" xfId="61" applyFont="1" applyFill="1" applyAlignment="1" applyProtection="1">
      <alignment horizontal="left" vertical="center" wrapText="1" indent="1"/>
      <protection/>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5" fillId="34" borderId="0" xfId="61" applyFont="1" applyFill="1" applyBorder="1" applyAlignment="1">
      <alignment horizontal="center" vertical="center"/>
      <protection/>
    </xf>
    <xf numFmtId="0" fontId="5" fillId="34" borderId="0" xfId="61" applyFont="1" applyFill="1" applyAlignment="1">
      <alignment horizontal="center" vertical="center"/>
      <protection/>
    </xf>
    <xf numFmtId="0" fontId="6" fillId="34" borderId="0" xfId="61" applyFont="1" applyFill="1" applyAlignment="1" applyProtection="1">
      <alignment horizontal="center" vertical="center"/>
      <protection/>
    </xf>
    <xf numFmtId="0" fontId="70" fillId="0" borderId="0" xfId="0" applyFont="1" applyFill="1" applyBorder="1" applyAlignment="1" applyProtection="1">
      <alignment horizontal="left" wrapText="1"/>
      <protection/>
    </xf>
    <xf numFmtId="0" fontId="3" fillId="0" borderId="0" xfId="0" applyFont="1" applyFill="1" applyBorder="1" applyAlignment="1" applyProtection="1">
      <alignment horizontal="center" wrapText="1"/>
      <protection/>
    </xf>
    <xf numFmtId="0" fontId="70" fillId="0" borderId="0" xfId="0" applyFont="1" applyFill="1" applyBorder="1" applyAlignment="1" applyProtection="1">
      <alignment horizontal="center" wrapText="1"/>
      <protection/>
    </xf>
    <xf numFmtId="0" fontId="3" fillId="0" borderId="0" xfId="0" applyFont="1" applyBorder="1" applyAlignment="1" applyProtection="1">
      <alignment horizontal="center" wrapText="1"/>
      <protection/>
    </xf>
    <xf numFmtId="0" fontId="70" fillId="0" borderId="0" xfId="0" applyFont="1" applyBorder="1" applyAlignment="1" applyProtection="1">
      <alignment horizontal="center" vertical="center"/>
      <protection/>
    </xf>
    <xf numFmtId="0" fontId="68" fillId="0" borderId="18" xfId="0" applyFont="1" applyFill="1" applyBorder="1" applyAlignment="1" applyProtection="1">
      <alignment horizontal="left" vertical="center"/>
      <protection/>
    </xf>
    <xf numFmtId="0" fontId="68" fillId="0" borderId="0" xfId="0" applyFont="1" applyFill="1" applyBorder="1" applyAlignment="1" applyProtection="1">
      <alignment horizontal="left" vertical="center"/>
      <protection/>
    </xf>
    <xf numFmtId="0" fontId="70" fillId="0" borderId="0" xfId="0" applyFont="1" applyFill="1" applyBorder="1" applyAlignment="1" applyProtection="1">
      <alignment horizontal="center" vertical="center"/>
      <protection/>
    </xf>
    <xf numFmtId="0" fontId="70" fillId="0" borderId="0" xfId="0" applyFont="1" applyBorder="1" applyAlignment="1" applyProtection="1">
      <alignment horizontal="center" wrapText="1"/>
      <protection/>
    </xf>
    <xf numFmtId="0" fontId="70" fillId="0" borderId="0" xfId="0" applyFont="1" applyBorder="1" applyAlignment="1" applyProtection="1">
      <alignment horizontal="center"/>
      <protection/>
    </xf>
    <xf numFmtId="0" fontId="68" fillId="0" borderId="64" xfId="0" applyFont="1" applyFill="1" applyBorder="1" applyAlignment="1" applyProtection="1">
      <alignment horizontal="left" vertical="center"/>
      <protection/>
    </xf>
    <xf numFmtId="0" fontId="70" fillId="0" borderId="14" xfId="0" applyFont="1" applyBorder="1" applyAlignment="1" applyProtection="1">
      <alignment horizontal="center" vertical="center"/>
      <protection/>
    </xf>
    <xf numFmtId="0" fontId="68" fillId="0" borderId="79" xfId="0" applyFont="1" applyFill="1" applyBorder="1" applyAlignment="1" applyProtection="1">
      <alignment horizontal="left" vertical="center" wrapText="1"/>
      <protection/>
    </xf>
    <xf numFmtId="0" fontId="68" fillId="0" borderId="45" xfId="0" applyFont="1" applyFill="1" applyBorder="1" applyAlignment="1" applyProtection="1">
      <alignment horizontal="left" vertical="center" wrapText="1"/>
      <protection/>
    </xf>
    <xf numFmtId="0" fontId="70" fillId="0" borderId="16" xfId="0" applyFont="1" applyBorder="1" applyAlignment="1" applyProtection="1">
      <alignment horizontal="center" wrapText="1"/>
      <protection/>
    </xf>
    <xf numFmtId="0" fontId="70" fillId="0" borderId="35" xfId="0" applyFont="1" applyBorder="1" applyAlignment="1" applyProtection="1">
      <alignment horizontal="center"/>
      <protection/>
    </xf>
    <xf numFmtId="0" fontId="3" fillId="0" borderId="18" xfId="0" applyFont="1" applyFill="1" applyBorder="1" applyAlignment="1" applyProtection="1">
      <alignment horizontal="center" wrapText="1"/>
      <protection/>
    </xf>
    <xf numFmtId="0" fontId="70" fillId="0" borderId="18" xfId="0" applyFont="1" applyFill="1" applyBorder="1" applyAlignment="1" applyProtection="1">
      <alignment horizontal="center" wrapText="1"/>
      <protection/>
    </xf>
    <xf numFmtId="0" fontId="3" fillId="0" borderId="18" xfId="0" applyFont="1" applyBorder="1" applyAlignment="1" applyProtection="1">
      <alignment horizontal="center" wrapText="1"/>
      <protection/>
    </xf>
    <xf numFmtId="0" fontId="70" fillId="0" borderId="18" xfId="0" applyFont="1" applyBorder="1" applyAlignment="1" applyProtection="1">
      <alignment horizontal="center" vertical="center"/>
      <protection/>
    </xf>
    <xf numFmtId="0" fontId="70" fillId="0" borderId="9" xfId="0" applyFont="1" applyBorder="1" applyAlignment="1" applyProtection="1">
      <alignment horizontal="center" vertical="center"/>
      <protection/>
    </xf>
    <xf numFmtId="0" fontId="70" fillId="0" borderId="15" xfId="0" applyFont="1" applyBorder="1" applyAlignment="1" applyProtection="1">
      <alignment horizontal="left" wrapText="1"/>
      <protection/>
    </xf>
    <xf numFmtId="0" fontId="70" fillId="0" borderId="18" xfId="0" applyFont="1" applyBorder="1" applyAlignment="1" applyProtection="1">
      <alignment horizontal="left" wrapText="1"/>
      <protection/>
    </xf>
    <xf numFmtId="0" fontId="68" fillId="0" borderId="39" xfId="0" applyFont="1" applyBorder="1" applyAlignment="1" applyProtection="1">
      <alignment horizontal="justify" vertical="center" wrapText="1"/>
      <protection/>
    </xf>
    <xf numFmtId="0" fontId="68" fillId="0" borderId="55" xfId="0" applyFont="1" applyBorder="1" applyAlignment="1" applyProtection="1">
      <alignment horizontal="justify" vertical="center" wrapText="1"/>
      <protection/>
    </xf>
    <xf numFmtId="0" fontId="68" fillId="0" borderId="51" xfId="0" applyFont="1" applyBorder="1" applyAlignment="1" applyProtection="1">
      <alignment horizontal="justify" vertical="center" wrapText="1"/>
      <protection/>
    </xf>
    <xf numFmtId="0" fontId="68" fillId="0" borderId="9" xfId="0" applyFont="1" applyBorder="1" applyAlignment="1" applyProtection="1">
      <alignment vertical="center"/>
      <protection/>
    </xf>
    <xf numFmtId="0" fontId="68" fillId="0" borderId="15" xfId="0" applyFont="1" applyBorder="1" applyAlignment="1" applyProtection="1">
      <alignment vertical="center"/>
      <protection/>
    </xf>
    <xf numFmtId="0" fontId="68" fillId="0" borderId="30" xfId="0" applyFont="1" applyBorder="1" applyAlignment="1" applyProtection="1">
      <alignment vertical="center"/>
      <protection/>
    </xf>
    <xf numFmtId="0" fontId="68" fillId="0" borderId="21" xfId="0" applyFont="1" applyBorder="1" applyAlignment="1" applyProtection="1">
      <alignment vertical="center"/>
      <protection/>
    </xf>
    <xf numFmtId="0" fontId="70" fillId="0" borderId="0" xfId="0" applyFont="1" applyAlignment="1" applyProtection="1" quotePrefix="1">
      <alignment horizontal="center" vertical="center"/>
      <protection/>
    </xf>
    <xf numFmtId="166" fontId="70" fillId="0" borderId="0" xfId="0" applyNumberFormat="1" applyFont="1" applyAlignment="1" applyProtection="1">
      <alignment horizontal="center" vertical="center"/>
      <protection/>
    </xf>
    <xf numFmtId="0" fontId="70" fillId="0" borderId="9" xfId="0" applyFont="1" applyFill="1" applyBorder="1" applyAlignment="1" applyProtection="1">
      <alignment horizontal="center" wrapText="1"/>
      <protection/>
    </xf>
    <xf numFmtId="0" fontId="70" fillId="0" borderId="45" xfId="0" applyFont="1" applyFill="1" applyBorder="1" applyAlignment="1" applyProtection="1">
      <alignment horizontal="center" wrapText="1"/>
      <protection/>
    </xf>
    <xf numFmtId="0" fontId="68" fillId="0" borderId="9" xfId="0" applyFont="1" applyFill="1" applyBorder="1" applyAlignment="1" applyProtection="1">
      <alignment horizontal="center"/>
      <protection/>
    </xf>
    <xf numFmtId="0" fontId="68" fillId="0" borderId="45" xfId="0" applyFont="1" applyFill="1" applyBorder="1" applyAlignment="1" applyProtection="1">
      <alignment horizontal="center"/>
      <protection/>
    </xf>
    <xf numFmtId="0" fontId="70" fillId="0" borderId="59" xfId="0" applyFont="1" applyBorder="1" applyAlignment="1" applyProtection="1">
      <alignment vertical="center"/>
      <protection/>
    </xf>
    <xf numFmtId="0" fontId="70" fillId="0" borderId="17" xfId="0" applyFont="1" applyBorder="1" applyAlignment="1" applyProtection="1">
      <alignment vertical="center"/>
      <protection/>
    </xf>
    <xf numFmtId="0" fontId="68" fillId="0" borderId="24" xfId="0" applyFont="1" applyFill="1" applyBorder="1" applyAlignment="1" applyProtection="1">
      <alignment horizontal="center"/>
      <protection/>
    </xf>
    <xf numFmtId="0" fontId="68" fillId="0" borderId="20" xfId="0" applyFont="1" applyFill="1" applyBorder="1" applyAlignment="1" applyProtection="1">
      <alignment horizontal="center"/>
      <protection/>
    </xf>
    <xf numFmtId="0" fontId="68" fillId="0" borderId="9" xfId="0" applyFont="1" applyBorder="1" applyAlignment="1" applyProtection="1">
      <alignment vertical="center" wrapText="1"/>
      <protection/>
    </xf>
    <xf numFmtId="0" fontId="68" fillId="0" borderId="15" xfId="0" applyFont="1" applyBorder="1" applyAlignment="1" applyProtection="1">
      <alignment vertical="center" wrapText="1"/>
      <protection/>
    </xf>
    <xf numFmtId="0" fontId="70" fillId="0" borderId="38" xfId="0" applyFont="1" applyBorder="1" applyAlignment="1" applyProtection="1">
      <alignment horizontal="center" wrapText="1"/>
      <protection/>
    </xf>
    <xf numFmtId="0" fontId="70" fillId="0" borderId="35" xfId="0" applyFont="1" applyBorder="1" applyAlignment="1" applyProtection="1">
      <alignment horizontal="center" wrapText="1"/>
      <protection/>
    </xf>
    <xf numFmtId="0" fontId="68" fillId="0" borderId="45" xfId="0" applyFont="1" applyBorder="1" applyAlignment="1" applyProtection="1">
      <alignment horizontal="justify" wrapText="1"/>
      <protection/>
    </xf>
    <xf numFmtId="0" fontId="70" fillId="0" borderId="33" xfId="0" applyFont="1" applyBorder="1" applyAlignment="1" applyProtection="1">
      <alignment horizontal="center" wrapText="1"/>
      <protection/>
    </xf>
    <xf numFmtId="0" fontId="70" fillId="0" borderId="16" xfId="0" applyFont="1" applyBorder="1" applyAlignment="1" applyProtection="1">
      <alignment horizontal="center"/>
      <protection/>
    </xf>
    <xf numFmtId="0" fontId="70" fillId="0" borderId="38" xfId="0" applyFont="1" applyBorder="1" applyAlignment="1" applyProtection="1">
      <alignment horizontal="center"/>
      <protection/>
    </xf>
    <xf numFmtId="0" fontId="68" fillId="0" borderId="30" xfId="0" applyFont="1" applyFill="1" applyBorder="1" applyAlignment="1" applyProtection="1">
      <alignment horizontal="center"/>
      <protection/>
    </xf>
    <xf numFmtId="0" fontId="68" fillId="0" borderId="46" xfId="0" applyFont="1" applyFill="1" applyBorder="1" applyAlignment="1" applyProtection="1">
      <alignment horizontal="center"/>
      <protection/>
    </xf>
    <xf numFmtId="0" fontId="70" fillId="0" borderId="15" xfId="0" applyFont="1" applyBorder="1" applyAlignment="1" applyProtection="1">
      <alignment horizontal="center" wrapText="1"/>
      <protection/>
    </xf>
    <xf numFmtId="0" fontId="70" fillId="0" borderId="15" xfId="0" applyFont="1" applyBorder="1" applyAlignment="1" applyProtection="1">
      <alignment horizontal="center"/>
      <protection/>
    </xf>
    <xf numFmtId="0" fontId="70" fillId="0" borderId="45" xfId="0" applyFont="1" applyBorder="1" applyAlignment="1" applyProtection="1">
      <alignment horizontal="center" vertical="center"/>
      <protection/>
    </xf>
    <xf numFmtId="0" fontId="70" fillId="0" borderId="18" xfId="0" applyFont="1" applyBorder="1" applyAlignment="1" applyProtection="1">
      <alignment horizontal="center" wrapText="1"/>
      <protection/>
    </xf>
    <xf numFmtId="0" fontId="68" fillId="0" borderId="20" xfId="0" applyFont="1" applyBorder="1" applyAlignment="1" applyProtection="1">
      <alignment horizontal="justify" vertical="center" wrapText="1"/>
      <protection/>
    </xf>
    <xf numFmtId="0" fontId="70" fillId="0" borderId="0" xfId="0" applyFont="1" applyAlignment="1" applyProtection="1">
      <alignment horizontal="center" vertical="center"/>
      <protection/>
    </xf>
    <xf numFmtId="0" fontId="4" fillId="0" borderId="20" xfId="0" applyFont="1" applyBorder="1" applyAlignment="1" applyProtection="1">
      <alignment horizontal="justify" vertical="center" wrapText="1"/>
      <protection/>
    </xf>
    <xf numFmtId="0" fontId="6" fillId="0" borderId="20" xfId="0" applyFont="1" applyFill="1" applyBorder="1" applyAlignment="1" applyProtection="1">
      <alignment horizontal="left" vertical="center" wrapText="1"/>
      <protection/>
    </xf>
    <xf numFmtId="0" fontId="6" fillId="0" borderId="23" xfId="0" applyFont="1" applyFill="1" applyBorder="1" applyAlignment="1" applyProtection="1">
      <alignment horizontal="left" vertical="center" wrapText="1"/>
      <protection/>
    </xf>
    <xf numFmtId="0" fontId="70" fillId="0" borderId="80" xfId="0" applyFont="1" applyBorder="1" applyAlignment="1" applyProtection="1">
      <alignment horizontal="center"/>
      <protection/>
    </xf>
    <xf numFmtId="0" fontId="70" fillId="0" borderId="81" xfId="0" applyFont="1" applyBorder="1" applyAlignment="1" applyProtection="1">
      <alignment horizontal="center"/>
      <protection/>
    </xf>
    <xf numFmtId="0" fontId="70" fillId="0" borderId="32" xfId="0" applyFont="1" applyBorder="1" applyAlignment="1" applyProtection="1">
      <alignment horizontal="center"/>
      <protection/>
    </xf>
    <xf numFmtId="0" fontId="70" fillId="0" borderId="82" xfId="0" applyFont="1" applyBorder="1" applyAlignment="1" applyProtection="1">
      <alignment horizontal="center"/>
      <protection/>
    </xf>
    <xf numFmtId="0" fontId="78" fillId="0" borderId="0" xfId="0" applyFont="1" applyAlignment="1" applyProtection="1">
      <alignment horizontal="center" wrapText="1"/>
      <protection/>
    </xf>
    <xf numFmtId="0" fontId="78" fillId="0" borderId="0" xfId="0" applyFont="1" applyAlignment="1" applyProtection="1">
      <alignment horizontal="center"/>
      <protection/>
    </xf>
    <xf numFmtId="0" fontId="70" fillId="0" borderId="83" xfId="0" applyFont="1" applyFill="1" applyBorder="1" applyAlignment="1" applyProtection="1">
      <alignment horizontal="center" wrapText="1"/>
      <protection/>
    </xf>
    <xf numFmtId="0" fontId="68" fillId="0" borderId="0" xfId="0" applyFont="1" applyBorder="1" applyAlignment="1" applyProtection="1">
      <alignment horizontal="left" vertical="center" wrapText="1"/>
      <protection/>
    </xf>
    <xf numFmtId="0" fontId="67" fillId="0" borderId="0" xfId="0" applyFont="1" applyAlignment="1" applyProtection="1">
      <alignment horizontal="center" wrapText="1"/>
      <protection/>
    </xf>
    <xf numFmtId="0" fontId="70" fillId="0" borderId="47" xfId="0" applyFont="1" applyBorder="1" applyAlignment="1" applyProtection="1">
      <alignment horizontal="center" wrapText="1"/>
      <protection/>
    </xf>
    <xf numFmtId="0" fontId="70" fillId="0" borderId="32" xfId="0" applyFont="1" applyBorder="1" applyAlignment="1" applyProtection="1">
      <alignment horizontal="center" wrapText="1"/>
      <protection/>
    </xf>
    <xf numFmtId="0" fontId="70" fillId="0" borderId="60" xfId="0" applyFont="1" applyBorder="1" applyAlignment="1" applyProtection="1">
      <alignment horizontal="center" wrapText="1"/>
      <protection/>
    </xf>
    <xf numFmtId="0" fontId="70" fillId="0" borderId="0" xfId="0" applyFont="1" applyBorder="1" applyAlignment="1" applyProtection="1" quotePrefix="1">
      <alignment horizontal="center"/>
      <protection/>
    </xf>
    <xf numFmtId="0" fontId="70" fillId="0" borderId="20" xfId="0" applyFont="1" applyBorder="1" applyAlignment="1" applyProtection="1">
      <alignment horizontal="center" vertical="center"/>
      <protection/>
    </xf>
    <xf numFmtId="0" fontId="6" fillId="0" borderId="9"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8" fillId="0" borderId="30" xfId="0" applyFont="1" applyBorder="1" applyAlignment="1" applyProtection="1">
      <alignment vertical="center" wrapText="1"/>
      <protection/>
    </xf>
    <xf numFmtId="0" fontId="68" fillId="0" borderId="21" xfId="0" applyFont="1" applyBorder="1" applyAlignment="1" applyProtection="1">
      <alignment vertical="center" wrapText="1"/>
      <protection/>
    </xf>
    <xf numFmtId="0" fontId="70" fillId="36" borderId="24" xfId="0" applyFont="1" applyFill="1" applyBorder="1" applyAlignment="1" applyProtection="1">
      <alignment vertical="center" wrapText="1"/>
      <protection/>
    </xf>
    <xf numFmtId="0" fontId="70" fillId="36" borderId="23" xfId="0" applyFont="1" applyFill="1" applyBorder="1" applyAlignment="1" applyProtection="1">
      <alignment vertical="center" wrapText="1"/>
      <protection/>
    </xf>
    <xf numFmtId="0" fontId="68" fillId="0" borderId="30" xfId="0" applyFont="1" applyBorder="1" applyAlignment="1" applyProtection="1">
      <alignment horizontal="left" vertical="center" wrapText="1"/>
      <protection/>
    </xf>
    <xf numFmtId="0" fontId="68" fillId="0" borderId="21" xfId="0" applyFont="1" applyBorder="1" applyAlignment="1" applyProtection="1">
      <alignment horizontal="left" vertical="center" wrapText="1"/>
      <protection/>
    </xf>
    <xf numFmtId="0" fontId="6" fillId="0" borderId="55" xfId="0" applyFont="1" applyFill="1" applyBorder="1" applyAlignment="1" applyProtection="1">
      <alignment horizontal="left" vertical="center" wrapText="1"/>
      <protection/>
    </xf>
    <xf numFmtId="0" fontId="3" fillId="0" borderId="0" xfId="0" applyFont="1" applyAlignment="1" applyProtection="1">
      <alignment horizontal="center" vertical="center" wrapText="1"/>
      <protection/>
    </xf>
    <xf numFmtId="0" fontId="70" fillId="0" borderId="0" xfId="0" applyFont="1" applyAlignment="1" applyProtection="1">
      <alignment horizontal="center" vertical="center" wrapText="1"/>
      <protection/>
    </xf>
    <xf numFmtId="0" fontId="7" fillId="0" borderId="0" xfId="0" applyFont="1" applyAlignment="1" applyProtection="1">
      <alignment horizontal="left" vertical="center" wrapText="1"/>
      <protection/>
    </xf>
    <xf numFmtId="0" fontId="68" fillId="0" borderId="0" xfId="0" applyFont="1" applyAlignment="1" applyProtection="1">
      <alignment horizontal="left" vertical="center" wrapText="1"/>
      <protection/>
    </xf>
    <xf numFmtId="0" fontId="70" fillId="0" borderId="84" xfId="0" applyFont="1" applyBorder="1" applyAlignment="1" applyProtection="1">
      <alignment horizontal="center" wrapText="1"/>
      <protection/>
    </xf>
    <xf numFmtId="0" fontId="70" fillId="0" borderId="85" xfId="0" applyFont="1" applyBorder="1" applyAlignment="1" applyProtection="1">
      <alignment horizontal="center" wrapText="1"/>
      <protection/>
    </xf>
    <xf numFmtId="0" fontId="70" fillId="0" borderId="32" xfId="0" applyFont="1" applyFill="1" applyBorder="1" applyAlignment="1" applyProtection="1">
      <alignment horizontal="justify" wrapText="1"/>
      <protection/>
    </xf>
    <xf numFmtId="0" fontId="70" fillId="0" borderId="37" xfId="0" applyFont="1" applyFill="1" applyBorder="1" applyAlignment="1" applyProtection="1">
      <alignment horizontal="justify" wrapText="1"/>
      <protection/>
    </xf>
    <xf numFmtId="0" fontId="70" fillId="0" borderId="85" xfId="0" applyFont="1" applyFill="1" applyBorder="1" applyAlignment="1" applyProtection="1">
      <alignment horizontal="center" wrapText="1"/>
      <protection/>
    </xf>
    <xf numFmtId="0" fontId="70" fillId="0" borderId="0" xfId="0" applyFont="1" applyAlignment="1" applyProtection="1" quotePrefix="1">
      <alignment horizontal="center"/>
      <protection/>
    </xf>
    <xf numFmtId="0" fontId="70" fillId="0" borderId="0" xfId="0" applyFont="1" applyAlignment="1" applyProtection="1">
      <alignment horizontal="center"/>
      <protection/>
    </xf>
    <xf numFmtId="0" fontId="4" fillId="0" borderId="0" xfId="0" applyFont="1" applyBorder="1" applyAlignment="1" applyProtection="1">
      <alignment horizontal="justify" vertical="center" wrapText="1"/>
      <protection/>
    </xf>
    <xf numFmtId="0" fontId="68" fillId="0" borderId="14" xfId="0" applyFont="1" applyBorder="1" applyAlignment="1" applyProtection="1">
      <alignment horizontal="left" vertical="top" wrapText="1"/>
      <protection/>
    </xf>
    <xf numFmtId="0" fontId="68" fillId="0" borderId="61" xfId="0" applyFont="1" applyBorder="1" applyAlignment="1" applyProtection="1">
      <alignment horizontal="left" vertical="top" wrapText="1"/>
      <protection/>
    </xf>
    <xf numFmtId="0" fontId="15" fillId="0" borderId="0" xfId="0" applyFont="1" applyAlignment="1" applyProtection="1">
      <alignment horizontal="center" vertical="center" wrapText="1"/>
      <protection/>
    </xf>
    <xf numFmtId="0" fontId="79" fillId="0" borderId="0" xfId="0" applyFont="1" applyAlignment="1" applyProtection="1">
      <alignment horizontal="center" vertical="center" wrapText="1"/>
      <protection/>
    </xf>
    <xf numFmtId="0" fontId="6" fillId="0" borderId="57" xfId="0" applyFont="1" applyFill="1" applyBorder="1" applyAlignment="1" applyProtection="1">
      <alignment vertical="center" wrapText="1"/>
      <protection/>
    </xf>
    <xf numFmtId="0" fontId="7" fillId="0" borderId="0" xfId="0" applyFont="1" applyAlignment="1" applyProtection="1">
      <alignment horizontal="center" vertical="center" wrapText="1"/>
      <protection/>
    </xf>
    <xf numFmtId="0" fontId="67" fillId="0" borderId="0" xfId="0" applyFont="1" applyAlignment="1" applyProtection="1">
      <alignment horizontal="center" vertical="center" wrapText="1"/>
      <protection/>
    </xf>
    <xf numFmtId="0" fontId="70" fillId="0" borderId="20" xfId="0" applyFont="1" applyBorder="1" applyAlignment="1" applyProtection="1">
      <alignment horizontal="center"/>
      <protection/>
    </xf>
    <xf numFmtId="0" fontId="70" fillId="0" borderId="86" xfId="0" applyFont="1" applyBorder="1" applyAlignment="1" applyProtection="1">
      <alignment horizontal="center" vertical="center"/>
      <protection/>
    </xf>
    <xf numFmtId="0" fontId="70" fillId="34" borderId="87" xfId="0" applyFont="1" applyFill="1" applyBorder="1" applyAlignment="1" applyProtection="1">
      <alignment horizontal="center" vertical="center"/>
      <protection/>
    </xf>
    <xf numFmtId="0" fontId="70" fillId="34" borderId="88" xfId="0" applyFont="1" applyFill="1" applyBorder="1" applyAlignment="1" applyProtection="1">
      <alignment horizontal="center" vertical="center"/>
      <protection/>
    </xf>
    <xf numFmtId="0" fontId="70" fillId="34" borderId="89" xfId="0" applyFont="1" applyFill="1" applyBorder="1" applyAlignment="1" applyProtection="1">
      <alignment horizontal="center" vertical="center"/>
      <protection/>
    </xf>
    <xf numFmtId="0" fontId="68" fillId="0" borderId="45" xfId="0" applyFont="1" applyBorder="1" applyAlignment="1" applyProtection="1">
      <alignment vertical="center" wrapText="1"/>
      <protection/>
    </xf>
    <xf numFmtId="0" fontId="68" fillId="0" borderId="45" xfId="0" applyFont="1" applyBorder="1" applyAlignment="1" applyProtection="1">
      <alignment vertical="center"/>
      <protection/>
    </xf>
    <xf numFmtId="0" fontId="68" fillId="0" borderId="46" xfId="0" applyFont="1" applyBorder="1" applyAlignment="1" applyProtection="1">
      <alignment vertical="center"/>
      <protection/>
    </xf>
    <xf numFmtId="0" fontId="70" fillId="0" borderId="36" xfId="0" applyFont="1" applyFill="1" applyBorder="1" applyAlignment="1" applyProtection="1">
      <alignment vertical="center" wrapText="1"/>
      <protection/>
    </xf>
    <xf numFmtId="0" fontId="70" fillId="0" borderId="69" xfId="0" applyFont="1" applyFill="1" applyBorder="1" applyAlignment="1" applyProtection="1">
      <alignment vertical="center" wrapText="1"/>
      <protection/>
    </xf>
    <xf numFmtId="0" fontId="68" fillId="0" borderId="36" xfId="0" applyFont="1" applyFill="1" applyBorder="1" applyAlignment="1" applyProtection="1">
      <alignment vertical="center" wrapText="1"/>
      <protection/>
    </xf>
    <xf numFmtId="0" fontId="68" fillId="0" borderId="69" xfId="0" applyFont="1" applyFill="1" applyBorder="1" applyAlignment="1" applyProtection="1">
      <alignment vertical="center" wrapText="1"/>
      <protection/>
    </xf>
    <xf numFmtId="0" fontId="70" fillId="0" borderId="59" xfId="0" applyFont="1" applyFill="1" applyBorder="1" applyAlignment="1" applyProtection="1">
      <alignment vertical="center" wrapText="1"/>
      <protection/>
    </xf>
    <xf numFmtId="0" fontId="70" fillId="0" borderId="48" xfId="0" applyFont="1" applyFill="1" applyBorder="1" applyAlignment="1" applyProtection="1">
      <alignment vertical="center" wrapText="1"/>
      <protection/>
    </xf>
    <xf numFmtId="0" fontId="68" fillId="0" borderId="46" xfId="0" applyFont="1" applyBorder="1" applyAlignment="1" applyProtection="1">
      <alignment vertical="center" wrapText="1"/>
      <protection/>
    </xf>
    <xf numFmtId="0" fontId="70" fillId="0" borderId="36" xfId="0" applyFont="1" applyBorder="1" applyAlignment="1" applyProtection="1">
      <alignment vertical="center" wrapText="1"/>
      <protection/>
    </xf>
    <xf numFmtId="0" fontId="70" fillId="0" borderId="69" xfId="0" applyFont="1" applyBorder="1" applyAlignment="1" applyProtection="1">
      <alignment vertical="center" wrapText="1"/>
      <protection/>
    </xf>
    <xf numFmtId="0" fontId="68" fillId="0" borderId="38" xfId="0" applyFont="1" applyBorder="1" applyAlignment="1" applyProtection="1">
      <alignment vertical="center"/>
      <protection/>
    </xf>
    <xf numFmtId="0" fontId="68" fillId="0" borderId="37" xfId="0" applyFont="1" applyBorder="1" applyAlignment="1" applyProtection="1">
      <alignment vertical="center"/>
      <protection/>
    </xf>
    <xf numFmtId="0" fontId="70" fillId="0" borderId="24" xfId="0" applyFont="1" applyBorder="1" applyAlignment="1" applyProtection="1">
      <alignment vertical="center" wrapText="1"/>
      <protection/>
    </xf>
    <xf numFmtId="0" fontId="70" fillId="0" borderId="20" xfId="0" applyFont="1" applyBorder="1" applyAlignment="1" applyProtection="1">
      <alignment vertical="center" wrapText="1"/>
      <protection/>
    </xf>
    <xf numFmtId="0" fontId="68" fillId="0" borderId="36" xfId="0" applyFont="1" applyBorder="1" applyAlignment="1" applyProtection="1">
      <alignment vertical="center" wrapText="1"/>
      <protection/>
    </xf>
    <xf numFmtId="0" fontId="68" fillId="0" borderId="69" xfId="0" applyFont="1" applyBorder="1" applyAlignment="1" applyProtection="1">
      <alignment vertical="center" wrapText="1"/>
      <protection/>
    </xf>
    <xf numFmtId="0" fontId="68" fillId="0" borderId="22" xfId="0" applyFont="1" applyBorder="1" applyAlignment="1" applyProtection="1">
      <alignment vertical="center" wrapText="1"/>
      <protection/>
    </xf>
    <xf numFmtId="0" fontId="70" fillId="0" borderId="23" xfId="0" applyFont="1" applyBorder="1" applyAlignment="1" applyProtection="1">
      <alignment vertical="center" wrapText="1"/>
      <protection/>
    </xf>
    <xf numFmtId="0" fontId="70" fillId="0" borderId="9" xfId="0" applyFont="1" applyFill="1" applyBorder="1" applyAlignment="1" applyProtection="1">
      <alignment horizontal="center"/>
      <protection/>
    </xf>
    <xf numFmtId="0" fontId="70" fillId="0" borderId="15" xfId="0" applyFont="1" applyFill="1" applyBorder="1" applyAlignment="1" applyProtection="1">
      <alignment horizontal="center"/>
      <protection/>
    </xf>
    <xf numFmtId="0" fontId="70" fillId="0" borderId="48" xfId="0" applyFont="1" applyBorder="1" applyAlignment="1" applyProtection="1">
      <alignment vertical="center"/>
      <protection/>
    </xf>
    <xf numFmtId="0" fontId="70" fillId="0" borderId="19" xfId="0" applyFont="1" applyBorder="1" applyAlignment="1" applyProtection="1">
      <alignment horizontal="center" vertical="center" wrapText="1"/>
      <protection/>
    </xf>
    <xf numFmtId="0" fontId="70" fillId="0" borderId="11" xfId="0" applyFont="1" applyBorder="1" applyAlignment="1" applyProtection="1">
      <alignment horizontal="center" vertical="center" wrapText="1"/>
      <protection/>
    </xf>
    <xf numFmtId="0" fontId="68" fillId="0" borderId="14" xfId="0" applyFont="1" applyBorder="1" applyAlignment="1" applyProtection="1">
      <alignment horizontal="left" vertical="center" wrapText="1"/>
      <protection/>
    </xf>
    <xf numFmtId="0" fontId="68" fillId="0" borderId="61" xfId="0" applyFont="1" applyBorder="1" applyAlignment="1" applyProtection="1">
      <alignment horizontal="left" vertical="center" wrapText="1"/>
      <protection/>
    </xf>
    <xf numFmtId="0" fontId="71" fillId="32" borderId="9" xfId="0" applyFont="1" applyFill="1" applyBorder="1" applyAlignment="1" applyProtection="1">
      <alignment horizontal="center" vertical="center" wrapText="1"/>
      <protection locked="0"/>
    </xf>
    <xf numFmtId="0" fontId="71" fillId="32" borderId="15" xfId="0" applyFont="1" applyFill="1" applyBorder="1" applyAlignment="1" applyProtection="1">
      <alignment horizontal="center" vertical="center" wrapText="1"/>
      <protection locked="0"/>
    </xf>
    <xf numFmtId="0" fontId="68" fillId="0" borderId="55" xfId="0" applyFont="1" applyBorder="1" applyAlignment="1" applyProtection="1">
      <alignment horizontal="left" vertical="center" wrapText="1"/>
      <protection/>
    </xf>
    <xf numFmtId="0" fontId="68" fillId="0" borderId="51" xfId="0" applyFont="1" applyBorder="1" applyAlignment="1" applyProtection="1">
      <alignment horizontal="left" vertical="center" wrapText="1"/>
      <protection/>
    </xf>
    <xf numFmtId="0" fontId="70" fillId="0" borderId="18" xfId="0" applyFont="1" applyFill="1" applyBorder="1" applyAlignment="1" applyProtection="1">
      <alignment horizontal="center"/>
      <protection/>
    </xf>
    <xf numFmtId="44" fontId="70" fillId="0" borderId="19" xfId="0" applyNumberFormat="1" applyFont="1" applyBorder="1" applyAlignment="1" applyProtection="1">
      <alignment horizontal="center" vertical="center" wrapText="1"/>
      <protection/>
    </xf>
    <xf numFmtId="44" fontId="70" fillId="0" borderId="11" xfId="0" applyNumberFormat="1" applyFont="1" applyBorder="1" applyAlignment="1" applyProtection="1">
      <alignment horizontal="center" vertical="center" wrapText="1"/>
      <protection/>
    </xf>
    <xf numFmtId="0" fontId="70" fillId="0" borderId="33" xfId="0" applyFont="1" applyFill="1" applyBorder="1" applyAlignment="1" applyProtection="1">
      <alignment horizontal="center" wrapText="1"/>
      <protection/>
    </xf>
    <xf numFmtId="0" fontId="70" fillId="0" borderId="16" xfId="0" applyFont="1" applyFill="1" applyBorder="1" applyAlignment="1" applyProtection="1">
      <alignment horizontal="center" wrapText="1"/>
      <protection/>
    </xf>
    <xf numFmtId="0" fontId="70" fillId="0" borderId="38" xfId="0" applyFont="1" applyFill="1" applyBorder="1" applyAlignment="1" applyProtection="1">
      <alignment horizontal="center" wrapText="1"/>
      <protection/>
    </xf>
    <xf numFmtId="0" fontId="70" fillId="0" borderId="35" xfId="0" applyFont="1" applyFill="1" applyBorder="1" applyAlignment="1" applyProtection="1">
      <alignment horizontal="center" wrapText="1"/>
      <protection/>
    </xf>
    <xf numFmtId="0" fontId="70" fillId="0" borderId="33" xfId="0" applyFont="1" applyBorder="1" applyAlignment="1" applyProtection="1">
      <alignment horizontal="center" vertical="center" wrapText="1"/>
      <protection/>
    </xf>
    <xf numFmtId="0" fontId="70" fillId="0" borderId="38" xfId="0" applyFont="1" applyBorder="1" applyAlignment="1" applyProtection="1">
      <alignment horizontal="center" vertical="center" wrapText="1"/>
      <protection/>
    </xf>
    <xf numFmtId="0" fontId="5" fillId="0" borderId="14" xfId="0" applyFont="1" applyFill="1" applyBorder="1" applyAlignment="1" applyProtection="1">
      <alignment horizontal="center" wrapText="1"/>
      <protection/>
    </xf>
    <xf numFmtId="0" fontId="70" fillId="0" borderId="37" xfId="0" applyFont="1" applyBorder="1" applyAlignment="1" applyProtection="1">
      <alignment horizontal="center" vertical="center"/>
      <protection/>
    </xf>
    <xf numFmtId="0" fontId="63" fillId="8" borderId="90" xfId="0" applyFont="1" applyFill="1" applyBorder="1" applyAlignment="1">
      <alignment horizontal="center"/>
    </xf>
    <xf numFmtId="0" fontId="63" fillId="8" borderId="69" xfId="0" applyFont="1" applyFill="1" applyBorder="1" applyAlignment="1">
      <alignment horizontal="center"/>
    </xf>
    <xf numFmtId="0" fontId="63" fillId="8" borderId="91" xfId="0" applyFont="1" applyFill="1" applyBorder="1" applyAlignment="1">
      <alignment horizontal="center"/>
    </xf>
    <xf numFmtId="0" fontId="63" fillId="10" borderId="90" xfId="0" applyFont="1" applyFill="1" applyBorder="1" applyAlignment="1">
      <alignment horizontal="center"/>
    </xf>
    <xf numFmtId="0" fontId="63" fillId="10" borderId="69" xfId="0" applyFont="1" applyFill="1" applyBorder="1" applyAlignment="1">
      <alignment horizontal="center"/>
    </xf>
    <xf numFmtId="0" fontId="63" fillId="10" borderId="92" xfId="0" applyFont="1" applyFill="1" applyBorder="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3 2" xfId="62"/>
    <cellStyle name="Normal 3 3" xfId="63"/>
    <cellStyle name="Normal 4" xfId="64"/>
    <cellStyle name="Note" xfId="65"/>
    <cellStyle name="Output" xfId="66"/>
    <cellStyle name="Percent" xfId="67"/>
    <cellStyle name="Percent 2" xfId="68"/>
    <cellStyle name="Style 1" xfId="69"/>
    <cellStyle name="Title" xfId="70"/>
    <cellStyle name="Total" xfId="71"/>
    <cellStyle name="Warning Text" xfId="72"/>
  </cellStyles>
  <dxfs count="7">
    <dxf>
      <font>
        <color rgb="FF9C0006"/>
      </font>
      <fill>
        <patternFill>
          <bgColor rgb="FFFFC7CE"/>
        </patternFill>
      </fill>
    </dxf>
    <dxf>
      <font>
        <color rgb="FF9C0006"/>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color auto="1"/>
      </font>
      <fill>
        <patternFill>
          <bgColor rgb="FFFFC7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9525</xdr:rowOff>
    </xdr:from>
    <xdr:to>
      <xdr:col>10</xdr:col>
      <xdr:colOff>0</xdr:colOff>
      <xdr:row>50</xdr:row>
      <xdr:rowOff>66675</xdr:rowOff>
    </xdr:to>
    <xdr:sp>
      <xdr:nvSpPr>
        <xdr:cNvPr id="1" name="TextBox 2"/>
        <xdr:cNvSpPr txBox="1">
          <a:spLocks noChangeArrowheads="1"/>
        </xdr:cNvSpPr>
      </xdr:nvSpPr>
      <xdr:spPr>
        <a:xfrm>
          <a:off x="9525" y="9525"/>
          <a:ext cx="6238875" cy="95821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INSTRUCTIONS FOR COMPLETION OF THE
</a:t>
          </a:r>
          <a:r>
            <a:rPr lang="en-US" cap="none" sz="1000" b="1" i="0" u="none" baseline="0">
              <a:solidFill>
                <a:srgbClr val="000000"/>
              </a:solidFill>
              <a:latin typeface="Arial"/>
              <a:ea typeface="Arial"/>
              <a:cs typeface="Arial"/>
            </a:rPr>
            <a:t>ENROLLMENT REPORT FOR</a:t>
          </a:r>
          <a:r>
            <a:rPr lang="en-US" cap="none" sz="1000" b="1" i="0" u="none" baseline="0">
              <a:solidFill>
                <a:srgbClr val="000000"/>
              </a:solidFill>
              <a:latin typeface="Arial"/>
              <a:ea typeface="Arial"/>
              <a:cs typeface="Arial"/>
            </a:rPr>
            <a:t> FEBRUARY AND MAY</a:t>
          </a:r>
          <a:r>
            <a:rPr lang="en-US" cap="none" sz="1000" b="1" i="0" u="none" baseline="0">
              <a:solidFill>
                <a:srgbClr val="000000"/>
              </a:solidFill>
              <a:latin typeface="Arial"/>
              <a:ea typeface="Arial"/>
              <a:cs typeface="Arial"/>
            </a:rPr>
            <a:t> 2022 PAYMENT ELIGIBILITY </a:t>
          </a:r>
          <a:r>
            <a:rPr lang="en-US" cap="none" sz="1000" b="1" i="0" u="none" baseline="0">
              <a:solidFill>
                <a:srgbClr val="000000"/>
              </a:solidFill>
              <a:latin typeface="Arial"/>
              <a:ea typeface="Arial"/>
              <a:cs typeface="Arial"/>
            </a:rPr>
            <a:t>
[PI-PCP-106 (5 Lines)]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the</a:t>
          </a:r>
          <a:r>
            <a:rPr lang="en-US" cap="none" sz="1000" b="1" i="0" u="none" baseline="0">
              <a:solidFill>
                <a:srgbClr val="000000"/>
              </a:solidFill>
              <a:latin typeface="Arial"/>
              <a:ea typeface="Arial"/>
              <a:cs typeface="Arial"/>
            </a:rPr>
            <a:t> report to work correctly, complete the </a:t>
          </a:r>
          <a:r>
            <a:rPr lang="en-US" cap="none" sz="1000" b="1" i="0" u="none" baseline="0">
              <a:solidFill>
                <a:srgbClr val="000000"/>
              </a:solidFill>
              <a:latin typeface="Arial"/>
              <a:ea typeface="Arial"/>
              <a:cs typeface="Arial"/>
            </a:rPr>
            <a:t>school information on the "Cover" page before</a:t>
          </a:r>
          <a:r>
            <a:rPr lang="en-US" cap="none" sz="1000" b="1" i="0" u="none" baseline="0">
              <a:solidFill>
                <a:srgbClr val="000000"/>
              </a:solidFill>
              <a:latin typeface="Arial"/>
              <a:ea typeface="Arial"/>
              <a:cs typeface="Arial"/>
            </a:rPr>
            <a:t> entering any numbers.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Completing </a:t>
          </a:r>
          <a:r>
            <a:rPr lang="en-US" cap="none" sz="1000" b="1" i="0" u="none" baseline="0">
              <a:solidFill>
                <a:srgbClr val="000000"/>
              </a:solidFill>
              <a:latin typeface="Arial"/>
              <a:ea typeface="Arial"/>
              <a:cs typeface="Arial"/>
            </a:rPr>
            <a:t>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completing the report, refer to the "Reporting Requirements" directions in the Audit Guide. All information in the form must be typed except the signature.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Protected Cells/Additional</a:t>
          </a:r>
          <a:r>
            <a:rPr lang="en-US" cap="none" sz="1000" b="1" i="0" u="none" baseline="0">
              <a:solidFill>
                <a:srgbClr val="000000"/>
              </a:solidFill>
              <a:latin typeface="Arial"/>
              <a:ea typeface="Arial"/>
              <a:cs typeface="Arial"/>
            </a:rPr>
            <a:t> Lines Needed</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cells in the spreadsheet have been protected so that input can only be placed in cells that need information. Use the Tab key to move to the cells that will accept input. When filling out the form on the computer, only the cells highlighted in "yellow" are to be filled out. There are three different versions of this Excel document: 1) a document for schools with 5 or less ineligible pupils, pupil application corrections, and pupil additions, 2) a document for schools with 25 or less ineligible pupils, pupil application corrections, and pupil additions, and 3) a document for schools with 70 or less ineligible pupils, pupil application corrections,  and pupil additions. Contact the Department if you need additional lines for student application information on Schedules 2, 3, and/or 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Use of Cut </a:t>
          </a:r>
          <a:r>
            <a:rPr lang="en-US" cap="none" sz="1000" b="1" i="0" u="none" baseline="0">
              <a:solidFill>
                <a:srgbClr val="000000"/>
              </a:solidFill>
              <a:latin typeface="Arial"/>
              <a:ea typeface="Arial"/>
              <a:cs typeface="Arial"/>
            </a:rPr>
            <a:t>and Paste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 aware </a:t>
          </a:r>
          <a:r>
            <a:rPr lang="en-US" cap="none" sz="1000" b="0" i="0" u="none" baseline="0">
              <a:solidFill>
                <a:srgbClr val="000000"/>
              </a:solidFill>
              <a:latin typeface="Arial"/>
              <a:ea typeface="Arial"/>
              <a:cs typeface="Arial"/>
            </a:rPr>
            <a:t>that using "cut and paste" could damage the spreadsheet. Do not "cut" any cells. Do not use the space bar to delete information that you wish to delete from any cell. Use the delete key or backspace to remove information in any cell. The spreadsheet will read a space as if it were text.  </a:t>
          </a:r>
          <a:r>
            <a:rPr lang="en-US" cap="none" sz="1000" b="0" i="0" u="none" baseline="0">
              <a:solidFill>
                <a:srgbClr val="000000"/>
              </a:solidFill>
              <a:latin typeface="Arial"/>
              <a:ea typeface="Arial"/>
              <a:cs typeface="Arial"/>
            </a:rPr>
            <a:t>"Copy" and "paste" may be used but use caution so that you don't copy a protected cell over an unprotected cell.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Payment of Additional Pupils
</a:t>
          </a:r>
          <a:r>
            <a:rPr lang="en-US" cap="none" sz="1000" b="0" i="0" u="none" baseline="0">
              <a:solidFill>
                <a:srgbClr val="000000"/>
              </a:solidFill>
              <a:latin typeface="Arial"/>
              <a:ea typeface="Arial"/>
              <a:cs typeface="Arial"/>
            </a:rPr>
            <a:t>An adjustment payment will be made to the school in conjunction with the DPI's certification of this Enrollment Audit for any additional pupils that are determined eligible for payment by the DPI.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Submitting</a:t>
          </a:r>
          <a:r>
            <a:rPr lang="en-US" cap="none" sz="1000" b="1" i="0" u="none" baseline="0">
              <a:solidFill>
                <a:srgbClr val="000000"/>
              </a:solidFill>
              <a:latin typeface="Arial"/>
              <a:ea typeface="Arial"/>
              <a:cs typeface="Arial"/>
            </a:rPr>
            <a:t> 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t>
          </a:r>
          <a:r>
            <a:rPr lang="en-US" cap="none" sz="1000" b="0" i="0" u="none" baseline="0">
              <a:solidFill>
                <a:srgbClr val="000000"/>
              </a:solidFill>
              <a:latin typeface="Arial"/>
              <a:ea typeface="Arial"/>
              <a:cs typeface="Arial"/>
            </a:rPr>
            <a:t>Choice administrator must </a:t>
          </a:r>
          <a:r>
            <a:rPr lang="en-US" cap="none" sz="1000" b="0" i="0" u="none" baseline="0">
              <a:solidFill>
                <a:srgbClr val="000000"/>
              </a:solidFill>
              <a:latin typeface="Arial"/>
              <a:ea typeface="Arial"/>
              <a:cs typeface="Arial"/>
            </a:rPr>
            <a:t>sign and date the signature section of the cover page. </a:t>
          </a:r>
          <a:r>
            <a:rPr lang="en-US" cap="none" sz="1000" b="1" i="0" u="none" baseline="0">
              <a:solidFill>
                <a:srgbClr val="000000"/>
              </a:solidFill>
              <a:latin typeface="Arial"/>
              <a:ea typeface="Arial"/>
              <a:cs typeface="Arial"/>
            </a:rPr>
            <a:t>The</a:t>
          </a:r>
          <a:r>
            <a:rPr lang="en-US" cap="none" sz="1000" b="1" i="0" u="none" baseline="0">
              <a:solidFill>
                <a:srgbClr val="000000"/>
              </a:solidFill>
              <a:latin typeface="Arial"/>
              <a:ea typeface="Arial"/>
              <a:cs typeface="Arial"/>
            </a:rPr>
            <a:t> report is due by: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May 2, 2022 for schools participating in WPCP or RPCP, even if the school does not have any 
</a:t>
          </a:r>
          <a:r>
            <a:rPr lang="en-US" cap="none" sz="1000" b="1" i="0" u="none" baseline="0">
              <a:solidFill>
                <a:srgbClr val="000000"/>
              </a:solidFill>
              <a:latin typeface="Arial"/>
              <a:ea typeface="Arial"/>
              <a:cs typeface="Arial"/>
            </a:rPr>
            <a:t>WPCP or RPCP pupils, or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June 30, 2022 for schools participating in MPCP only.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Retain a copy of the spreadsheet for your records.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submitted report must include the Cover Page signed by the administrator, Error Report, </a:t>
          </a:r>
          <a:r>
            <a:rPr lang="en-US" cap="none" sz="1000" b="1" i="0" u="none" baseline="0">
              <a:solidFill>
                <a:srgbClr val="000000"/>
              </a:solidFill>
              <a:latin typeface="Arial"/>
              <a:ea typeface="Arial"/>
              <a:cs typeface="Arial"/>
            </a:rPr>
            <a:t>Independent Accountant’s Report, S</a:t>
          </a:r>
          <a:r>
            <a:rPr lang="en-US" cap="none" sz="1000" b="1" i="0" u="none" baseline="0">
              <a:solidFill>
                <a:srgbClr val="000000"/>
              </a:solidFill>
              <a:latin typeface="Arial"/>
              <a:ea typeface="Arial"/>
              <a:cs typeface="Arial"/>
            </a:rPr>
            <a:t>chedule 1-1, Schedule 1-2, Schedules 2 through 5</a:t>
          </a:r>
          <a:r>
            <a:rPr lang="en-US" cap="none" sz="1000" b="1" i="0" u="none" baseline="0">
              <a:solidFill>
                <a:srgbClr val="000000"/>
              </a:solidFill>
              <a:latin typeface="Arial"/>
              <a:ea typeface="Arial"/>
              <a:cs typeface="Arial"/>
            </a:rPr>
            <a:t> and any other supporting documentation as required per the January Enrollment Audit Guide.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report must be loaded to the Choice January 2022 Enrollment Audit Kiteworks folder. A link to this folder is available on the Enrollment Audit webpage. Either an auditor of the firm who is on the auditor listserv or the Choice administrator may upload the report. The submitted report should be named “{School Name on the Cover Page of the Enrollment Audit} Jan 2022 Choice Enroll Rpt”. Faxed, emailed, or mailed copies or links to Google docs will not be accepted. The Kiteworks Instructions that explain how documents are loaded to Kiteworks are available on the Enrollment Audit webpage.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28575</xdr:rowOff>
    </xdr:from>
    <xdr:to>
      <xdr:col>0</xdr:col>
      <xdr:colOff>504825</xdr:colOff>
      <xdr:row>0</xdr:row>
      <xdr:rowOff>857250</xdr:rowOff>
    </xdr:to>
    <xdr:pic>
      <xdr:nvPicPr>
        <xdr:cNvPr id="1" name="Picture 1" descr="logo_forms.tif"/>
        <xdr:cNvPicPr preferRelativeResize="1">
          <a:picLocks noChangeAspect="1"/>
        </xdr:cNvPicPr>
      </xdr:nvPicPr>
      <xdr:blipFill>
        <a:blip r:embed="rId1"/>
        <a:stretch>
          <a:fillRect/>
        </a:stretch>
      </xdr:blipFill>
      <xdr:spPr>
        <a:xfrm>
          <a:off x="123825" y="28575"/>
          <a:ext cx="38100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80"/>
  <sheetViews>
    <sheetView showGridLines="0" tabSelected="1" workbookViewId="0" topLeftCell="A1">
      <selection activeCell="K16" sqref="K16"/>
    </sheetView>
  </sheetViews>
  <sheetFormatPr defaultColWidth="9.140625" defaultRowHeight="15"/>
  <cols>
    <col min="10" max="10" width="11.421875" style="0" customWidth="1"/>
  </cols>
  <sheetData>
    <row r="1" spans="1:10" ht="15">
      <c r="A1" s="1"/>
      <c r="B1" s="15"/>
      <c r="C1" s="15"/>
      <c r="D1" s="15"/>
      <c r="E1" s="15"/>
      <c r="F1" s="15"/>
      <c r="G1" s="15"/>
      <c r="H1" s="15"/>
      <c r="I1" s="15"/>
      <c r="J1" s="15"/>
    </row>
    <row r="2" spans="1:10" ht="15">
      <c r="A2" s="1"/>
      <c r="B2" s="15"/>
      <c r="C2" s="15"/>
      <c r="D2" s="15"/>
      <c r="E2" s="15"/>
      <c r="F2" s="15"/>
      <c r="G2" s="15"/>
      <c r="H2" s="15"/>
      <c r="I2" s="15"/>
      <c r="J2" s="15"/>
    </row>
    <row r="3" spans="1:10" ht="15">
      <c r="A3" s="2"/>
      <c r="B3" s="15"/>
      <c r="C3" s="15"/>
      <c r="D3" s="15"/>
      <c r="E3" s="15"/>
      <c r="F3" s="15"/>
      <c r="G3" s="15"/>
      <c r="H3" s="15"/>
      <c r="I3" s="15"/>
      <c r="J3" s="15"/>
    </row>
    <row r="4" spans="1:10" ht="15">
      <c r="A4" s="2"/>
      <c r="B4" s="15"/>
      <c r="C4" s="15"/>
      <c r="D4" s="15"/>
      <c r="E4" s="15"/>
      <c r="F4" s="15"/>
      <c r="G4" s="15"/>
      <c r="H4" s="15"/>
      <c r="I4" s="15"/>
      <c r="J4" s="15"/>
    </row>
    <row r="5" spans="1:10" ht="15">
      <c r="A5" s="2"/>
      <c r="B5" s="15"/>
      <c r="C5" s="15"/>
      <c r="D5" s="15"/>
      <c r="E5" s="15"/>
      <c r="F5" s="15"/>
      <c r="G5" s="15"/>
      <c r="H5" s="15"/>
      <c r="I5" s="15"/>
      <c r="J5" s="15"/>
    </row>
    <row r="6" spans="1:10" ht="15">
      <c r="A6" s="2"/>
      <c r="B6" s="15"/>
      <c r="C6" s="15"/>
      <c r="D6" s="15"/>
      <c r="E6" s="15"/>
      <c r="F6" s="15"/>
      <c r="G6" s="15"/>
      <c r="H6" s="15"/>
      <c r="I6" s="15"/>
      <c r="J6" s="15"/>
    </row>
    <row r="7" spans="1:10" ht="15">
      <c r="A7" s="2"/>
      <c r="B7" s="15"/>
      <c r="C7" s="15"/>
      <c r="D7" s="15"/>
      <c r="E7" s="15"/>
      <c r="F7" s="15"/>
      <c r="G7" s="15"/>
      <c r="H7" s="15"/>
      <c r="I7" s="15"/>
      <c r="J7" s="15"/>
    </row>
    <row r="8" spans="1:10" ht="15">
      <c r="A8" s="2"/>
      <c r="B8" s="15"/>
      <c r="C8" s="15"/>
      <c r="D8" s="15"/>
      <c r="E8" s="15"/>
      <c r="F8" s="15"/>
      <c r="G8" s="15"/>
      <c r="H8" s="15"/>
      <c r="I8" s="15"/>
      <c r="J8" s="15"/>
    </row>
    <row r="9" spans="1:10" ht="15">
      <c r="A9" s="2"/>
      <c r="B9" s="15"/>
      <c r="C9" s="15"/>
      <c r="D9" s="15"/>
      <c r="E9" s="15"/>
      <c r="F9" s="15"/>
      <c r="G9" s="15"/>
      <c r="H9" s="15"/>
      <c r="I9" s="15"/>
      <c r="J9" s="15"/>
    </row>
    <row r="10" spans="1:10" ht="15">
      <c r="A10" s="2"/>
      <c r="B10" s="15"/>
      <c r="C10" s="15"/>
      <c r="D10" s="15"/>
      <c r="E10" s="15"/>
      <c r="F10" s="15"/>
      <c r="G10" s="15"/>
      <c r="H10" s="15"/>
      <c r="I10" s="15"/>
      <c r="J10" s="15"/>
    </row>
    <row r="11" spans="1:20" ht="15">
      <c r="A11" s="2"/>
      <c r="B11" s="15"/>
      <c r="C11" s="15"/>
      <c r="D11" s="15"/>
      <c r="E11" s="15"/>
      <c r="F11" s="15"/>
      <c r="G11" s="15"/>
      <c r="H11" s="15"/>
      <c r="I11" s="15"/>
      <c r="J11" s="15"/>
      <c r="K11" s="104"/>
      <c r="L11" s="104"/>
      <c r="M11" s="104"/>
      <c r="N11" s="104"/>
      <c r="O11" s="104"/>
      <c r="P11" s="104"/>
      <c r="Q11" s="104"/>
      <c r="R11" s="104"/>
      <c r="S11" s="104"/>
      <c r="T11" s="104"/>
    </row>
    <row r="12" spans="1:10" ht="15">
      <c r="A12" s="2"/>
      <c r="B12" s="15"/>
      <c r="C12" s="15"/>
      <c r="D12" s="15"/>
      <c r="E12" s="15"/>
      <c r="F12" s="15"/>
      <c r="G12" s="15"/>
      <c r="H12" s="15"/>
      <c r="I12" s="15"/>
      <c r="J12" s="15"/>
    </row>
    <row r="13" spans="1:10" ht="15">
      <c r="A13" s="2"/>
      <c r="B13" s="15"/>
      <c r="C13" s="15"/>
      <c r="D13" s="15"/>
      <c r="E13" s="15"/>
      <c r="F13" s="15"/>
      <c r="G13" s="15"/>
      <c r="H13" s="15"/>
      <c r="I13" s="15"/>
      <c r="J13" s="15"/>
    </row>
    <row r="14" spans="1:10" ht="15">
      <c r="A14" s="2"/>
      <c r="B14" s="15"/>
      <c r="C14" s="15"/>
      <c r="D14" s="15"/>
      <c r="E14" s="15"/>
      <c r="F14" s="15"/>
      <c r="G14" s="15"/>
      <c r="H14" s="15"/>
      <c r="I14" s="15"/>
      <c r="J14" s="15"/>
    </row>
    <row r="15" spans="1:10" ht="15">
      <c r="A15" s="2"/>
      <c r="B15" s="15"/>
      <c r="C15" s="15"/>
      <c r="D15" s="15"/>
      <c r="E15" s="15"/>
      <c r="F15" s="15"/>
      <c r="G15" s="15"/>
      <c r="H15" s="15"/>
      <c r="I15" s="15"/>
      <c r="J15" s="15"/>
    </row>
    <row r="16" spans="1:10" ht="15">
      <c r="A16" s="2"/>
      <c r="B16" s="15"/>
      <c r="C16" s="15"/>
      <c r="D16" s="15"/>
      <c r="E16" s="15"/>
      <c r="F16" s="15"/>
      <c r="G16" s="15"/>
      <c r="H16" s="15"/>
      <c r="I16" s="15"/>
      <c r="J16" s="15"/>
    </row>
    <row r="17" spans="1:10" ht="15">
      <c r="A17" s="2"/>
      <c r="B17" s="15"/>
      <c r="C17" s="15"/>
      <c r="D17" s="15"/>
      <c r="E17" s="15"/>
      <c r="F17" s="15"/>
      <c r="G17" s="15"/>
      <c r="H17" s="15"/>
      <c r="I17" s="15"/>
      <c r="J17" s="15"/>
    </row>
    <row r="18" spans="1:10" ht="15">
      <c r="A18" s="2"/>
      <c r="B18" s="15"/>
      <c r="C18" s="15"/>
      <c r="D18" s="15"/>
      <c r="E18" s="15"/>
      <c r="F18" s="15"/>
      <c r="G18" s="15"/>
      <c r="H18" s="15"/>
      <c r="I18" s="15"/>
      <c r="J18" s="15"/>
    </row>
    <row r="19" spans="1:10" ht="15">
      <c r="A19" s="2"/>
      <c r="B19" s="15"/>
      <c r="C19" s="15"/>
      <c r="D19" s="15"/>
      <c r="E19" s="15"/>
      <c r="F19" s="15"/>
      <c r="G19" s="15"/>
      <c r="H19" s="15"/>
      <c r="I19" s="15"/>
      <c r="J19" s="15"/>
    </row>
    <row r="20" spans="1:19" ht="15">
      <c r="A20" s="2"/>
      <c r="B20" s="15"/>
      <c r="C20" s="15"/>
      <c r="D20" s="15"/>
      <c r="E20" s="15"/>
      <c r="F20" s="15"/>
      <c r="G20" s="15"/>
      <c r="H20" s="15"/>
      <c r="I20" s="15"/>
      <c r="J20" s="15"/>
      <c r="K20" s="104"/>
      <c r="L20" s="104"/>
      <c r="M20" s="104"/>
      <c r="N20" s="104"/>
      <c r="O20" s="104"/>
      <c r="P20" s="104"/>
      <c r="Q20" s="104"/>
      <c r="R20" s="104"/>
      <c r="S20" s="104"/>
    </row>
    <row r="21" spans="1:10" ht="15">
      <c r="A21" s="2"/>
      <c r="B21" s="15"/>
      <c r="C21" s="15"/>
      <c r="D21" s="15"/>
      <c r="E21" s="15"/>
      <c r="F21" s="15"/>
      <c r="G21" s="15"/>
      <c r="H21" s="15"/>
      <c r="I21" s="15"/>
      <c r="J21" s="15"/>
    </row>
    <row r="22" spans="1:10" ht="15">
      <c r="A22" s="2"/>
      <c r="B22" s="15"/>
      <c r="C22" s="15"/>
      <c r="D22" s="15"/>
      <c r="E22" s="15"/>
      <c r="F22" s="15"/>
      <c r="G22" s="15"/>
      <c r="H22" s="15"/>
      <c r="I22" s="15"/>
      <c r="J22" s="15"/>
    </row>
    <row r="23" spans="1:10" ht="15">
      <c r="A23" s="2"/>
      <c r="B23" s="15"/>
      <c r="C23" s="15"/>
      <c r="D23" s="15"/>
      <c r="E23" s="15"/>
      <c r="F23" s="15"/>
      <c r="G23" s="15"/>
      <c r="H23" s="15"/>
      <c r="I23" s="15"/>
      <c r="J23" s="15"/>
    </row>
    <row r="24" spans="1:10" ht="15">
      <c r="A24" s="2"/>
      <c r="B24" s="15"/>
      <c r="C24" s="15"/>
      <c r="D24" s="15"/>
      <c r="E24" s="15"/>
      <c r="F24" s="15"/>
      <c r="G24" s="15"/>
      <c r="H24" s="15"/>
      <c r="I24" s="15"/>
      <c r="J24" s="15"/>
    </row>
    <row r="25" spans="1:10" ht="15">
      <c r="A25" s="15"/>
      <c r="B25" s="15"/>
      <c r="C25" s="15"/>
      <c r="D25" s="15"/>
      <c r="E25" s="15"/>
      <c r="F25" s="15"/>
      <c r="G25" s="15"/>
      <c r="H25" s="15"/>
      <c r="I25" s="15"/>
      <c r="J25" s="15"/>
    </row>
    <row r="26" spans="1:10" ht="15">
      <c r="A26" s="15"/>
      <c r="B26" s="15"/>
      <c r="C26" s="15"/>
      <c r="D26" s="15"/>
      <c r="E26" s="15"/>
      <c r="F26" s="15"/>
      <c r="G26" s="15"/>
      <c r="H26" s="15"/>
      <c r="I26" s="15"/>
      <c r="J26" s="15"/>
    </row>
    <row r="27" spans="1:19" ht="15">
      <c r="A27" s="15"/>
      <c r="B27" s="15"/>
      <c r="C27" s="15"/>
      <c r="D27" s="15"/>
      <c r="E27" s="15"/>
      <c r="F27" s="15"/>
      <c r="G27" s="15"/>
      <c r="H27" s="15"/>
      <c r="I27" s="15"/>
      <c r="J27" s="15"/>
      <c r="K27" s="104"/>
      <c r="L27" s="104"/>
      <c r="M27" s="104"/>
      <c r="N27" s="104"/>
      <c r="O27" s="104"/>
      <c r="P27" s="104"/>
      <c r="Q27" s="104"/>
      <c r="R27" s="104"/>
      <c r="S27" s="104"/>
    </row>
    <row r="28" spans="1:19" ht="15">
      <c r="A28" s="15"/>
      <c r="B28" s="15"/>
      <c r="C28" s="15"/>
      <c r="D28" s="15"/>
      <c r="E28" s="15"/>
      <c r="F28" s="15"/>
      <c r="G28" s="15"/>
      <c r="H28" s="15"/>
      <c r="I28" s="15"/>
      <c r="J28" s="15"/>
      <c r="K28" s="182"/>
      <c r="L28" s="182"/>
      <c r="M28" s="182"/>
      <c r="N28" s="182"/>
      <c r="O28" s="182"/>
      <c r="P28" s="182"/>
      <c r="Q28" s="182"/>
      <c r="R28" s="182"/>
      <c r="S28" s="104"/>
    </row>
    <row r="29" spans="1:19" ht="15">
      <c r="A29" s="15"/>
      <c r="B29" s="15"/>
      <c r="C29" s="15"/>
      <c r="D29" s="15"/>
      <c r="E29" s="15"/>
      <c r="F29" s="15"/>
      <c r="G29" s="15"/>
      <c r="H29" s="15"/>
      <c r="I29" s="15"/>
      <c r="J29" s="15"/>
      <c r="K29" s="104"/>
      <c r="L29" s="104"/>
      <c r="M29" s="104"/>
      <c r="N29" s="104"/>
      <c r="O29" s="104"/>
      <c r="P29" s="104"/>
      <c r="Q29" s="104"/>
      <c r="R29" s="104"/>
      <c r="S29" s="104"/>
    </row>
    <row r="30" spans="1:19" ht="15">
      <c r="A30" s="15"/>
      <c r="B30" s="15"/>
      <c r="C30" s="15"/>
      <c r="D30" s="15"/>
      <c r="E30" s="15"/>
      <c r="F30" s="15"/>
      <c r="G30" s="15"/>
      <c r="H30" s="15"/>
      <c r="I30" s="15"/>
      <c r="J30" s="15"/>
      <c r="K30" s="104"/>
      <c r="L30" s="104"/>
      <c r="M30" s="104"/>
      <c r="N30" s="104"/>
      <c r="O30" s="104"/>
      <c r="P30" s="104"/>
      <c r="Q30" s="104"/>
      <c r="R30" s="104"/>
      <c r="S30" s="104"/>
    </row>
    <row r="31" spans="1:10" ht="15">
      <c r="A31" s="15"/>
      <c r="B31" s="15"/>
      <c r="C31" s="15"/>
      <c r="D31" s="15"/>
      <c r="E31" s="15"/>
      <c r="F31" s="15"/>
      <c r="G31" s="15"/>
      <c r="H31" s="15"/>
      <c r="I31" s="15"/>
      <c r="J31" s="15"/>
    </row>
    <row r="32" spans="1:10" ht="15">
      <c r="A32" s="15"/>
      <c r="B32" s="15"/>
      <c r="C32" s="15"/>
      <c r="D32" s="15"/>
      <c r="E32" s="15"/>
      <c r="F32" s="15"/>
      <c r="G32" s="15"/>
      <c r="H32" s="15"/>
      <c r="I32" s="15"/>
      <c r="J32" s="15"/>
    </row>
    <row r="33" spans="1:10" ht="15">
      <c r="A33" s="15"/>
      <c r="B33" s="15"/>
      <c r="C33" s="15"/>
      <c r="D33" s="15"/>
      <c r="E33" s="15"/>
      <c r="F33" s="15"/>
      <c r="G33" s="15"/>
      <c r="H33" s="15"/>
      <c r="I33" s="15"/>
      <c r="J33" s="15"/>
    </row>
    <row r="34" spans="1:10" ht="15">
      <c r="A34" s="15"/>
      <c r="B34" s="15"/>
      <c r="C34" s="15"/>
      <c r="D34" s="15"/>
      <c r="E34" s="15"/>
      <c r="F34" s="15"/>
      <c r="G34" s="15"/>
      <c r="H34" s="15"/>
      <c r="I34" s="15"/>
      <c r="J34" s="15"/>
    </row>
    <row r="35" spans="1:10" ht="15">
      <c r="A35" s="15"/>
      <c r="B35" s="15"/>
      <c r="C35" s="15"/>
      <c r="D35" s="15"/>
      <c r="E35" s="15"/>
      <c r="F35" s="15"/>
      <c r="G35" s="15"/>
      <c r="H35" s="15"/>
      <c r="I35" s="15"/>
      <c r="J35" s="15"/>
    </row>
    <row r="36" spans="1:10" ht="15">
      <c r="A36" s="15"/>
      <c r="B36" s="15"/>
      <c r="C36" s="15"/>
      <c r="D36" s="15"/>
      <c r="E36" s="15"/>
      <c r="F36" s="15"/>
      <c r="G36" s="15"/>
      <c r="H36" s="15"/>
      <c r="I36" s="15"/>
      <c r="J36" s="15"/>
    </row>
    <row r="37" spans="1:10" ht="15">
      <c r="A37" s="15"/>
      <c r="B37" s="15"/>
      <c r="C37" s="15"/>
      <c r="D37" s="15"/>
      <c r="E37" s="15"/>
      <c r="F37" s="15"/>
      <c r="G37" s="15"/>
      <c r="H37" s="15"/>
      <c r="I37" s="15"/>
      <c r="J37" s="15"/>
    </row>
    <row r="38" spans="1:10" ht="15">
      <c r="A38" s="15"/>
      <c r="B38" s="15"/>
      <c r="C38" s="15"/>
      <c r="D38" s="15"/>
      <c r="E38" s="15"/>
      <c r="F38" s="15"/>
      <c r="G38" s="15"/>
      <c r="H38" s="15"/>
      <c r="I38" s="15"/>
      <c r="J38" s="15"/>
    </row>
    <row r="39" spans="1:10" ht="15">
      <c r="A39" s="15"/>
      <c r="B39" s="15"/>
      <c r="C39" s="15"/>
      <c r="D39" s="15"/>
      <c r="E39" s="15"/>
      <c r="F39" s="15"/>
      <c r="G39" s="15"/>
      <c r="H39" s="15"/>
      <c r="I39" s="15"/>
      <c r="J39" s="15"/>
    </row>
    <row r="40" spans="1:10" ht="15">
      <c r="A40" s="15"/>
      <c r="B40" s="15"/>
      <c r="C40" s="15"/>
      <c r="D40" s="15"/>
      <c r="E40" s="15"/>
      <c r="F40" s="15"/>
      <c r="G40" s="15"/>
      <c r="H40" s="15"/>
      <c r="I40" s="15"/>
      <c r="J40" s="15"/>
    </row>
    <row r="41" spans="1:10" ht="15">
      <c r="A41" s="15"/>
      <c r="B41" s="15"/>
      <c r="C41" s="15"/>
      <c r="D41" s="15"/>
      <c r="E41" s="15"/>
      <c r="F41" s="15"/>
      <c r="G41" s="15"/>
      <c r="H41" s="15"/>
      <c r="I41" s="15"/>
      <c r="J41" s="15"/>
    </row>
    <row r="42" spans="1:10" ht="15">
      <c r="A42" s="15"/>
      <c r="B42" s="15"/>
      <c r="C42" s="15"/>
      <c r="D42" s="15"/>
      <c r="E42" s="15"/>
      <c r="F42" s="15"/>
      <c r="G42" s="15"/>
      <c r="H42" s="15"/>
      <c r="I42" s="15"/>
      <c r="J42" s="15"/>
    </row>
    <row r="43" spans="1:10" ht="15">
      <c r="A43" s="15"/>
      <c r="B43" s="15"/>
      <c r="C43" s="15"/>
      <c r="D43" s="15"/>
      <c r="E43" s="15"/>
      <c r="F43" s="15"/>
      <c r="G43" s="15"/>
      <c r="H43" s="15"/>
      <c r="I43" s="15"/>
      <c r="J43" s="15"/>
    </row>
    <row r="44" spans="1:10" ht="15">
      <c r="A44" s="15"/>
      <c r="B44" s="15"/>
      <c r="C44" s="15"/>
      <c r="D44" s="15"/>
      <c r="E44" s="15"/>
      <c r="F44" s="15"/>
      <c r="G44" s="15"/>
      <c r="H44" s="15"/>
      <c r="I44" s="15"/>
      <c r="J44" s="15"/>
    </row>
    <row r="45" spans="1:10" ht="15">
      <c r="A45" s="15"/>
      <c r="B45" s="15"/>
      <c r="C45" s="15"/>
      <c r="D45" s="15"/>
      <c r="E45" s="15"/>
      <c r="F45" s="15"/>
      <c r="G45" s="15"/>
      <c r="H45" s="15"/>
      <c r="I45" s="15"/>
      <c r="J45" s="15"/>
    </row>
    <row r="46" spans="1:10" ht="15">
      <c r="A46" s="15"/>
      <c r="B46" s="15"/>
      <c r="C46" s="15"/>
      <c r="D46" s="15"/>
      <c r="E46" s="15"/>
      <c r="F46" s="15"/>
      <c r="G46" s="15"/>
      <c r="H46" s="15"/>
      <c r="I46" s="15"/>
      <c r="J46" s="15"/>
    </row>
    <row r="47" spans="1:10" ht="15">
      <c r="A47" s="15"/>
      <c r="B47" s="15"/>
      <c r="C47" s="15"/>
      <c r="D47" s="15"/>
      <c r="E47" s="15"/>
      <c r="F47" s="15"/>
      <c r="G47" s="15"/>
      <c r="H47" s="15"/>
      <c r="I47" s="15"/>
      <c r="J47" s="15"/>
    </row>
    <row r="48" spans="1:10" ht="15">
      <c r="A48" s="15"/>
      <c r="B48" s="15"/>
      <c r="C48" s="15"/>
      <c r="D48" s="15"/>
      <c r="E48" s="15"/>
      <c r="F48" s="15"/>
      <c r="G48" s="15"/>
      <c r="H48" s="15"/>
      <c r="I48" s="15"/>
      <c r="J48" s="15"/>
    </row>
    <row r="49" spans="1:10" ht="15">
      <c r="A49" s="15"/>
      <c r="B49" s="15"/>
      <c r="C49" s="15"/>
      <c r="D49" s="15"/>
      <c r="E49" s="15"/>
      <c r="F49" s="15"/>
      <c r="G49" s="15"/>
      <c r="H49" s="15"/>
      <c r="I49" s="15"/>
      <c r="J49" s="15"/>
    </row>
    <row r="50" spans="1:10" ht="15">
      <c r="A50" s="15"/>
      <c r="B50" s="15"/>
      <c r="C50" s="15"/>
      <c r="D50" s="15"/>
      <c r="E50" s="15"/>
      <c r="F50" s="15"/>
      <c r="G50" s="15"/>
      <c r="H50" s="15"/>
      <c r="I50" s="15"/>
      <c r="J50" s="15"/>
    </row>
    <row r="51" spans="1:10" ht="15">
      <c r="A51" s="15"/>
      <c r="B51" s="15"/>
      <c r="C51" s="15"/>
      <c r="D51" s="15"/>
      <c r="E51" s="15"/>
      <c r="F51" s="15"/>
      <c r="G51" s="15"/>
      <c r="H51" s="15"/>
      <c r="I51" s="15"/>
      <c r="J51" s="15"/>
    </row>
    <row r="52" spans="1:10" ht="14.25">
      <c r="A52" s="15"/>
      <c r="B52" s="15"/>
      <c r="C52" s="15"/>
      <c r="D52" s="15"/>
      <c r="E52" s="15"/>
      <c r="F52" s="15"/>
      <c r="G52" s="15"/>
      <c r="H52" s="15"/>
      <c r="I52" s="15"/>
      <c r="J52" s="15"/>
    </row>
    <row r="53" spans="1:10" ht="14.25">
      <c r="A53" s="15"/>
      <c r="B53" s="15"/>
      <c r="C53" s="15"/>
      <c r="D53" s="15"/>
      <c r="E53" s="15"/>
      <c r="F53" s="15"/>
      <c r="G53" s="15"/>
      <c r="H53" s="15"/>
      <c r="I53" s="15"/>
      <c r="J53" s="15"/>
    </row>
    <row r="80" ht="14.25">
      <c r="A80" s="163"/>
    </row>
  </sheetData>
  <sheetProtection password="B7B0" sheet="1" objects="1" scenarios="1"/>
  <printOptions horizontalCentered="1"/>
  <pageMargins left="0.5" right="0.5" top="0.4" bottom="0.32" header="0.3" footer="0.3"/>
  <pageSetup fitToHeight="1" fitToWidth="1" horizontalDpi="600" verticalDpi="600" orientation="portrait" scale="9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K33"/>
  <sheetViews>
    <sheetView showGridLines="0" workbookViewId="0" topLeftCell="A1">
      <selection activeCell="K16" sqref="K16"/>
    </sheetView>
  </sheetViews>
  <sheetFormatPr defaultColWidth="9.140625" defaultRowHeight="15"/>
  <cols>
    <col min="1" max="1" width="5.140625" style="9" customWidth="1"/>
    <col min="2" max="2" width="8.140625" style="9" customWidth="1"/>
    <col min="3" max="3" width="9.421875" style="9" customWidth="1"/>
    <col min="4" max="4" width="17.57421875" style="9" customWidth="1"/>
    <col min="5" max="5" width="19.57421875" style="9" customWidth="1"/>
    <col min="6" max="6" width="7.8515625" style="9" bestFit="1" customWidth="1"/>
    <col min="7" max="8" width="10.00390625" style="9" customWidth="1"/>
    <col min="9" max="9" width="40.57421875" style="9" customWidth="1"/>
    <col min="10" max="10" width="0.5625" style="44" customWidth="1"/>
    <col min="11" max="11" width="9.140625" style="9" hidden="1" customWidth="1"/>
    <col min="12" max="16384" width="9.140625" style="9" customWidth="1"/>
  </cols>
  <sheetData>
    <row r="1" spans="1:9" ht="15" customHeight="1">
      <c r="A1" s="527" t="str">
        <f>IF(ISBLANK('Cover Page'!A4),"School Name",'Cover Page'!A4)</f>
        <v>School Name</v>
      </c>
      <c r="B1" s="527"/>
      <c r="C1" s="527"/>
      <c r="D1" s="527"/>
      <c r="E1" s="527"/>
      <c r="F1" s="527"/>
      <c r="G1" s="527"/>
      <c r="H1" s="527"/>
      <c r="I1" s="527"/>
    </row>
    <row r="2" spans="1:9" ht="10.5">
      <c r="A2" s="467" t="str">
        <f>'Error Report'!A3</f>
        <v>January 14, 2022 Choice Enrollment Audit</v>
      </c>
      <c r="B2" s="467"/>
      <c r="C2" s="467"/>
      <c r="D2" s="467"/>
      <c r="E2" s="467"/>
      <c r="F2" s="467"/>
      <c r="G2" s="467"/>
      <c r="H2" s="467"/>
      <c r="I2" s="467"/>
    </row>
    <row r="3" spans="1:9" ht="10.5">
      <c r="A3" s="528" t="s">
        <v>328</v>
      </c>
      <c r="B3" s="528"/>
      <c r="C3" s="528"/>
      <c r="D3" s="528"/>
      <c r="E3" s="528"/>
      <c r="F3" s="528"/>
      <c r="G3" s="528"/>
      <c r="H3" s="528"/>
      <c r="I3" s="528"/>
    </row>
    <row r="4" spans="1:10" ht="85.5" customHeight="1" thickBot="1">
      <c r="A4" s="492" t="s">
        <v>1113</v>
      </c>
      <c r="B4" s="492"/>
      <c r="C4" s="492"/>
      <c r="D4" s="492"/>
      <c r="E4" s="492"/>
      <c r="F4" s="492"/>
      <c r="G4" s="492"/>
      <c r="H4" s="492"/>
      <c r="I4" s="492"/>
      <c r="J4" s="289"/>
    </row>
    <row r="5" spans="1:10" s="44" customFormat="1" ht="26.25" customHeight="1" thickBot="1" thickTop="1">
      <c r="A5" s="534" t="s">
        <v>329</v>
      </c>
      <c r="B5" s="534"/>
      <c r="C5" s="534"/>
      <c r="D5" s="534"/>
      <c r="E5" s="534"/>
      <c r="F5" s="534"/>
      <c r="G5" s="534"/>
      <c r="H5" s="534"/>
      <c r="I5" s="209"/>
      <c r="J5" s="292"/>
    </row>
    <row r="6" spans="1:11" ht="58.5" customHeight="1" thickTop="1">
      <c r="A6" s="219" t="s">
        <v>60</v>
      </c>
      <c r="B6" s="164" t="s">
        <v>359</v>
      </c>
      <c r="C6" s="165" t="s">
        <v>285</v>
      </c>
      <c r="D6" s="167" t="s">
        <v>360</v>
      </c>
      <c r="E6" s="167" t="s">
        <v>361</v>
      </c>
      <c r="F6" s="315" t="s">
        <v>184</v>
      </c>
      <c r="G6" s="314" t="s">
        <v>340</v>
      </c>
      <c r="H6" s="314" t="s">
        <v>341</v>
      </c>
      <c r="I6" s="343" t="s">
        <v>646</v>
      </c>
      <c r="J6" s="212"/>
      <c r="K6" s="41" t="s">
        <v>316</v>
      </c>
    </row>
    <row r="7" spans="1:11" s="38" customFormat="1" ht="30" customHeight="1">
      <c r="A7" s="23">
        <v>1</v>
      </c>
      <c r="B7" s="154"/>
      <c r="C7" s="28"/>
      <c r="D7" s="28"/>
      <c r="E7" s="28"/>
      <c r="F7" s="98"/>
      <c r="G7" s="54"/>
      <c r="H7" s="54"/>
      <c r="I7" s="342"/>
      <c r="J7" s="290"/>
      <c r="K7" s="30">
        <f>IF($B7="","",VLOOKUP($B7,$D$17:$E$33,2,0))</f>
      </c>
    </row>
    <row r="8" spans="1:11" s="38" customFormat="1" ht="30" customHeight="1">
      <c r="A8" s="23">
        <v>2</v>
      </c>
      <c r="B8" s="154"/>
      <c r="C8" s="28"/>
      <c r="D8" s="28"/>
      <c r="E8" s="28"/>
      <c r="F8" s="98"/>
      <c r="G8" s="54"/>
      <c r="H8" s="54"/>
      <c r="I8" s="342"/>
      <c r="J8" s="290"/>
      <c r="K8" s="30">
        <f>IF($B8="","",VLOOKUP($B8,$D$17:$E$33,2,0))</f>
      </c>
    </row>
    <row r="9" spans="1:11" s="38" customFormat="1" ht="30" customHeight="1">
      <c r="A9" s="23">
        <v>3</v>
      </c>
      <c r="B9" s="154"/>
      <c r="C9" s="28"/>
      <c r="D9" s="28"/>
      <c r="E9" s="28"/>
      <c r="F9" s="98"/>
      <c r="G9" s="54"/>
      <c r="H9" s="54"/>
      <c r="I9" s="342"/>
      <c r="J9" s="290"/>
      <c r="K9" s="30">
        <f>IF($B9="","",VLOOKUP($B9,$D$17:$E$33,2,0))</f>
      </c>
    </row>
    <row r="10" spans="1:11" s="38" customFormat="1" ht="30" customHeight="1">
      <c r="A10" s="23">
        <v>4</v>
      </c>
      <c r="B10" s="154"/>
      <c r="C10" s="28"/>
      <c r="D10" s="28"/>
      <c r="E10" s="28"/>
      <c r="F10" s="98"/>
      <c r="G10" s="54"/>
      <c r="H10" s="54"/>
      <c r="I10" s="344"/>
      <c r="J10" s="290"/>
      <c r="K10" s="30">
        <f>IF($B10="","",VLOOKUP($B10,$D$17:$E$33,2,0))</f>
      </c>
    </row>
    <row r="11" spans="1:11" s="38" customFormat="1" ht="30" customHeight="1" thickBot="1">
      <c r="A11" s="24">
        <v>5</v>
      </c>
      <c r="B11" s="31"/>
      <c r="C11" s="33"/>
      <c r="D11" s="33"/>
      <c r="E11" s="33"/>
      <c r="F11" s="185"/>
      <c r="G11" s="54"/>
      <c r="H11" s="54"/>
      <c r="I11" s="344"/>
      <c r="J11" s="290"/>
      <c r="K11" s="30">
        <f>IF($B11="","",VLOOKUP($B11,$D$17:$E$33,2,0))</f>
      </c>
    </row>
    <row r="12" spans="1:10" s="310" customFormat="1" ht="22.5" customHeight="1" thickBot="1">
      <c r="A12" s="220" t="s">
        <v>414</v>
      </c>
      <c r="B12" s="306">
        <f>IF(ISBLANK('Cover Page'!$A$4),"",COUNTA(B7:B11))</f>
      </c>
      <c r="C12" s="306">
        <f>IF(ISBLANK('Cover Page'!$A$4),"",COUNTA(C7:C11))</f>
      </c>
      <c r="D12" s="306">
        <f>IF(ISBLANK('Cover Page'!$A$4),"",COUNTA(D7:D11))</f>
      </c>
      <c r="E12" s="306">
        <f>IF(ISBLANK('Cover Page'!$A$4),"",COUNTA(E7:E11))</f>
      </c>
      <c r="F12" s="306">
        <f>IF(ISBLANK('Cover Page'!$A$4),"",COUNTA(F7:F11))</f>
      </c>
      <c r="G12" s="306">
        <f>IF(ISBLANK('Cover Page'!$A$4),"",COUNTA(G7:G11))</f>
      </c>
      <c r="H12" s="307">
        <f>IF(ISBLANK('Cover Page'!$A$4),"",COUNTA(H7:H11))</f>
      </c>
      <c r="I12" s="308"/>
      <c r="J12" s="309"/>
    </row>
    <row r="13" spans="2:10" ht="16.5" customHeight="1" thickTop="1">
      <c r="B13" s="535"/>
      <c r="C13" s="536"/>
      <c r="D13" s="536"/>
      <c r="E13" s="536"/>
      <c r="F13" s="536"/>
      <c r="G13" s="536"/>
      <c r="H13" s="536"/>
      <c r="I13" s="536"/>
      <c r="J13" s="291"/>
    </row>
    <row r="14" spans="2:9" ht="54.75" customHeight="1">
      <c r="B14" s="532" t="s">
        <v>417</v>
      </c>
      <c r="C14" s="533"/>
      <c r="D14" s="533"/>
      <c r="E14" s="533"/>
      <c r="F14" s="533"/>
      <c r="G14" s="533"/>
      <c r="H14" s="533"/>
      <c r="I14" s="533"/>
    </row>
    <row r="16" spans="4:5" ht="14.25" hidden="1">
      <c r="D16" s="172" t="s">
        <v>315</v>
      </c>
      <c r="E16" s="172" t="s">
        <v>316</v>
      </c>
    </row>
    <row r="17" spans="4:5" ht="14.25" hidden="1">
      <c r="D17" s="170" t="s">
        <v>8</v>
      </c>
      <c r="E17" t="s">
        <v>8</v>
      </c>
    </row>
    <row r="18" spans="4:5" ht="14.25" hidden="1">
      <c r="D18" s="170" t="s">
        <v>313</v>
      </c>
      <c r="E18" t="s">
        <v>44</v>
      </c>
    </row>
    <row r="19" spans="4:5" ht="14.25" hidden="1">
      <c r="D19" s="170" t="s">
        <v>332</v>
      </c>
      <c r="E19" t="s">
        <v>45</v>
      </c>
    </row>
    <row r="20" spans="4:5" ht="14.25" hidden="1">
      <c r="D20" s="170" t="s">
        <v>335</v>
      </c>
      <c r="E20" t="s">
        <v>1</v>
      </c>
    </row>
    <row r="21" spans="4:5" ht="14.25" hidden="1">
      <c r="D21" s="170" t="s">
        <v>314</v>
      </c>
      <c r="E21" t="s">
        <v>2</v>
      </c>
    </row>
    <row r="22" spans="4:5" ht="14.25" hidden="1">
      <c r="D22" s="170">
        <v>1</v>
      </c>
      <c r="E22" t="s">
        <v>81</v>
      </c>
    </row>
    <row r="23" spans="4:5" ht="14.25" hidden="1">
      <c r="D23" s="170">
        <v>2</v>
      </c>
      <c r="E23" t="s">
        <v>81</v>
      </c>
    </row>
    <row r="24" spans="4:5" ht="14.25" hidden="1">
      <c r="D24" s="170">
        <v>3</v>
      </c>
      <c r="E24" t="s">
        <v>81</v>
      </c>
    </row>
    <row r="25" spans="4:5" ht="14.25" hidden="1">
      <c r="D25" s="170">
        <v>4</v>
      </c>
      <c r="E25" t="s">
        <v>81</v>
      </c>
    </row>
    <row r="26" spans="4:5" ht="14.25" hidden="1">
      <c r="D26" s="170">
        <v>5</v>
      </c>
      <c r="E26" t="s">
        <v>81</v>
      </c>
    </row>
    <row r="27" spans="4:5" ht="14.25" hidden="1">
      <c r="D27" s="170">
        <v>6</v>
      </c>
      <c r="E27" t="s">
        <v>81</v>
      </c>
    </row>
    <row r="28" spans="4:5" ht="14.25" hidden="1">
      <c r="D28" s="170">
        <v>7</v>
      </c>
      <c r="E28" t="s">
        <v>81</v>
      </c>
    </row>
    <row r="29" spans="4:5" ht="14.25" hidden="1">
      <c r="D29" s="170">
        <v>8</v>
      </c>
      <c r="E29" t="s">
        <v>81</v>
      </c>
    </row>
    <row r="30" spans="4:5" ht="14.25" hidden="1">
      <c r="D30" s="170">
        <v>9</v>
      </c>
      <c r="E30" t="s">
        <v>67</v>
      </c>
    </row>
    <row r="31" spans="4:5" ht="14.25" hidden="1">
      <c r="D31" s="170">
        <v>10</v>
      </c>
      <c r="E31" t="s">
        <v>67</v>
      </c>
    </row>
    <row r="32" spans="4:5" ht="14.25" hidden="1">
      <c r="D32" s="170">
        <v>11</v>
      </c>
      <c r="E32" t="s">
        <v>67</v>
      </c>
    </row>
    <row r="33" spans="4:5" ht="14.25" hidden="1">
      <c r="D33" s="170">
        <v>12</v>
      </c>
      <c r="E33" t="s">
        <v>67</v>
      </c>
    </row>
  </sheetData>
  <sheetProtection password="B7B0" sheet="1" formatRows="0"/>
  <mergeCells count="7">
    <mergeCell ref="B14:I14"/>
    <mergeCell ref="A1:I1"/>
    <mergeCell ref="A2:I2"/>
    <mergeCell ref="A3:I3"/>
    <mergeCell ref="A4:I4"/>
    <mergeCell ref="A5:H5"/>
    <mergeCell ref="B13:I13"/>
  </mergeCells>
  <dataValidations count="5">
    <dataValidation type="list" allowBlank="1" showInputMessage="1" showErrorMessage="1" sqref="I5">
      <formula1>"Yes,No"</formula1>
    </dataValidation>
    <dataValidation type="list" allowBlank="1" showInputMessage="1" showErrorMessage="1" sqref="B7:B11">
      <formula1>"K4, K5-0.5 FTE,K5-0.6 FTE, K5-0.8 FTE, K5-1.0 FTE,1,2,3,4,5,6,7,8,9,10,11,12"</formula1>
    </dataValidation>
    <dataValidation type="list" allowBlank="1" showDropDown="1" showInputMessage="1" showErrorMessage="1" prompt="Insert &quot;X&quot; if this Reason is applicable." error="Input X if the reason is applicable.  If not applicable, leave this cell blank." sqref="G7:H11">
      <formula1>"X,x"</formula1>
    </dataValidation>
    <dataValidation type="list" allowBlank="1" showInputMessage="1" showErrorMessage="1" sqref="F7:F11">
      <formula1>"MPCP,RPCP,WPCP"</formula1>
    </dataValidation>
    <dataValidation type="whole" allowBlank="1" showInputMessage="1" showErrorMessage="1" error="This is not a valid Application ID. Please enter the Application ID for the pupil. The Family ID should not be entered in this column." sqref="C7:C11">
      <formula1>600000</formula1>
      <formula2>900000</formula2>
    </dataValidation>
  </dataValidations>
  <printOptions horizontalCentered="1"/>
  <pageMargins left="0.5" right="0.5" top="0.5" bottom="0.5" header="0.3" footer="0.3"/>
  <pageSetup fitToHeight="100" fitToWidth="1" horizontalDpi="600" verticalDpi="600" orientation="landscape" scale="99" r:id="rId1"/>
  <headerFooter>
    <oddHeader>&amp;L&amp;"Arial,Regular"&amp;8Page 7&amp;R&amp;"Arial,Regular"&amp;8PI-PCP-106 (5 Lines)</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58"/>
  <sheetViews>
    <sheetView showGridLines="0" workbookViewId="0" topLeftCell="A1">
      <selection activeCell="K16" sqref="K16"/>
    </sheetView>
  </sheetViews>
  <sheetFormatPr defaultColWidth="9.140625" defaultRowHeight="15"/>
  <cols>
    <col min="1" max="1" width="3.140625" style="128" customWidth="1"/>
    <col min="2" max="2" width="21.57421875" style="9" customWidth="1"/>
    <col min="3" max="3" width="9.8515625" style="9" customWidth="1"/>
    <col min="4" max="4" width="7.8515625" style="9" customWidth="1"/>
    <col min="5" max="5" width="11.57421875" style="9" customWidth="1"/>
    <col min="6" max="6" width="12.140625" style="9" customWidth="1"/>
    <col min="7" max="7" width="11.57421875" style="9" customWidth="1"/>
    <col min="8" max="8" width="12.140625" style="9" customWidth="1"/>
    <col min="9" max="9" width="11.57421875" style="9" customWidth="1"/>
    <col min="10" max="10" width="12.140625" style="9" customWidth="1"/>
    <col min="11" max="11" width="11.57421875" style="9" customWidth="1"/>
    <col min="12" max="12" width="12.140625" style="9" customWidth="1"/>
    <col min="13" max="13" width="9.140625" style="44" customWidth="1"/>
    <col min="14" max="16384" width="9.140625" style="9" customWidth="1"/>
  </cols>
  <sheetData>
    <row r="1" spans="1:12" s="44" customFormat="1" ht="15" customHeight="1">
      <c r="A1" s="507" t="str">
        <f>IF(ISBLANK('Cover Page'!A4),"School Name",'Cover Page'!A4)</f>
        <v>School Name</v>
      </c>
      <c r="B1" s="507"/>
      <c r="C1" s="507"/>
      <c r="D1" s="507"/>
      <c r="E1" s="507"/>
      <c r="F1" s="507"/>
      <c r="G1" s="507"/>
      <c r="H1" s="507"/>
      <c r="I1" s="507"/>
      <c r="J1" s="507"/>
      <c r="K1" s="507"/>
      <c r="L1" s="507"/>
    </row>
    <row r="2" spans="1:12" ht="15" customHeight="1">
      <c r="A2" s="445" t="str">
        <f>'Error Report'!A3</f>
        <v>January 14, 2022 Choice Enrollment Audit</v>
      </c>
      <c r="B2" s="445"/>
      <c r="C2" s="445"/>
      <c r="D2" s="445"/>
      <c r="E2" s="445"/>
      <c r="F2" s="445"/>
      <c r="G2" s="445"/>
      <c r="H2" s="445"/>
      <c r="I2" s="445"/>
      <c r="J2" s="445"/>
      <c r="K2" s="445"/>
      <c r="L2" s="445"/>
    </row>
    <row r="3" spans="1:12" ht="15" customHeight="1" thickBot="1">
      <c r="A3" s="537" t="s">
        <v>330</v>
      </c>
      <c r="B3" s="537"/>
      <c r="C3" s="537"/>
      <c r="D3" s="537"/>
      <c r="E3" s="537"/>
      <c r="F3" s="537"/>
      <c r="G3" s="537"/>
      <c r="H3" s="537"/>
      <c r="I3" s="537"/>
      <c r="J3" s="537"/>
      <c r="K3" s="537"/>
      <c r="L3" s="537"/>
    </row>
    <row r="4" spans="1:12" ht="22.5" customHeight="1" thickBot="1" thickTop="1">
      <c r="A4" s="88"/>
      <c r="B4" s="80"/>
      <c r="C4" s="80"/>
      <c r="D4" s="80"/>
      <c r="E4" s="538" t="s">
        <v>242</v>
      </c>
      <c r="F4" s="538"/>
      <c r="G4" s="538"/>
      <c r="H4" s="538"/>
      <c r="I4" s="538"/>
      <c r="J4" s="80"/>
      <c r="K4" s="80"/>
      <c r="L4" s="80"/>
    </row>
    <row r="5" spans="1:13" s="21" customFormat="1" ht="19.5" customHeight="1">
      <c r="A5" s="134"/>
      <c r="B5" s="135"/>
      <c r="C5" s="135"/>
      <c r="D5" s="135"/>
      <c r="E5" s="539" t="s">
        <v>167</v>
      </c>
      <c r="F5" s="540"/>
      <c r="G5" s="539" t="s">
        <v>168</v>
      </c>
      <c r="H5" s="540"/>
      <c r="I5" s="539" t="s">
        <v>86</v>
      </c>
      <c r="J5" s="541"/>
      <c r="K5" s="539" t="s">
        <v>241</v>
      </c>
      <c r="L5" s="541"/>
      <c r="M5" s="48"/>
    </row>
    <row r="6" spans="1:13" s="84" customFormat="1" ht="19.5" customHeight="1">
      <c r="A6" s="151" t="s">
        <v>260</v>
      </c>
      <c r="B6" s="456" t="s">
        <v>52</v>
      </c>
      <c r="C6" s="488"/>
      <c r="D6" s="488"/>
      <c r="E6" s="108" t="s">
        <v>254</v>
      </c>
      <c r="F6" s="109" t="s">
        <v>255</v>
      </c>
      <c r="G6" s="108" t="s">
        <v>254</v>
      </c>
      <c r="H6" s="109" t="s">
        <v>255</v>
      </c>
      <c r="I6" s="108" t="s">
        <v>254</v>
      </c>
      <c r="J6" s="109" t="s">
        <v>255</v>
      </c>
      <c r="K6" s="108" t="s">
        <v>254</v>
      </c>
      <c r="L6" s="317" t="s">
        <v>255</v>
      </c>
      <c r="M6" s="83"/>
    </row>
    <row r="7" spans="1:13" s="21" customFormat="1" ht="19.5" customHeight="1">
      <c r="A7" s="23">
        <v>1</v>
      </c>
      <c r="B7" s="476" t="s">
        <v>243</v>
      </c>
      <c r="C7" s="542"/>
      <c r="D7" s="542"/>
      <c r="E7" s="110">
        <f>'Schedule 1-2'!E8</f>
        <v>0</v>
      </c>
      <c r="F7" s="111">
        <f>+E7*0.5</f>
        <v>0</v>
      </c>
      <c r="G7" s="110">
        <f>'Schedule 1-2'!E20</f>
        <v>0</v>
      </c>
      <c r="H7" s="111">
        <f>+G7*0.5</f>
        <v>0</v>
      </c>
      <c r="I7" s="110">
        <f>'Schedule 1-2'!E32</f>
        <v>0</v>
      </c>
      <c r="J7" s="51">
        <f>+I7*0.5</f>
        <v>0</v>
      </c>
      <c r="K7" s="110">
        <f>E7+G7+I7</f>
        <v>0</v>
      </c>
      <c r="L7" s="51">
        <f>+K7*0.5</f>
        <v>0</v>
      </c>
      <c r="M7" s="48"/>
    </row>
    <row r="8" spans="1:13" s="21" customFormat="1" ht="19.5" customHeight="1">
      <c r="A8" s="23">
        <v>2</v>
      </c>
      <c r="B8" s="462" t="s">
        <v>244</v>
      </c>
      <c r="C8" s="543"/>
      <c r="D8" s="543"/>
      <c r="E8" s="110">
        <f>'Schedule 1-2'!E9</f>
        <v>0</v>
      </c>
      <c r="F8" s="111">
        <f>+E8*0.6</f>
        <v>0</v>
      </c>
      <c r="G8" s="110">
        <f>'Schedule 1-2'!E21</f>
        <v>0</v>
      </c>
      <c r="H8" s="111">
        <f>+G8*0.6</f>
        <v>0</v>
      </c>
      <c r="I8" s="110">
        <f>'Schedule 1-2'!E33</f>
        <v>0</v>
      </c>
      <c r="J8" s="51">
        <f>+I8*0.6</f>
        <v>0</v>
      </c>
      <c r="K8" s="110">
        <f aca="true" t="shared" si="0" ref="K8:K13">E8+G8+I8</f>
        <v>0</v>
      </c>
      <c r="L8" s="51">
        <f>+K8*0.6</f>
        <v>0</v>
      </c>
      <c r="M8" s="48"/>
    </row>
    <row r="9" spans="1:13" s="21" customFormat="1" ht="19.5" customHeight="1">
      <c r="A9" s="23">
        <v>3</v>
      </c>
      <c r="B9" s="462" t="s">
        <v>245</v>
      </c>
      <c r="C9" s="543"/>
      <c r="D9" s="543"/>
      <c r="E9" s="110">
        <f>'Schedule 1-2'!E10</f>
        <v>0</v>
      </c>
      <c r="F9" s="111">
        <f>+E9*0.5</f>
        <v>0</v>
      </c>
      <c r="G9" s="110">
        <f>'Schedule 1-2'!E22</f>
        <v>0</v>
      </c>
      <c r="H9" s="111">
        <f>+G9*0.5</f>
        <v>0</v>
      </c>
      <c r="I9" s="110">
        <f>'Schedule 1-2'!E34</f>
        <v>0</v>
      </c>
      <c r="J9" s="51">
        <f>+I9*0.5</f>
        <v>0</v>
      </c>
      <c r="K9" s="110">
        <f t="shared" si="0"/>
        <v>0</v>
      </c>
      <c r="L9" s="51">
        <f>+K9*0.5</f>
        <v>0</v>
      </c>
      <c r="M9" s="48"/>
    </row>
    <row r="10" spans="1:13" s="21" customFormat="1" ht="19.5" customHeight="1">
      <c r="A10" s="23">
        <v>4</v>
      </c>
      <c r="B10" s="462" t="s">
        <v>246</v>
      </c>
      <c r="C10" s="543"/>
      <c r="D10" s="543"/>
      <c r="E10" s="110">
        <f>'Schedule 1-2'!E11</f>
        <v>0</v>
      </c>
      <c r="F10" s="111">
        <f>+E10*0.6</f>
        <v>0</v>
      </c>
      <c r="G10" s="110">
        <f>'Schedule 1-2'!E23</f>
        <v>0</v>
      </c>
      <c r="H10" s="111">
        <f>+G10*0.6</f>
        <v>0</v>
      </c>
      <c r="I10" s="110">
        <f>'Schedule 1-2'!E35</f>
        <v>0</v>
      </c>
      <c r="J10" s="51">
        <f>+I10*0.6</f>
        <v>0</v>
      </c>
      <c r="K10" s="110">
        <f t="shared" si="0"/>
        <v>0</v>
      </c>
      <c r="L10" s="51">
        <f>+K10*0.6</f>
        <v>0</v>
      </c>
      <c r="M10" s="48"/>
    </row>
    <row r="11" spans="1:13" s="21" customFormat="1" ht="19.5" customHeight="1">
      <c r="A11" s="23">
        <v>5</v>
      </c>
      <c r="B11" s="462" t="s">
        <v>247</v>
      </c>
      <c r="C11" s="543"/>
      <c r="D11" s="543"/>
      <c r="E11" s="110">
        <f>'Schedule 1-2'!E12</f>
        <v>0</v>
      </c>
      <c r="F11" s="111">
        <f>+E11*0.8</f>
        <v>0</v>
      </c>
      <c r="G11" s="110">
        <f>'Schedule 1-2'!E24</f>
        <v>0</v>
      </c>
      <c r="H11" s="111">
        <f>+G11*0.8</f>
        <v>0</v>
      </c>
      <c r="I11" s="110">
        <f>'Schedule 1-2'!E36</f>
        <v>0</v>
      </c>
      <c r="J11" s="51">
        <f>+I11*0.8</f>
        <v>0</v>
      </c>
      <c r="K11" s="110">
        <f t="shared" si="0"/>
        <v>0</v>
      </c>
      <c r="L11" s="51">
        <f>+K11*0.8</f>
        <v>0</v>
      </c>
      <c r="M11" s="48"/>
    </row>
    <row r="12" spans="1:13" s="21" customFormat="1" ht="19.5" customHeight="1">
      <c r="A12" s="23">
        <v>6</v>
      </c>
      <c r="B12" s="462" t="s">
        <v>248</v>
      </c>
      <c r="C12" s="543"/>
      <c r="D12" s="543"/>
      <c r="E12" s="110">
        <f>'Schedule 1-2'!E13</f>
        <v>0</v>
      </c>
      <c r="F12" s="111">
        <f>+E12*1</f>
        <v>0</v>
      </c>
      <c r="G12" s="110">
        <f>'Schedule 1-2'!E25</f>
        <v>0</v>
      </c>
      <c r="H12" s="111">
        <f>+G12*1</f>
        <v>0</v>
      </c>
      <c r="I12" s="110">
        <f>'Schedule 1-2'!E37</f>
        <v>0</v>
      </c>
      <c r="J12" s="51">
        <f>+I12*1</f>
        <v>0</v>
      </c>
      <c r="K12" s="110">
        <f t="shared" si="0"/>
        <v>0</v>
      </c>
      <c r="L12" s="51">
        <f>+K12*1</f>
        <v>0</v>
      </c>
      <c r="M12" s="48"/>
    </row>
    <row r="13" spans="1:13" s="21" customFormat="1" ht="19.5" customHeight="1" thickBot="1">
      <c r="A13" s="45">
        <v>7</v>
      </c>
      <c r="B13" s="464" t="s">
        <v>249</v>
      </c>
      <c r="C13" s="544"/>
      <c r="D13" s="544"/>
      <c r="E13" s="110">
        <f>'Schedule 1-2'!E14</f>
        <v>0</v>
      </c>
      <c r="F13" s="112">
        <f>+E13*1</f>
        <v>0</v>
      </c>
      <c r="G13" s="110">
        <f>'Schedule 1-2'!E26</f>
        <v>0</v>
      </c>
      <c r="H13" s="112">
        <f>+G13*1</f>
        <v>0</v>
      </c>
      <c r="I13" s="110">
        <f>'Schedule 1-2'!E38</f>
        <v>0</v>
      </c>
      <c r="J13" s="50">
        <f>+I13*1</f>
        <v>0</v>
      </c>
      <c r="K13" s="110">
        <f t="shared" si="0"/>
        <v>0</v>
      </c>
      <c r="L13" s="50">
        <f>+K13*1</f>
        <v>0</v>
      </c>
      <c r="M13" s="48"/>
    </row>
    <row r="14" spans="1:13" s="84" customFormat="1" ht="19.5" customHeight="1" thickBot="1">
      <c r="A14" s="46">
        <v>8</v>
      </c>
      <c r="B14" s="545" t="s">
        <v>428</v>
      </c>
      <c r="C14" s="546"/>
      <c r="D14" s="546"/>
      <c r="E14" s="113">
        <f aca="true" t="shared" si="1" ref="E14:L14">SUM(E7:E13)</f>
        <v>0</v>
      </c>
      <c r="F14" s="114">
        <f t="shared" si="1"/>
        <v>0</v>
      </c>
      <c r="G14" s="113">
        <f t="shared" si="1"/>
        <v>0</v>
      </c>
      <c r="H14" s="114">
        <f t="shared" si="1"/>
        <v>0</v>
      </c>
      <c r="I14" s="113">
        <f t="shared" si="1"/>
        <v>0</v>
      </c>
      <c r="J14" s="87">
        <f t="shared" si="1"/>
        <v>0</v>
      </c>
      <c r="K14" s="113">
        <f t="shared" si="1"/>
        <v>0</v>
      </c>
      <c r="L14" s="87">
        <f t="shared" si="1"/>
        <v>0</v>
      </c>
      <c r="M14" s="83"/>
    </row>
    <row r="15" spans="1:13" s="21" customFormat="1" ht="19.5" customHeight="1" thickBot="1">
      <c r="A15" s="46">
        <v>9</v>
      </c>
      <c r="B15" s="547" t="str">
        <f>"K4-8 Payment Rate (50% of $"&amp;'Payment Amounts'!B2&amp;")"</f>
        <v>K4-8 Payment Rate (50% of $8336)</v>
      </c>
      <c r="C15" s="548"/>
      <c r="D15" s="548"/>
      <c r="E15" s="118"/>
      <c r="F15" s="115">
        <f>'Payment Amounts'!$B$2/2</f>
        <v>4168</v>
      </c>
      <c r="G15" s="118"/>
      <c r="H15" s="115">
        <f>'Payment Amounts'!$B$2/2</f>
        <v>4168</v>
      </c>
      <c r="I15" s="118"/>
      <c r="J15" s="115">
        <f>'Payment Amounts'!$B$2/2</f>
        <v>4168</v>
      </c>
      <c r="K15" s="118"/>
      <c r="L15" s="97">
        <f>'Payment Amounts'!$B$2/2</f>
        <v>4168</v>
      </c>
      <c r="M15" s="48"/>
    </row>
    <row r="16" spans="1:13" s="84" customFormat="1" ht="19.5" customHeight="1" thickBot="1">
      <c r="A16" s="46">
        <v>10</v>
      </c>
      <c r="B16" s="549" t="s">
        <v>257</v>
      </c>
      <c r="C16" s="550"/>
      <c r="D16" s="550"/>
      <c r="E16" s="119"/>
      <c r="F16" s="116">
        <f>F14*F15</f>
        <v>0</v>
      </c>
      <c r="G16" s="119"/>
      <c r="H16" s="116">
        <f>H14*H15</f>
        <v>0</v>
      </c>
      <c r="I16" s="119"/>
      <c r="J16" s="86">
        <f>J14*J15</f>
        <v>0</v>
      </c>
      <c r="K16" s="119"/>
      <c r="L16" s="86">
        <f>L14*L15</f>
        <v>0</v>
      </c>
      <c r="M16" s="83"/>
    </row>
    <row r="17" spans="1:12" ht="19.5" customHeight="1" thickTop="1">
      <c r="A17" s="88"/>
      <c r="B17" s="80"/>
      <c r="C17" s="80"/>
      <c r="D17" s="80"/>
      <c r="E17" s="447" t="s">
        <v>75</v>
      </c>
      <c r="F17" s="447"/>
      <c r="G17" s="447"/>
      <c r="H17" s="447"/>
      <c r="I17" s="447"/>
      <c r="J17" s="80"/>
      <c r="K17" s="80"/>
      <c r="L17" s="80"/>
    </row>
    <row r="18" spans="1:13" s="21" customFormat="1" ht="19.5" customHeight="1" thickBot="1">
      <c r="A18" s="45">
        <v>11</v>
      </c>
      <c r="B18" s="464" t="s">
        <v>250</v>
      </c>
      <c r="C18" s="544"/>
      <c r="D18" s="544"/>
      <c r="E18" s="117">
        <f>'Schedule 1-2'!E15</f>
        <v>0</v>
      </c>
      <c r="F18" s="112">
        <f>+E18*1</f>
        <v>0</v>
      </c>
      <c r="G18" s="117">
        <f>'Schedule 1-2'!E27</f>
        <v>0</v>
      </c>
      <c r="H18" s="112">
        <f>+G18*1</f>
        <v>0</v>
      </c>
      <c r="I18" s="117">
        <f>'Schedule 1-2'!E39</f>
        <v>0</v>
      </c>
      <c r="J18" s="311">
        <f>+I18*1</f>
        <v>0</v>
      </c>
      <c r="K18" s="312">
        <f>SUM(E18,G18,I18)</f>
        <v>0</v>
      </c>
      <c r="L18" s="51">
        <f>SUM(F18,H18,J18)</f>
        <v>0</v>
      </c>
      <c r="M18" s="48"/>
    </row>
    <row r="19" spans="1:13" s="21" customFormat="1" ht="19.5" customHeight="1" thickBot="1">
      <c r="A19" s="46">
        <v>12</v>
      </c>
      <c r="B19" s="547" t="str">
        <f>"9-12 Payment Rate (50% of $"&amp;'Payment Amounts'!B3&amp;")"</f>
        <v>9-12 Payment Rate (50% of $8982)</v>
      </c>
      <c r="C19" s="548"/>
      <c r="D19" s="548"/>
      <c r="E19" s="118"/>
      <c r="F19" s="115">
        <f>'Payment Amounts'!$B$3/2</f>
        <v>4491</v>
      </c>
      <c r="G19" s="118"/>
      <c r="H19" s="115">
        <f>'Payment Amounts'!$B$3/2</f>
        <v>4491</v>
      </c>
      <c r="I19" s="118"/>
      <c r="J19" s="115">
        <f>'Payment Amounts'!$B$3/2</f>
        <v>4491</v>
      </c>
      <c r="K19" s="118"/>
      <c r="L19" s="97">
        <f>'Payment Amounts'!$B$3/2</f>
        <v>4491</v>
      </c>
      <c r="M19" s="48"/>
    </row>
    <row r="20" spans="1:13" s="21" customFormat="1" ht="19.5" customHeight="1" thickBot="1">
      <c r="A20" s="46">
        <v>13</v>
      </c>
      <c r="B20" s="549" t="s">
        <v>258</v>
      </c>
      <c r="C20" s="550"/>
      <c r="D20" s="550"/>
      <c r="E20" s="119"/>
      <c r="F20" s="116">
        <f>F18*F19</f>
        <v>0</v>
      </c>
      <c r="G20" s="119"/>
      <c r="H20" s="116">
        <f>H18*H19</f>
        <v>0</v>
      </c>
      <c r="I20" s="119"/>
      <c r="J20" s="86">
        <f>J18*J19</f>
        <v>0</v>
      </c>
      <c r="K20" s="119"/>
      <c r="L20" s="86">
        <f>L18*L19</f>
        <v>0</v>
      </c>
      <c r="M20" s="48"/>
    </row>
    <row r="21" spans="1:12" ht="22.5" customHeight="1" thickTop="1">
      <c r="A21" s="88"/>
      <c r="B21" s="80"/>
      <c r="C21" s="80"/>
      <c r="D21" s="80"/>
      <c r="E21" s="447" t="s">
        <v>439</v>
      </c>
      <c r="F21" s="447"/>
      <c r="G21" s="447"/>
      <c r="H21" s="447"/>
      <c r="I21" s="447"/>
      <c r="J21" s="80"/>
      <c r="K21" s="80"/>
      <c r="L21" s="80"/>
    </row>
    <row r="22" spans="1:13" s="21" customFormat="1" ht="19.5" customHeight="1" thickBot="1">
      <c r="A22" s="23">
        <v>14</v>
      </c>
      <c r="B22" s="462" t="s">
        <v>426</v>
      </c>
      <c r="C22" s="543"/>
      <c r="D22" s="543"/>
      <c r="E22" s="110">
        <f aca="true" t="shared" si="2" ref="E22:J22">E14+E18</f>
        <v>0</v>
      </c>
      <c r="F22" s="111">
        <f t="shared" si="2"/>
        <v>0</v>
      </c>
      <c r="G22" s="110">
        <f t="shared" si="2"/>
        <v>0</v>
      </c>
      <c r="H22" s="111">
        <f t="shared" si="2"/>
        <v>0</v>
      </c>
      <c r="I22" s="110">
        <f t="shared" si="2"/>
        <v>0</v>
      </c>
      <c r="J22" s="111">
        <f t="shared" si="2"/>
        <v>0</v>
      </c>
      <c r="K22" s="51">
        <f>SUM(E22,G22,I22)</f>
        <v>0</v>
      </c>
      <c r="L22" s="51">
        <f>SUM(F22,H22,J22)</f>
        <v>0</v>
      </c>
      <c r="M22" s="48"/>
    </row>
    <row r="23" spans="1:12" ht="22.5" customHeight="1" thickTop="1">
      <c r="A23" s="88"/>
      <c r="B23" s="80"/>
      <c r="C23" s="80"/>
      <c r="D23" s="80"/>
      <c r="E23" s="447" t="s">
        <v>259</v>
      </c>
      <c r="F23" s="447"/>
      <c r="G23" s="447"/>
      <c r="H23" s="447"/>
      <c r="I23" s="447"/>
      <c r="J23" s="80"/>
      <c r="K23" s="80"/>
      <c r="L23" s="80"/>
    </row>
    <row r="24" spans="1:13" s="21" customFormat="1" ht="19.5" customHeight="1">
      <c r="A24" s="23">
        <v>15</v>
      </c>
      <c r="B24" s="476" t="s">
        <v>649</v>
      </c>
      <c r="C24" s="542"/>
      <c r="D24" s="542"/>
      <c r="E24" s="156"/>
      <c r="F24" s="90">
        <f>SUM(F16,F20)</f>
        <v>0</v>
      </c>
      <c r="G24" s="156"/>
      <c r="H24" s="90">
        <f>SUM(H16,H20)</f>
        <v>0</v>
      </c>
      <c r="I24" s="156"/>
      <c r="J24" s="90">
        <f>SUM(J16,J20)</f>
        <v>0</v>
      </c>
      <c r="K24" s="156"/>
      <c r="L24" s="90">
        <f>SUM(L16,L20)</f>
        <v>0</v>
      </c>
      <c r="M24" s="48"/>
    </row>
    <row r="25" spans="1:13" s="21" customFormat="1" ht="19.5" customHeight="1" thickBot="1">
      <c r="A25" s="133">
        <v>16</v>
      </c>
      <c r="B25" s="511" t="s">
        <v>650</v>
      </c>
      <c r="C25" s="551"/>
      <c r="D25" s="551"/>
      <c r="E25" s="157"/>
      <c r="F25" s="175">
        <f>IF('Cover Page'!$A$8="",0,VLOOKUP('Cover Page'!$A$4&amp;"-Milwaukee",Counts!$A$4:$Z$461,Counts!$Y$467,FALSE))</f>
        <v>0</v>
      </c>
      <c r="G25" s="157"/>
      <c r="H25" s="175">
        <f>IF('Cover Page'!$A$9="",0,VLOOKUP('Cover Page'!$A$4&amp;"-Racine",Counts!$A$4:$Z$461,Counts!$Y$467,FALSE))</f>
        <v>0</v>
      </c>
      <c r="I25" s="157"/>
      <c r="J25" s="175">
        <f>IF('Cover Page'!$A$10="",0,VLOOKUP('Cover Page'!$A$4&amp;"-WPCP",Counts!$A$4:$Z$461,Counts!$Y$467,FALSE))</f>
        <v>0</v>
      </c>
      <c r="K25" s="157"/>
      <c r="L25" s="91">
        <f>SUM(F25,H25,J25)</f>
        <v>0</v>
      </c>
      <c r="M25" s="48"/>
    </row>
    <row r="26" spans="1:13" s="21" customFormat="1" ht="19.5" customHeight="1" thickBot="1">
      <c r="A26" s="322">
        <v>17</v>
      </c>
      <c r="B26" s="552" t="s">
        <v>651</v>
      </c>
      <c r="C26" s="553"/>
      <c r="D26" s="553"/>
      <c r="E26" s="323"/>
      <c r="F26" s="324">
        <f>F24-F25</f>
        <v>0</v>
      </c>
      <c r="G26" s="323"/>
      <c r="H26" s="324">
        <f>H24-H25</f>
        <v>0</v>
      </c>
      <c r="I26" s="323"/>
      <c r="J26" s="324">
        <f>J24-J25</f>
        <v>0</v>
      </c>
      <c r="K26" s="323"/>
      <c r="L26" s="324">
        <f>L24-L25</f>
        <v>0</v>
      </c>
      <c r="M26" s="48"/>
    </row>
    <row r="27" spans="1:13" s="21" customFormat="1" ht="19.5" customHeight="1" hidden="1">
      <c r="A27" s="82">
        <v>18</v>
      </c>
      <c r="B27" s="554" t="s">
        <v>71</v>
      </c>
      <c r="C27" s="555"/>
      <c r="D27" s="555"/>
      <c r="E27" s="320"/>
      <c r="F27" s="321">
        <f>IF('Schedule 6'!$I$5="No",0,F28+SUMIF('Schedule 6'!$G$10:$G$40,"MPCP",'Schedule 6'!$S$10:$S$40))</f>
        <v>0</v>
      </c>
      <c r="G27" s="320"/>
      <c r="H27" s="321">
        <f>IF('Schedule 6'!$I$5="No",0,H28+SUMIF('Schedule 6'!$G$10:$G$40,"RPCP",'Schedule 6'!$S$10:$S$40))</f>
        <v>0</v>
      </c>
      <c r="I27" s="320"/>
      <c r="J27" s="321">
        <f>IF('Schedule 6'!$I$5="No",0,J28+SUMIF('Schedule 6'!$G$10:$G$40,"WPCP",'Schedule 6'!$S$10:$S$40))</f>
        <v>0</v>
      </c>
      <c r="K27" s="320"/>
      <c r="L27" s="321">
        <f>SUM(F27,H27,J27)</f>
        <v>0</v>
      </c>
      <c r="M27" s="48"/>
    </row>
    <row r="28" spans="1:13" s="84" customFormat="1" ht="19.5" customHeight="1" hidden="1" thickBot="1">
      <c r="A28" s="79">
        <v>19</v>
      </c>
      <c r="B28" s="462" t="s">
        <v>344</v>
      </c>
      <c r="C28" s="543"/>
      <c r="D28" s="543"/>
      <c r="E28" s="176"/>
      <c r="F28" s="175">
        <f>IF('Cover Page'!$A$8="",0,VLOOKUP('Cover Page'!$A$4&amp;"-Milwaukee",Counts!$A$4:$AF$461,Counts!$AF$467,FALSE))</f>
        <v>0</v>
      </c>
      <c r="G28" s="176"/>
      <c r="H28" s="175">
        <f>IF('Cover Page'!$A$9="",0,VLOOKUP('Cover Page'!$A$4&amp;"-Racine",Counts!$A$4:$AF$461,Counts!$AF$467,FALSE))</f>
        <v>0</v>
      </c>
      <c r="I28" s="176"/>
      <c r="J28" s="175">
        <f>IF('Cover Page'!$A$10="",0,VLOOKUP('Cover Page'!$A$4&amp;"-WPCP",Counts!$A$4:$AF$461,Counts!$AF$467,FALSE))</f>
        <v>0</v>
      </c>
      <c r="K28" s="176"/>
      <c r="L28" s="91">
        <f>SUM(F28,H28,J28)</f>
        <v>0</v>
      </c>
      <c r="M28" s="83"/>
    </row>
    <row r="29" spans="1:13" s="21" customFormat="1" ht="19.5" customHeight="1" hidden="1" thickBot="1">
      <c r="A29" s="46">
        <v>20</v>
      </c>
      <c r="B29" s="545" t="s">
        <v>427</v>
      </c>
      <c r="C29" s="546"/>
      <c r="D29" s="546"/>
      <c r="E29" s="323"/>
      <c r="F29" s="116">
        <f>F27-F28</f>
        <v>0</v>
      </c>
      <c r="G29" s="323"/>
      <c r="H29" s="116">
        <f>H27-H28</f>
        <v>0</v>
      </c>
      <c r="I29" s="323"/>
      <c r="J29" s="116">
        <f>J27-J28</f>
        <v>0</v>
      </c>
      <c r="K29" s="323"/>
      <c r="L29" s="86">
        <f>SUM(F29,H29,J29)</f>
        <v>0</v>
      </c>
      <c r="M29" s="48"/>
    </row>
    <row r="30" spans="1:13" s="21" customFormat="1" ht="19.5" customHeight="1" hidden="1" thickBot="1">
      <c r="A30" s="325">
        <v>21</v>
      </c>
      <c r="B30" s="556" t="s">
        <v>457</v>
      </c>
      <c r="C30" s="557"/>
      <c r="D30" s="557"/>
      <c r="E30" s="326"/>
      <c r="F30" s="327">
        <f>F26+F29</f>
        <v>0</v>
      </c>
      <c r="G30" s="326"/>
      <c r="H30" s="327">
        <f>H26+H29</f>
        <v>0</v>
      </c>
      <c r="I30" s="326"/>
      <c r="J30" s="327">
        <f>J26+J29</f>
        <v>0</v>
      </c>
      <c r="K30" s="326"/>
      <c r="L30" s="327">
        <f>L26+L29</f>
        <v>0</v>
      </c>
      <c r="M30" s="48"/>
    </row>
    <row r="31" spans="1:12" ht="19.5" customHeight="1" thickBot="1">
      <c r="A31" s="537" t="s">
        <v>350</v>
      </c>
      <c r="B31" s="537"/>
      <c r="C31" s="537"/>
      <c r="D31" s="537"/>
      <c r="E31" s="537"/>
      <c r="F31" s="537"/>
      <c r="G31" s="537"/>
      <c r="H31" s="537"/>
      <c r="I31" s="537"/>
      <c r="J31" s="537"/>
      <c r="K31" s="537"/>
      <c r="L31" s="537"/>
    </row>
    <row r="32" spans="1:7" ht="10.5" thickTop="1">
      <c r="A32" s="152"/>
      <c r="B32" s="44"/>
      <c r="C32" s="44"/>
      <c r="D32" s="44"/>
      <c r="E32" s="44"/>
      <c r="F32" s="44"/>
      <c r="G32" s="44"/>
    </row>
    <row r="33" spans="1:7" ht="9.75">
      <c r="A33" s="152"/>
      <c r="B33" s="44"/>
      <c r="C33" s="44"/>
      <c r="D33" s="44"/>
      <c r="E33" s="44"/>
      <c r="F33" s="44"/>
      <c r="G33" s="44"/>
    </row>
    <row r="34" spans="1:6" ht="9.75">
      <c r="A34" s="152"/>
      <c r="B34" s="44"/>
      <c r="C34" s="44"/>
      <c r="D34" s="44"/>
      <c r="E34" s="44"/>
      <c r="F34" s="44"/>
    </row>
    <row r="35" spans="1:6" ht="9.75">
      <c r="A35" s="152"/>
      <c r="B35" s="44"/>
      <c r="C35" s="44"/>
      <c r="D35" s="44"/>
      <c r="E35" s="44"/>
      <c r="F35" s="44"/>
    </row>
    <row r="36" spans="1:6" ht="9.75">
      <c r="A36" s="152"/>
      <c r="B36" s="44"/>
      <c r="C36" s="44"/>
      <c r="D36" s="44"/>
      <c r="E36" s="44"/>
      <c r="F36" s="44"/>
    </row>
    <row r="37" spans="1:6" ht="9.75">
      <c r="A37" s="152"/>
      <c r="B37" s="44"/>
      <c r="C37" s="44"/>
      <c r="D37" s="44"/>
      <c r="E37" s="44"/>
      <c r="F37" s="44"/>
    </row>
    <row r="38" spans="1:6" ht="9.75">
      <c r="A38" s="152"/>
      <c r="B38" s="44"/>
      <c r="C38" s="44"/>
      <c r="D38" s="44"/>
      <c r="E38" s="44"/>
      <c r="F38" s="44"/>
    </row>
    <row r="39" spans="1:6" ht="9.75">
      <c r="A39" s="152"/>
      <c r="B39" s="44"/>
      <c r="C39" s="44"/>
      <c r="D39" s="44"/>
      <c r="E39" s="44"/>
      <c r="F39" s="44"/>
    </row>
    <row r="40" spans="1:6" ht="9.75">
      <c r="A40" s="152"/>
      <c r="B40" s="44"/>
      <c r="C40" s="44"/>
      <c r="D40" s="44"/>
      <c r="E40" s="44"/>
      <c r="F40" s="44"/>
    </row>
    <row r="41" spans="1:6" ht="9.75">
      <c r="A41" s="152"/>
      <c r="B41" s="44"/>
      <c r="C41" s="44"/>
      <c r="D41" s="44"/>
      <c r="E41" s="44"/>
      <c r="F41" s="44"/>
    </row>
    <row r="42" spans="1:6" ht="9.75">
      <c r="A42" s="152"/>
      <c r="B42" s="44"/>
      <c r="C42" s="44"/>
      <c r="D42" s="44"/>
      <c r="E42" s="44"/>
      <c r="F42" s="44"/>
    </row>
    <row r="43" spans="1:6" ht="9.75">
      <c r="A43" s="152"/>
      <c r="B43" s="44"/>
      <c r="C43" s="44"/>
      <c r="D43" s="44"/>
      <c r="E43" s="44"/>
      <c r="F43" s="44"/>
    </row>
    <row r="44" spans="1:6" ht="9.75">
      <c r="A44" s="152"/>
      <c r="B44" s="44"/>
      <c r="C44" s="44"/>
      <c r="D44" s="44"/>
      <c r="E44" s="44"/>
      <c r="F44" s="44"/>
    </row>
    <row r="48" spans="1:7" ht="19.5" customHeight="1" hidden="1" thickTop="1">
      <c r="A48" s="88"/>
      <c r="B48" s="80"/>
      <c r="C48" s="447" t="s">
        <v>76</v>
      </c>
      <c r="D48" s="447"/>
      <c r="E48" s="80"/>
      <c r="F48" s="80"/>
      <c r="G48" s="44"/>
    </row>
    <row r="49" spans="1:13" s="81" customFormat="1" ht="19.5" customHeight="1" hidden="1">
      <c r="A49" s="89"/>
      <c r="B49" s="562" t="s">
        <v>73</v>
      </c>
      <c r="C49" s="563"/>
      <c r="D49" s="318" t="s">
        <v>80</v>
      </c>
      <c r="E49" s="318" t="s">
        <v>68</v>
      </c>
      <c r="F49" s="316" t="s">
        <v>74</v>
      </c>
      <c r="G49" s="7"/>
      <c r="M49" s="7"/>
    </row>
    <row r="50" spans="1:13" s="21" customFormat="1" ht="19.5" customHeight="1" hidden="1">
      <c r="A50" s="23">
        <v>14</v>
      </c>
      <c r="B50" s="462" t="s">
        <v>69</v>
      </c>
      <c r="C50" s="463"/>
      <c r="D50" s="122"/>
      <c r="E50" s="90">
        <f>7210*0.05</f>
        <v>360.5</v>
      </c>
      <c r="F50" s="95">
        <f>D50*E50</f>
        <v>0</v>
      </c>
      <c r="G50" s="48"/>
      <c r="M50" s="48"/>
    </row>
    <row r="51" spans="1:13" s="21" customFormat="1" ht="19.5" customHeight="1" hidden="1" thickBot="1">
      <c r="A51" s="45">
        <v>15</v>
      </c>
      <c r="B51" s="464" t="s">
        <v>70</v>
      </c>
      <c r="C51" s="465"/>
      <c r="D51" s="123"/>
      <c r="E51" s="91">
        <f>7856*0.05</f>
        <v>392.8</v>
      </c>
      <c r="F51" s="96">
        <f>D51*E51</f>
        <v>0</v>
      </c>
      <c r="G51" s="48"/>
      <c r="M51" s="48"/>
    </row>
    <row r="52" spans="1:13" s="84" customFormat="1" ht="19.5" customHeight="1" hidden="1" thickBot="1">
      <c r="A52" s="82">
        <v>16</v>
      </c>
      <c r="B52" s="472" t="s">
        <v>71</v>
      </c>
      <c r="C52" s="564"/>
      <c r="D52" s="564"/>
      <c r="E52" s="473"/>
      <c r="F52" s="99">
        <f>SUM(F50:F51)</f>
        <v>0</v>
      </c>
      <c r="G52" s="83"/>
      <c r="M52" s="83"/>
    </row>
    <row r="53" ht="9.75" hidden="1"/>
    <row r="54" ht="9.75" hidden="1"/>
    <row r="55" spans="1:13" s="21" customFormat="1" ht="19.5" customHeight="1" hidden="1">
      <c r="A55" s="23">
        <v>18</v>
      </c>
      <c r="B55" s="476" t="s">
        <v>5</v>
      </c>
      <c r="C55" s="542"/>
      <c r="D55" s="542"/>
      <c r="E55" s="477"/>
      <c r="F55" s="124"/>
      <c r="G55" s="48"/>
      <c r="M55" s="48"/>
    </row>
    <row r="56" spans="1:13" s="21" customFormat="1" ht="19.5" customHeight="1" hidden="1" thickBot="1">
      <c r="A56" s="45">
        <v>19</v>
      </c>
      <c r="B56" s="511" t="s">
        <v>72</v>
      </c>
      <c r="C56" s="551"/>
      <c r="D56" s="551"/>
      <c r="E56" s="512"/>
      <c r="F56" s="125"/>
      <c r="G56" s="48"/>
      <c r="M56" s="48"/>
    </row>
    <row r="57" spans="1:13" s="21" customFormat="1" ht="19.5" customHeight="1" hidden="1" thickBot="1">
      <c r="A57" s="79">
        <v>20</v>
      </c>
      <c r="B57" s="558" t="s">
        <v>251</v>
      </c>
      <c r="C57" s="559"/>
      <c r="D57" s="559"/>
      <c r="E57" s="560"/>
      <c r="F57" s="120">
        <f>SUM(F55:F56)</f>
        <v>0</v>
      </c>
      <c r="G57" s="48"/>
      <c r="M57" s="48"/>
    </row>
    <row r="58" spans="1:13" s="84" customFormat="1" ht="19.5" customHeight="1" hidden="1" thickBot="1">
      <c r="A58" s="47">
        <v>21</v>
      </c>
      <c r="B58" s="556" t="s">
        <v>77</v>
      </c>
      <c r="C58" s="557"/>
      <c r="D58" s="557"/>
      <c r="E58" s="561"/>
      <c r="F58" s="85" t="e">
        <f>#REF!-F57</f>
        <v>#REF!</v>
      </c>
      <c r="G58" s="83"/>
      <c r="M58" s="83"/>
    </row>
  </sheetData>
  <sheetProtection password="B7B0" sheet="1"/>
  <mergeCells count="43">
    <mergeCell ref="A31:L31"/>
    <mergeCell ref="B56:E56"/>
    <mergeCell ref="B57:E57"/>
    <mergeCell ref="B58:E58"/>
    <mergeCell ref="C48:D48"/>
    <mergeCell ref="B49:C49"/>
    <mergeCell ref="B50:C50"/>
    <mergeCell ref="B51:C51"/>
    <mergeCell ref="B52:E52"/>
    <mergeCell ref="B55:E55"/>
    <mergeCell ref="B25:D25"/>
    <mergeCell ref="B26:D26"/>
    <mergeCell ref="B27:D27"/>
    <mergeCell ref="B28:D28"/>
    <mergeCell ref="B29:D29"/>
    <mergeCell ref="B30:D30"/>
    <mergeCell ref="B19:D19"/>
    <mergeCell ref="B20:D20"/>
    <mergeCell ref="E21:I21"/>
    <mergeCell ref="B22:D22"/>
    <mergeCell ref="B24:D24"/>
    <mergeCell ref="E23:I23"/>
    <mergeCell ref="B13:D13"/>
    <mergeCell ref="B14:D14"/>
    <mergeCell ref="B15:D15"/>
    <mergeCell ref="B16:D16"/>
    <mergeCell ref="E17:I17"/>
    <mergeCell ref="B18:D18"/>
    <mergeCell ref="B7:D7"/>
    <mergeCell ref="B8:D8"/>
    <mergeCell ref="B9:D9"/>
    <mergeCell ref="B10:D10"/>
    <mergeCell ref="B11:D11"/>
    <mergeCell ref="B12:D12"/>
    <mergeCell ref="B6:D6"/>
    <mergeCell ref="A1:L1"/>
    <mergeCell ref="A2:L2"/>
    <mergeCell ref="A3:L3"/>
    <mergeCell ref="E4:I4"/>
    <mergeCell ref="E5:F5"/>
    <mergeCell ref="G5:H5"/>
    <mergeCell ref="I5:J5"/>
    <mergeCell ref="K5:L5"/>
  </mergeCells>
  <dataValidations count="1">
    <dataValidation type="whole" allowBlank="1" showInputMessage="1" showErrorMessage="1" error="Please enter a whole number." sqref="D50:D51">
      <formula1>0</formula1>
      <formula2>2000</formula2>
    </dataValidation>
  </dataValidations>
  <printOptions/>
  <pageMargins left="0.52" right="0.45" top="0.5" bottom="0.44" header="0.3" footer="0.3"/>
  <pageSetup fitToHeight="1" fitToWidth="1" horizontalDpi="600" verticalDpi="600" orientation="landscape" scale="93" r:id="rId1"/>
  <headerFooter>
    <oddHeader>&amp;L&amp;"Arial,Regular"&amp;8Page 8&amp;RPI-PCP-106 (5 Lines)</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U114"/>
  <sheetViews>
    <sheetView showGridLines="0" workbookViewId="0" topLeftCell="A1">
      <selection activeCell="E8" sqref="E8:F9"/>
    </sheetView>
  </sheetViews>
  <sheetFormatPr defaultColWidth="9.140625" defaultRowHeight="15"/>
  <cols>
    <col min="1" max="1" width="4.00390625" style="9" customWidth="1"/>
    <col min="2" max="2" width="8.8515625" style="9" customWidth="1"/>
    <col min="3" max="3" width="9.57421875" style="9" customWidth="1"/>
    <col min="4" max="4" width="17.57421875" style="9" customWidth="1"/>
    <col min="5" max="5" width="10.57421875" style="9" customWidth="1"/>
    <col min="6" max="6" width="9.57421875" style="9" customWidth="1"/>
    <col min="7" max="7" width="10.57421875" style="9" customWidth="1"/>
    <col min="8" max="8" width="10.421875" style="9" customWidth="1"/>
    <col min="9" max="9" width="9.57421875" style="9" customWidth="1"/>
    <col min="10" max="10" width="2.421875" style="9" customWidth="1"/>
    <col min="11" max="11" width="11.140625" style="9" customWidth="1"/>
    <col min="12" max="12" width="12.8515625" style="9" customWidth="1"/>
    <col min="13" max="13" width="10.421875" style="9" customWidth="1"/>
    <col min="14" max="14" width="11.140625" style="9" customWidth="1"/>
    <col min="15" max="15" width="2.8515625" style="9" customWidth="1"/>
    <col min="16" max="16" width="11.8515625" style="9" customWidth="1"/>
    <col min="17" max="18" width="11.8515625" style="177" customWidth="1"/>
    <col min="19" max="21" width="9.140625" style="9" customWidth="1"/>
    <col min="22" max="16384" width="9.140625" style="9" customWidth="1"/>
  </cols>
  <sheetData>
    <row r="1" spans="1:18" s="21" customFormat="1" ht="15" customHeight="1">
      <c r="A1" s="491" t="str">
        <f>IF(ISBLANK('Cover Page'!A4),"School Name",'Cover Page'!A4)</f>
        <v>School Name</v>
      </c>
      <c r="B1" s="491"/>
      <c r="C1" s="491"/>
      <c r="D1" s="491"/>
      <c r="E1" s="491"/>
      <c r="F1" s="491"/>
      <c r="G1" s="491"/>
      <c r="H1" s="491"/>
      <c r="I1" s="491"/>
      <c r="Q1" s="300"/>
      <c r="R1" s="300"/>
    </row>
    <row r="2" spans="1:18" s="21" customFormat="1" ht="15" customHeight="1">
      <c r="A2" s="491" t="str">
        <f>'Error Report'!A3</f>
        <v>January 14, 2022 Choice Enrollment Audit</v>
      </c>
      <c r="B2" s="491"/>
      <c r="C2" s="491"/>
      <c r="D2" s="491"/>
      <c r="E2" s="491"/>
      <c r="F2" s="491"/>
      <c r="G2" s="491"/>
      <c r="H2" s="491"/>
      <c r="I2" s="491"/>
      <c r="J2" s="142"/>
      <c r="Q2" s="300"/>
      <c r="R2" s="300"/>
    </row>
    <row r="3" spans="1:18" s="21" customFormat="1" ht="15" customHeight="1">
      <c r="A3" s="491" t="s">
        <v>547</v>
      </c>
      <c r="B3" s="491"/>
      <c r="C3" s="491"/>
      <c r="D3" s="491"/>
      <c r="E3" s="491"/>
      <c r="F3" s="491"/>
      <c r="G3" s="491"/>
      <c r="H3" s="491"/>
      <c r="I3" s="491"/>
      <c r="Q3" s="300"/>
      <c r="R3" s="300"/>
    </row>
    <row r="4" spans="1:18" s="21" customFormat="1" ht="83.25" customHeight="1" thickBot="1">
      <c r="A4" s="521" t="s">
        <v>645</v>
      </c>
      <c r="B4" s="521"/>
      <c r="C4" s="521"/>
      <c r="D4" s="521"/>
      <c r="E4" s="521"/>
      <c r="F4" s="521"/>
      <c r="G4" s="521"/>
      <c r="H4" s="521"/>
      <c r="I4" s="521"/>
      <c r="Q4" s="300"/>
      <c r="R4" s="300"/>
    </row>
    <row r="5" spans="1:18" s="21" customFormat="1" ht="33" customHeight="1" thickTop="1">
      <c r="A5" s="567" t="s">
        <v>578</v>
      </c>
      <c r="B5" s="567"/>
      <c r="C5" s="567"/>
      <c r="D5" s="567"/>
      <c r="E5" s="567"/>
      <c r="F5" s="567"/>
      <c r="G5" s="567"/>
      <c r="H5" s="568"/>
      <c r="I5" s="285"/>
      <c r="Q5" s="300"/>
      <c r="R5" s="300"/>
    </row>
    <row r="6" spans="1:18" s="21" customFormat="1" ht="35.25" customHeight="1" thickBot="1">
      <c r="A6" s="571" t="s">
        <v>579</v>
      </c>
      <c r="B6" s="571"/>
      <c r="C6" s="571"/>
      <c r="D6" s="571"/>
      <c r="E6" s="571"/>
      <c r="F6" s="571"/>
      <c r="G6" s="571"/>
      <c r="H6" s="572"/>
      <c r="I6" s="286">
        <f>IF(I5="N/A","N/A","")</f>
      </c>
      <c r="Q6" s="300"/>
      <c r="R6" s="300"/>
    </row>
    <row r="7" spans="1:21" s="21" customFormat="1" ht="15" customHeight="1" thickTop="1">
      <c r="A7" s="153"/>
      <c r="B7" s="153"/>
      <c r="C7" s="153"/>
      <c r="D7" s="582" t="s">
        <v>311</v>
      </c>
      <c r="E7" s="582"/>
      <c r="F7" s="582"/>
      <c r="G7" s="582"/>
      <c r="H7" s="153"/>
      <c r="I7" s="153"/>
      <c r="K7" s="583" t="s">
        <v>353</v>
      </c>
      <c r="L7" s="583"/>
      <c r="M7" s="583"/>
      <c r="N7" s="583"/>
      <c r="O7" s="210"/>
      <c r="P7" s="583" t="s">
        <v>363</v>
      </c>
      <c r="Q7" s="583"/>
      <c r="R7" s="583"/>
      <c r="S7" s="583"/>
      <c r="T7" s="583"/>
      <c r="U7" s="583"/>
    </row>
    <row r="8" spans="1:21" s="21" customFormat="1" ht="15" customHeight="1">
      <c r="A8" s="487" t="s">
        <v>60</v>
      </c>
      <c r="B8" s="486" t="s">
        <v>312</v>
      </c>
      <c r="C8" s="489" t="s">
        <v>285</v>
      </c>
      <c r="D8" s="453" t="s">
        <v>336</v>
      </c>
      <c r="E8" s="576" t="s">
        <v>352</v>
      </c>
      <c r="F8" s="577"/>
      <c r="G8" s="573" t="s">
        <v>184</v>
      </c>
      <c r="H8" s="453" t="s">
        <v>326</v>
      </c>
      <c r="I8" s="468" t="s">
        <v>327</v>
      </c>
      <c r="K8" s="565" t="s">
        <v>354</v>
      </c>
      <c r="L8" s="565" t="s">
        <v>358</v>
      </c>
      <c r="M8" s="565" t="s">
        <v>551</v>
      </c>
      <c r="N8" s="565" t="s">
        <v>355</v>
      </c>
      <c r="O8" s="287"/>
      <c r="P8" s="565" t="s">
        <v>286</v>
      </c>
      <c r="Q8" s="574" t="s">
        <v>432</v>
      </c>
      <c r="R8" s="574" t="s">
        <v>433</v>
      </c>
      <c r="S8" s="580" t="s">
        <v>346</v>
      </c>
      <c r="T8" s="580" t="s">
        <v>356</v>
      </c>
      <c r="U8" s="580" t="s">
        <v>357</v>
      </c>
    </row>
    <row r="9" spans="1:21" s="21" customFormat="1" ht="19.5" customHeight="1">
      <c r="A9" s="487"/>
      <c r="B9" s="486"/>
      <c r="C9" s="489"/>
      <c r="D9" s="453"/>
      <c r="E9" s="578"/>
      <c r="F9" s="579"/>
      <c r="G9" s="573"/>
      <c r="H9" s="453"/>
      <c r="I9" s="468"/>
      <c r="K9" s="566"/>
      <c r="L9" s="566"/>
      <c r="M9" s="566"/>
      <c r="N9" s="566"/>
      <c r="O9" s="288"/>
      <c r="P9" s="566"/>
      <c r="Q9" s="575"/>
      <c r="R9" s="575"/>
      <c r="S9" s="581" t="s">
        <v>346</v>
      </c>
      <c r="T9" s="581"/>
      <c r="U9" s="581"/>
    </row>
    <row r="10" spans="1:21" s="21" customFormat="1" ht="15" customHeight="1">
      <c r="A10" s="23">
        <v>1</v>
      </c>
      <c r="B10" s="293"/>
      <c r="C10" s="27"/>
      <c r="D10" s="27"/>
      <c r="E10" s="569"/>
      <c r="F10" s="570"/>
      <c r="G10" s="98"/>
      <c r="H10" s="173"/>
      <c r="I10" s="174"/>
      <c r="K10" s="295">
        <f>IF(AND(D10="",E10=""),"",IF(OR(B10="",C10="",D10="",E10="",G10=""),"Yes","No"))</f>
      </c>
      <c r="L10" s="295">
        <f>IF(AND(D10="",E10=""),"",IF(H10="","Yes","No"))</f>
      </c>
      <c r="M10" s="295" t="str">
        <f>IF(AND(H10&gt;14,I10&gt;14),"Yes","No")</f>
        <v>No</v>
      </c>
      <c r="N10" s="295">
        <f aca="true" t="shared" si="0" ref="N10:N39">IF(AND(D10="",E10=""),"",IF(I10="","Yes","No"))</f>
      </c>
      <c r="O10" s="296"/>
      <c r="P10" s="275">
        <f>IF(ISBLANK($B10),"",VLOOKUP($B10,'Schedule 6'!$B$54:$C$67,2,0))</f>
      </c>
      <c r="Q10" s="301">
        <f>IF($B10=0,0,VLOOKUP($H10,$E$55:$G$113,MATCH('Schedule 6'!$P10,$E$54:$G$54,0),FALSE))</f>
        <v>0</v>
      </c>
      <c r="R10" s="301">
        <f>IF($B10=0,0,VLOOKUP($I10,$E$55:$G$113,MATCH('Schedule 6'!$P10,$E$54:$G$54,0),FALSE))</f>
        <v>0</v>
      </c>
      <c r="S10" s="303">
        <f>R10-Q10</f>
        <v>0</v>
      </c>
      <c r="T10" s="297">
        <f>IF(H10=0,IF(I10&gt;0,1,0),0)</f>
        <v>0</v>
      </c>
      <c r="U10" s="297">
        <f>IF(I10=0,IF(H10&gt;0,-1,0),0)</f>
        <v>0</v>
      </c>
    </row>
    <row r="11" spans="1:21" s="21" customFormat="1" ht="15" customHeight="1">
      <c r="A11" s="23">
        <v>2</v>
      </c>
      <c r="B11" s="293"/>
      <c r="C11" s="27"/>
      <c r="D11" s="27"/>
      <c r="E11" s="569"/>
      <c r="F11" s="570"/>
      <c r="G11" s="98"/>
      <c r="H11" s="173"/>
      <c r="I11" s="174"/>
      <c r="K11" s="184">
        <f aca="true" t="shared" si="1" ref="K11:K39">IF(AND(D11="",E11=""),"",IF(OR(B11="",C11="",D11="",E11="",G11=""),"Yes","No"))</f>
      </c>
      <c r="L11" s="184">
        <f aca="true" t="shared" si="2" ref="L11:L39">IF(AND(D11="",E11=""),"",IF(H11="","Yes","No"))</f>
      </c>
      <c r="M11" s="295" t="str">
        <f aca="true" t="shared" si="3" ref="M11:M39">IF(AND(H11&gt;14,I11&gt;14),"Yes","No")</f>
        <v>No</v>
      </c>
      <c r="N11" s="184">
        <f t="shared" si="0"/>
      </c>
      <c r="O11" s="178"/>
      <c r="P11" s="275">
        <f>IF(ISBLANK($B11),"",VLOOKUP($B11,'Schedule 6'!$B$54:$C$67,2,0))</f>
      </c>
      <c r="Q11" s="301">
        <f>IF($B11=0,0,VLOOKUP($H11,$E$55:$G$113,MATCH('Schedule 6'!$P11,$E$54:$G$54,0),FALSE))</f>
        <v>0</v>
      </c>
      <c r="R11" s="301">
        <f>IF($B11=0,0,VLOOKUP($I11,$E$55:$G$113,MATCH('Schedule 6'!$P11,$E$54:$G$54,0),FALSE))</f>
        <v>0</v>
      </c>
      <c r="S11" s="303">
        <f aca="true" t="shared" si="4" ref="S11:S39">R11-Q11</f>
        <v>0</v>
      </c>
      <c r="T11" s="181">
        <f aca="true" t="shared" si="5" ref="T11:T39">IF(H11=0,IF(I11&gt;0,1,0),0)</f>
        <v>0</v>
      </c>
      <c r="U11" s="297">
        <f aca="true" t="shared" si="6" ref="U11:U39">IF(I11=0,IF(H11&gt;0,-1,0),0)</f>
        <v>0</v>
      </c>
    </row>
    <row r="12" spans="1:21" s="21" customFormat="1" ht="15" customHeight="1">
      <c r="A12" s="23">
        <v>3</v>
      </c>
      <c r="B12" s="293"/>
      <c r="C12" s="27"/>
      <c r="D12" s="27"/>
      <c r="E12" s="569"/>
      <c r="F12" s="570"/>
      <c r="G12" s="98"/>
      <c r="H12" s="173"/>
      <c r="I12" s="174"/>
      <c r="K12" s="184">
        <f t="shared" si="1"/>
      </c>
      <c r="L12" s="184">
        <f t="shared" si="2"/>
      </c>
      <c r="M12" s="295" t="str">
        <f t="shared" si="3"/>
        <v>No</v>
      </c>
      <c r="N12" s="184">
        <f t="shared" si="0"/>
      </c>
      <c r="O12" s="178"/>
      <c r="P12" s="275">
        <f>IF(ISBLANK($B12),"",VLOOKUP($B12,'Schedule 6'!$B$54:$C$67,2,0))</f>
      </c>
      <c r="Q12" s="301">
        <f>IF($B12=0,0,VLOOKUP($H12,$E$55:$G$113,MATCH('Schedule 6'!$P12,$E$54:$G$54,0),FALSE))</f>
        <v>0</v>
      </c>
      <c r="R12" s="301">
        <f>IF($B12=0,0,VLOOKUP($I12,$E$55:$G$113,MATCH('Schedule 6'!$P12,$E$54:$G$54,0),FALSE))</f>
        <v>0</v>
      </c>
      <c r="S12" s="303">
        <f t="shared" si="4"/>
        <v>0</v>
      </c>
      <c r="T12" s="181">
        <f t="shared" si="5"/>
        <v>0</v>
      </c>
      <c r="U12" s="297">
        <f t="shared" si="6"/>
        <v>0</v>
      </c>
    </row>
    <row r="13" spans="1:21" s="21" customFormat="1" ht="15" customHeight="1">
      <c r="A13" s="23">
        <v>4</v>
      </c>
      <c r="B13" s="293"/>
      <c r="C13" s="27"/>
      <c r="D13" s="27"/>
      <c r="E13" s="569"/>
      <c r="F13" s="570"/>
      <c r="G13" s="98"/>
      <c r="H13" s="173"/>
      <c r="I13" s="174"/>
      <c r="K13" s="184">
        <f t="shared" si="1"/>
      </c>
      <c r="L13" s="184">
        <f t="shared" si="2"/>
      </c>
      <c r="M13" s="295" t="str">
        <f t="shared" si="3"/>
        <v>No</v>
      </c>
      <c r="N13" s="184">
        <f t="shared" si="0"/>
      </c>
      <c r="O13" s="178"/>
      <c r="P13" s="275">
        <f>IF(ISBLANK($B13),"",VLOOKUP($B13,'Schedule 6'!$B$54:$C$67,2,0))</f>
      </c>
      <c r="Q13" s="301">
        <f>IF($B13=0,0,VLOOKUP($H13,$E$55:$G$113,MATCH('Schedule 6'!$P13,$E$54:$G$54,0),FALSE))</f>
        <v>0</v>
      </c>
      <c r="R13" s="301">
        <f>IF($B13=0,0,VLOOKUP($I13,$E$55:$G$113,MATCH('Schedule 6'!$P13,$E$54:$G$54,0),FALSE))</f>
        <v>0</v>
      </c>
      <c r="S13" s="303">
        <f t="shared" si="4"/>
        <v>0</v>
      </c>
      <c r="T13" s="181">
        <f t="shared" si="5"/>
        <v>0</v>
      </c>
      <c r="U13" s="297">
        <f t="shared" si="6"/>
        <v>0</v>
      </c>
    </row>
    <row r="14" spans="1:21" s="21" customFormat="1" ht="15" customHeight="1">
      <c r="A14" s="23">
        <v>5</v>
      </c>
      <c r="B14" s="293"/>
      <c r="C14" s="27"/>
      <c r="D14" s="27"/>
      <c r="E14" s="569"/>
      <c r="F14" s="570"/>
      <c r="G14" s="98"/>
      <c r="H14" s="173"/>
      <c r="I14" s="174"/>
      <c r="K14" s="184">
        <f t="shared" si="1"/>
      </c>
      <c r="L14" s="184">
        <f t="shared" si="2"/>
      </c>
      <c r="M14" s="295" t="str">
        <f t="shared" si="3"/>
        <v>No</v>
      </c>
      <c r="N14" s="184">
        <f t="shared" si="0"/>
      </c>
      <c r="O14" s="178"/>
      <c r="P14" s="275">
        <f>IF(ISBLANK($B14),"",VLOOKUP($B14,'Schedule 6'!$B$54:$C$67,2,0))</f>
      </c>
      <c r="Q14" s="301">
        <f>IF($B14=0,0,VLOOKUP($H14,$E$55:$G$113,MATCH('Schedule 6'!$P14,$E$54:$G$54,0),FALSE))</f>
        <v>0</v>
      </c>
      <c r="R14" s="301">
        <f>IF($B14=0,0,VLOOKUP($I14,$E$55:$G$113,MATCH('Schedule 6'!$P14,$E$54:$G$54,0),FALSE))</f>
        <v>0</v>
      </c>
      <c r="S14" s="303">
        <f t="shared" si="4"/>
        <v>0</v>
      </c>
      <c r="T14" s="181">
        <f t="shared" si="5"/>
        <v>0</v>
      </c>
      <c r="U14" s="297">
        <f t="shared" si="6"/>
        <v>0</v>
      </c>
    </row>
    <row r="15" spans="1:21" s="21" customFormat="1" ht="15" customHeight="1">
      <c r="A15" s="23">
        <v>6</v>
      </c>
      <c r="B15" s="293"/>
      <c r="C15" s="27"/>
      <c r="D15" s="27"/>
      <c r="E15" s="569"/>
      <c r="F15" s="570"/>
      <c r="G15" s="98"/>
      <c r="H15" s="173"/>
      <c r="I15" s="174"/>
      <c r="K15" s="184">
        <f t="shared" si="1"/>
      </c>
      <c r="L15" s="184">
        <f t="shared" si="2"/>
      </c>
      <c r="M15" s="295" t="str">
        <f t="shared" si="3"/>
        <v>No</v>
      </c>
      <c r="N15" s="184">
        <f t="shared" si="0"/>
      </c>
      <c r="O15" s="178"/>
      <c r="P15" s="275">
        <f>IF(ISBLANK($B15),"",VLOOKUP($B15,'Schedule 6'!$B$54:$C$67,2,0))</f>
      </c>
      <c r="Q15" s="301">
        <f>IF($B15=0,0,VLOOKUP($H15,$E$55:$G$113,MATCH('Schedule 6'!$P15,$E$54:$G$54,0),FALSE))</f>
        <v>0</v>
      </c>
      <c r="R15" s="301">
        <f>IF($B15=0,0,VLOOKUP($I15,$E$55:$G$113,MATCH('Schedule 6'!$P15,$E$54:$G$54,0),FALSE))</f>
        <v>0</v>
      </c>
      <c r="S15" s="303">
        <f t="shared" si="4"/>
        <v>0</v>
      </c>
      <c r="T15" s="181">
        <f t="shared" si="5"/>
        <v>0</v>
      </c>
      <c r="U15" s="297">
        <f t="shared" si="6"/>
        <v>0</v>
      </c>
    </row>
    <row r="16" spans="1:21" s="21" customFormat="1" ht="15" customHeight="1">
      <c r="A16" s="23">
        <v>7</v>
      </c>
      <c r="B16" s="293"/>
      <c r="C16" s="27"/>
      <c r="D16" s="27"/>
      <c r="E16" s="569"/>
      <c r="F16" s="570"/>
      <c r="G16" s="98"/>
      <c r="H16" s="173"/>
      <c r="I16" s="174"/>
      <c r="K16" s="184">
        <f t="shared" si="1"/>
      </c>
      <c r="L16" s="184">
        <f t="shared" si="2"/>
      </c>
      <c r="M16" s="295" t="str">
        <f t="shared" si="3"/>
        <v>No</v>
      </c>
      <c r="N16" s="184">
        <f t="shared" si="0"/>
      </c>
      <c r="O16" s="178"/>
      <c r="P16" s="275">
        <f>IF(ISBLANK($B16),"",VLOOKUP($B16,'Schedule 6'!$B$54:$C$67,2,0))</f>
      </c>
      <c r="Q16" s="301">
        <f>IF($B16=0,0,VLOOKUP($H16,$E$55:$G$113,MATCH('Schedule 6'!$P16,$E$54:$G$54,0),FALSE))</f>
        <v>0</v>
      </c>
      <c r="R16" s="301">
        <f>IF($B16=0,0,VLOOKUP($I16,$E$55:$G$113,MATCH('Schedule 6'!$P16,$E$54:$G$54,0),FALSE))</f>
        <v>0</v>
      </c>
      <c r="S16" s="303">
        <f t="shared" si="4"/>
        <v>0</v>
      </c>
      <c r="T16" s="181">
        <f t="shared" si="5"/>
        <v>0</v>
      </c>
      <c r="U16" s="297">
        <f t="shared" si="6"/>
        <v>0</v>
      </c>
    </row>
    <row r="17" spans="1:21" s="21" customFormat="1" ht="15" customHeight="1">
      <c r="A17" s="23">
        <v>8</v>
      </c>
      <c r="B17" s="293"/>
      <c r="C17" s="27"/>
      <c r="D17" s="27"/>
      <c r="E17" s="569"/>
      <c r="F17" s="570"/>
      <c r="G17" s="98"/>
      <c r="H17" s="173"/>
      <c r="I17" s="174"/>
      <c r="K17" s="184">
        <f t="shared" si="1"/>
      </c>
      <c r="L17" s="184">
        <f t="shared" si="2"/>
      </c>
      <c r="M17" s="295" t="str">
        <f t="shared" si="3"/>
        <v>No</v>
      </c>
      <c r="N17" s="184">
        <f t="shared" si="0"/>
      </c>
      <c r="O17" s="178"/>
      <c r="P17" s="275">
        <f>IF(ISBLANK($B17),"",VLOOKUP($B17,'Schedule 6'!$B$54:$C$67,2,0))</f>
      </c>
      <c r="Q17" s="301">
        <f>IF($B17=0,0,VLOOKUP($H17,$E$55:$G$113,MATCH('Schedule 6'!$P17,$E$54:$G$54,0),FALSE))</f>
        <v>0</v>
      </c>
      <c r="R17" s="301">
        <f>IF($B17=0,0,VLOOKUP($I17,$E$55:$G$113,MATCH('Schedule 6'!$P17,$E$54:$G$54,0),FALSE))</f>
        <v>0</v>
      </c>
      <c r="S17" s="303">
        <f t="shared" si="4"/>
        <v>0</v>
      </c>
      <c r="T17" s="181">
        <f t="shared" si="5"/>
        <v>0</v>
      </c>
      <c r="U17" s="297">
        <f t="shared" si="6"/>
        <v>0</v>
      </c>
    </row>
    <row r="18" spans="1:21" s="21" customFormat="1" ht="15" customHeight="1">
      <c r="A18" s="23">
        <v>9</v>
      </c>
      <c r="B18" s="293"/>
      <c r="C18" s="27"/>
      <c r="D18" s="27"/>
      <c r="E18" s="569"/>
      <c r="F18" s="570"/>
      <c r="G18" s="98"/>
      <c r="H18" s="173"/>
      <c r="I18" s="174"/>
      <c r="K18" s="184">
        <f t="shared" si="1"/>
      </c>
      <c r="L18" s="184">
        <f t="shared" si="2"/>
      </c>
      <c r="M18" s="295" t="str">
        <f t="shared" si="3"/>
        <v>No</v>
      </c>
      <c r="N18" s="184">
        <f t="shared" si="0"/>
      </c>
      <c r="O18" s="178"/>
      <c r="P18" s="275">
        <f>IF(ISBLANK($B18),"",VLOOKUP($B18,'Schedule 6'!$B$54:$C$67,2,0))</f>
      </c>
      <c r="Q18" s="301">
        <f>IF($B18=0,0,VLOOKUP($H18,$E$55:$G$113,MATCH('Schedule 6'!$P18,$E$54:$G$54,0),FALSE))</f>
        <v>0</v>
      </c>
      <c r="R18" s="301">
        <f>IF($B18=0,0,VLOOKUP($I18,$E$55:$G$113,MATCH('Schedule 6'!$P18,$E$54:$G$54,0),FALSE))</f>
        <v>0</v>
      </c>
      <c r="S18" s="303">
        <f t="shared" si="4"/>
        <v>0</v>
      </c>
      <c r="T18" s="181">
        <f t="shared" si="5"/>
        <v>0</v>
      </c>
      <c r="U18" s="297">
        <f t="shared" si="6"/>
        <v>0</v>
      </c>
    </row>
    <row r="19" spans="1:21" s="21" customFormat="1" ht="15" customHeight="1">
      <c r="A19" s="23">
        <v>10</v>
      </c>
      <c r="B19" s="293"/>
      <c r="C19" s="27"/>
      <c r="D19" s="27"/>
      <c r="E19" s="569"/>
      <c r="F19" s="570"/>
      <c r="G19" s="98"/>
      <c r="H19" s="173"/>
      <c r="I19" s="174"/>
      <c r="K19" s="184">
        <f t="shared" si="1"/>
      </c>
      <c r="L19" s="184">
        <f t="shared" si="2"/>
      </c>
      <c r="M19" s="295" t="str">
        <f t="shared" si="3"/>
        <v>No</v>
      </c>
      <c r="N19" s="184">
        <f t="shared" si="0"/>
      </c>
      <c r="O19" s="178"/>
      <c r="P19" s="275">
        <f>IF(ISBLANK($B19),"",VLOOKUP($B19,'Schedule 6'!$B$54:$C$67,2,0))</f>
      </c>
      <c r="Q19" s="301">
        <f>IF($B19=0,0,VLOOKUP($H19,$E$55:$G$113,MATCH('Schedule 6'!$P19,$E$54:$G$54,0),FALSE))</f>
        <v>0</v>
      </c>
      <c r="R19" s="301">
        <f>IF($B19=0,0,VLOOKUP($I19,$E$55:$G$113,MATCH('Schedule 6'!$P19,$E$54:$G$54,0),FALSE))</f>
        <v>0</v>
      </c>
      <c r="S19" s="303">
        <f t="shared" si="4"/>
        <v>0</v>
      </c>
      <c r="T19" s="181">
        <f t="shared" si="5"/>
        <v>0</v>
      </c>
      <c r="U19" s="297">
        <f t="shared" si="6"/>
        <v>0</v>
      </c>
    </row>
    <row r="20" spans="1:21" s="21" customFormat="1" ht="15" customHeight="1">
      <c r="A20" s="23">
        <v>11</v>
      </c>
      <c r="B20" s="293"/>
      <c r="C20" s="27"/>
      <c r="D20" s="27"/>
      <c r="E20" s="569"/>
      <c r="F20" s="570"/>
      <c r="G20" s="98"/>
      <c r="H20" s="173"/>
      <c r="I20" s="174"/>
      <c r="K20" s="184">
        <f t="shared" si="1"/>
      </c>
      <c r="L20" s="184">
        <f t="shared" si="2"/>
      </c>
      <c r="M20" s="295" t="str">
        <f t="shared" si="3"/>
        <v>No</v>
      </c>
      <c r="N20" s="184">
        <f t="shared" si="0"/>
      </c>
      <c r="O20" s="178"/>
      <c r="P20" s="275">
        <f>IF(ISBLANK($B20),"",VLOOKUP($B20,'Schedule 6'!$B$54:$C$67,2,0))</f>
      </c>
      <c r="Q20" s="301">
        <f>IF($B20=0,0,VLOOKUP($H20,$E$55:$G$113,MATCH('Schedule 6'!$P20,$E$54:$G$54,0),FALSE))</f>
        <v>0</v>
      </c>
      <c r="R20" s="301">
        <f>IF($B20=0,0,VLOOKUP($I20,$E$55:$G$113,MATCH('Schedule 6'!$P20,$E$54:$G$54,0),FALSE))</f>
        <v>0</v>
      </c>
      <c r="S20" s="303">
        <f t="shared" si="4"/>
        <v>0</v>
      </c>
      <c r="T20" s="181">
        <f t="shared" si="5"/>
        <v>0</v>
      </c>
      <c r="U20" s="297">
        <f t="shared" si="6"/>
        <v>0</v>
      </c>
    </row>
    <row r="21" spans="1:21" s="21" customFormat="1" ht="15" customHeight="1">
      <c r="A21" s="23">
        <v>12</v>
      </c>
      <c r="B21" s="293"/>
      <c r="C21" s="27"/>
      <c r="D21" s="27"/>
      <c r="E21" s="569"/>
      <c r="F21" s="570"/>
      <c r="G21" s="98"/>
      <c r="H21" s="173"/>
      <c r="I21" s="174"/>
      <c r="K21" s="184">
        <f t="shared" si="1"/>
      </c>
      <c r="L21" s="184">
        <f t="shared" si="2"/>
      </c>
      <c r="M21" s="295" t="str">
        <f t="shared" si="3"/>
        <v>No</v>
      </c>
      <c r="N21" s="184">
        <f t="shared" si="0"/>
      </c>
      <c r="O21" s="178"/>
      <c r="P21" s="275">
        <f>IF(ISBLANK($B21),"",VLOOKUP($B21,'Schedule 6'!$B$54:$C$67,2,0))</f>
      </c>
      <c r="Q21" s="301">
        <f>IF($B21=0,0,VLOOKUP($H21,$E$55:$G$113,MATCH('Schedule 6'!$P21,$E$54:$G$54,0),FALSE))</f>
        <v>0</v>
      </c>
      <c r="R21" s="301">
        <f>IF($B21=0,0,VLOOKUP($I21,$E$55:$G$113,MATCH('Schedule 6'!$P21,$E$54:$G$54,0),FALSE))</f>
        <v>0</v>
      </c>
      <c r="S21" s="303">
        <f t="shared" si="4"/>
        <v>0</v>
      </c>
      <c r="T21" s="181">
        <f t="shared" si="5"/>
        <v>0</v>
      </c>
      <c r="U21" s="297">
        <f t="shared" si="6"/>
        <v>0</v>
      </c>
    </row>
    <row r="22" spans="1:21" s="21" customFormat="1" ht="15" customHeight="1">
      <c r="A22" s="23">
        <v>13</v>
      </c>
      <c r="B22" s="293"/>
      <c r="C22" s="27"/>
      <c r="D22" s="27"/>
      <c r="E22" s="569"/>
      <c r="F22" s="570"/>
      <c r="G22" s="98"/>
      <c r="H22" s="173"/>
      <c r="I22" s="174"/>
      <c r="K22" s="184">
        <f t="shared" si="1"/>
      </c>
      <c r="L22" s="184">
        <f t="shared" si="2"/>
      </c>
      <c r="M22" s="295" t="str">
        <f t="shared" si="3"/>
        <v>No</v>
      </c>
      <c r="N22" s="184">
        <f t="shared" si="0"/>
      </c>
      <c r="O22" s="178"/>
      <c r="P22" s="275">
        <f>IF(ISBLANK($B22),"",VLOOKUP($B22,'Schedule 6'!$B$54:$C$67,2,0))</f>
      </c>
      <c r="Q22" s="301">
        <f>IF($B22=0,0,VLOOKUP($H22,$E$55:$G$113,MATCH('Schedule 6'!$P22,$E$54:$G$54,0),FALSE))</f>
        <v>0</v>
      </c>
      <c r="R22" s="301">
        <f>IF($B22=0,0,VLOOKUP($I22,$E$55:$G$113,MATCH('Schedule 6'!$P22,$E$54:$G$54,0),FALSE))</f>
        <v>0</v>
      </c>
      <c r="S22" s="303">
        <f t="shared" si="4"/>
        <v>0</v>
      </c>
      <c r="T22" s="181">
        <f t="shared" si="5"/>
        <v>0</v>
      </c>
      <c r="U22" s="297">
        <f t="shared" si="6"/>
        <v>0</v>
      </c>
    </row>
    <row r="23" spans="1:21" s="21" customFormat="1" ht="15" customHeight="1">
      <c r="A23" s="23">
        <v>14</v>
      </c>
      <c r="B23" s="293"/>
      <c r="C23" s="27"/>
      <c r="D23" s="27"/>
      <c r="E23" s="569"/>
      <c r="F23" s="570"/>
      <c r="G23" s="98"/>
      <c r="H23" s="173"/>
      <c r="I23" s="174"/>
      <c r="K23" s="184">
        <f t="shared" si="1"/>
      </c>
      <c r="L23" s="184">
        <f t="shared" si="2"/>
      </c>
      <c r="M23" s="295" t="str">
        <f t="shared" si="3"/>
        <v>No</v>
      </c>
      <c r="N23" s="184">
        <f t="shared" si="0"/>
      </c>
      <c r="O23" s="178"/>
      <c r="P23" s="275">
        <f>IF(ISBLANK($B23),"",VLOOKUP($B23,'Schedule 6'!$B$54:$C$67,2,0))</f>
      </c>
      <c r="Q23" s="301">
        <f>IF($B23=0,0,VLOOKUP($H23,$E$55:$G$113,MATCH('Schedule 6'!$P23,$E$54:$G$54,0),FALSE))</f>
        <v>0</v>
      </c>
      <c r="R23" s="301">
        <f>IF($B23=0,0,VLOOKUP($I23,$E$55:$G$113,MATCH('Schedule 6'!$P23,$E$54:$G$54,0),FALSE))</f>
        <v>0</v>
      </c>
      <c r="S23" s="303">
        <f t="shared" si="4"/>
        <v>0</v>
      </c>
      <c r="T23" s="181">
        <f t="shared" si="5"/>
        <v>0</v>
      </c>
      <c r="U23" s="297">
        <f t="shared" si="6"/>
        <v>0</v>
      </c>
    </row>
    <row r="24" spans="1:21" s="21" customFormat="1" ht="15" customHeight="1">
      <c r="A24" s="23">
        <v>15</v>
      </c>
      <c r="B24" s="293"/>
      <c r="C24" s="27"/>
      <c r="D24" s="27"/>
      <c r="E24" s="569"/>
      <c r="F24" s="570"/>
      <c r="G24" s="98"/>
      <c r="H24" s="173"/>
      <c r="I24" s="174"/>
      <c r="K24" s="184">
        <f t="shared" si="1"/>
      </c>
      <c r="L24" s="184">
        <f t="shared" si="2"/>
      </c>
      <c r="M24" s="295" t="str">
        <f t="shared" si="3"/>
        <v>No</v>
      </c>
      <c r="N24" s="184">
        <f t="shared" si="0"/>
      </c>
      <c r="O24" s="178"/>
      <c r="P24" s="275">
        <f>IF(ISBLANK($B24),"",VLOOKUP($B24,'Schedule 6'!$B$54:$C$67,2,0))</f>
      </c>
      <c r="Q24" s="301">
        <f>IF($B24=0,0,VLOOKUP($H24,$E$55:$G$113,MATCH('Schedule 6'!$P24,$E$54:$G$54,0),FALSE))</f>
        <v>0</v>
      </c>
      <c r="R24" s="301">
        <f>IF($B24=0,0,VLOOKUP($I24,$E$55:$G$113,MATCH('Schedule 6'!$P24,$E$54:$G$54,0),FALSE))</f>
        <v>0</v>
      </c>
      <c r="S24" s="303">
        <f t="shared" si="4"/>
        <v>0</v>
      </c>
      <c r="T24" s="181">
        <f t="shared" si="5"/>
        <v>0</v>
      </c>
      <c r="U24" s="297">
        <f t="shared" si="6"/>
        <v>0</v>
      </c>
    </row>
    <row r="25" spans="1:21" s="21" customFormat="1" ht="15" customHeight="1">
      <c r="A25" s="23">
        <v>16</v>
      </c>
      <c r="B25" s="293"/>
      <c r="C25" s="27"/>
      <c r="D25" s="27"/>
      <c r="E25" s="569"/>
      <c r="F25" s="570"/>
      <c r="G25" s="98"/>
      <c r="H25" s="173"/>
      <c r="I25" s="174"/>
      <c r="K25" s="184">
        <f t="shared" si="1"/>
      </c>
      <c r="L25" s="184">
        <f t="shared" si="2"/>
      </c>
      <c r="M25" s="295" t="str">
        <f t="shared" si="3"/>
        <v>No</v>
      </c>
      <c r="N25" s="184">
        <f t="shared" si="0"/>
      </c>
      <c r="O25" s="178"/>
      <c r="P25" s="275">
        <f>IF(ISBLANK($B25),"",VLOOKUP($B25,'Schedule 6'!$B$54:$C$67,2,0))</f>
      </c>
      <c r="Q25" s="301">
        <f>IF($B25=0,0,VLOOKUP($H25,$E$55:$G$113,MATCH('Schedule 6'!$P25,$E$54:$G$54,0),FALSE))</f>
        <v>0</v>
      </c>
      <c r="R25" s="301">
        <f>IF($B25=0,0,VLOOKUP($I25,$E$55:$G$113,MATCH('Schedule 6'!$P25,$E$54:$G$54,0),FALSE))</f>
        <v>0</v>
      </c>
      <c r="S25" s="303">
        <f t="shared" si="4"/>
        <v>0</v>
      </c>
      <c r="T25" s="181">
        <f t="shared" si="5"/>
        <v>0</v>
      </c>
      <c r="U25" s="297">
        <f t="shared" si="6"/>
        <v>0</v>
      </c>
    </row>
    <row r="26" spans="1:21" s="21" customFormat="1" ht="15" customHeight="1">
      <c r="A26" s="23">
        <v>17</v>
      </c>
      <c r="B26" s="293"/>
      <c r="C26" s="27"/>
      <c r="D26" s="27"/>
      <c r="E26" s="569"/>
      <c r="F26" s="570"/>
      <c r="G26" s="98"/>
      <c r="H26" s="173"/>
      <c r="I26" s="174"/>
      <c r="K26" s="184">
        <f t="shared" si="1"/>
      </c>
      <c r="L26" s="184">
        <f t="shared" si="2"/>
      </c>
      <c r="M26" s="295" t="str">
        <f t="shared" si="3"/>
        <v>No</v>
      </c>
      <c r="N26" s="184">
        <f t="shared" si="0"/>
      </c>
      <c r="O26" s="178"/>
      <c r="P26" s="275">
        <f>IF(ISBLANK($B26),"",VLOOKUP($B26,'Schedule 6'!$B$54:$C$67,2,0))</f>
      </c>
      <c r="Q26" s="301">
        <f>IF($B26=0,0,VLOOKUP($H26,$E$55:$G$113,MATCH('Schedule 6'!$P26,$E$54:$G$54,0),FALSE))</f>
        <v>0</v>
      </c>
      <c r="R26" s="301">
        <f>IF($B26=0,0,VLOOKUP($I26,$E$55:$G$113,MATCH('Schedule 6'!$P26,$E$54:$G$54,0),FALSE))</f>
        <v>0</v>
      </c>
      <c r="S26" s="303">
        <f t="shared" si="4"/>
        <v>0</v>
      </c>
      <c r="T26" s="181">
        <f t="shared" si="5"/>
        <v>0</v>
      </c>
      <c r="U26" s="297">
        <f t="shared" si="6"/>
        <v>0</v>
      </c>
    </row>
    <row r="27" spans="1:21" s="21" customFormat="1" ht="15" customHeight="1">
      <c r="A27" s="23">
        <v>18</v>
      </c>
      <c r="B27" s="293"/>
      <c r="C27" s="27"/>
      <c r="D27" s="27"/>
      <c r="E27" s="569"/>
      <c r="F27" s="570"/>
      <c r="G27" s="98"/>
      <c r="H27" s="173"/>
      <c r="I27" s="174"/>
      <c r="K27" s="184">
        <f t="shared" si="1"/>
      </c>
      <c r="L27" s="184">
        <f t="shared" si="2"/>
      </c>
      <c r="M27" s="295" t="str">
        <f t="shared" si="3"/>
        <v>No</v>
      </c>
      <c r="N27" s="184">
        <f t="shared" si="0"/>
      </c>
      <c r="O27" s="178"/>
      <c r="P27" s="275">
        <f>IF(ISBLANK($B27),"",VLOOKUP($B27,'Schedule 6'!$B$54:$C$67,2,0))</f>
      </c>
      <c r="Q27" s="301">
        <f>IF($B27=0,0,VLOOKUP($H27,$E$55:$G$113,MATCH('Schedule 6'!$P27,$E$54:$G$54,0),FALSE))</f>
        <v>0</v>
      </c>
      <c r="R27" s="301">
        <f>IF($B27=0,0,VLOOKUP($I27,$E$55:$G$113,MATCH('Schedule 6'!$P27,$E$54:$G$54,0),FALSE))</f>
        <v>0</v>
      </c>
      <c r="S27" s="303">
        <f t="shared" si="4"/>
        <v>0</v>
      </c>
      <c r="T27" s="181">
        <f t="shared" si="5"/>
        <v>0</v>
      </c>
      <c r="U27" s="297">
        <f t="shared" si="6"/>
        <v>0</v>
      </c>
    </row>
    <row r="28" spans="1:21" s="21" customFormat="1" ht="15" customHeight="1">
      <c r="A28" s="23">
        <v>19</v>
      </c>
      <c r="B28" s="293"/>
      <c r="C28" s="27"/>
      <c r="D28" s="27"/>
      <c r="E28" s="569"/>
      <c r="F28" s="570"/>
      <c r="G28" s="98"/>
      <c r="H28" s="173"/>
      <c r="I28" s="174"/>
      <c r="K28" s="184">
        <f t="shared" si="1"/>
      </c>
      <c r="L28" s="184">
        <f t="shared" si="2"/>
      </c>
      <c r="M28" s="295" t="str">
        <f t="shared" si="3"/>
        <v>No</v>
      </c>
      <c r="N28" s="184">
        <f t="shared" si="0"/>
      </c>
      <c r="O28" s="178"/>
      <c r="P28" s="275">
        <f>IF(ISBLANK($B28),"",VLOOKUP($B28,'Schedule 6'!$B$54:$C$67,2,0))</f>
      </c>
      <c r="Q28" s="301">
        <f>IF($B28=0,0,VLOOKUP($H28,$E$55:$G$113,MATCH('Schedule 6'!$P28,$E$54:$G$54,0),FALSE))</f>
        <v>0</v>
      </c>
      <c r="R28" s="301">
        <f>IF($B28=0,0,VLOOKUP($I28,$E$55:$G$113,MATCH('Schedule 6'!$P28,$E$54:$G$54,0),FALSE))</f>
        <v>0</v>
      </c>
      <c r="S28" s="303">
        <f t="shared" si="4"/>
        <v>0</v>
      </c>
      <c r="T28" s="181">
        <f t="shared" si="5"/>
        <v>0</v>
      </c>
      <c r="U28" s="297">
        <f t="shared" si="6"/>
        <v>0</v>
      </c>
    </row>
    <row r="29" spans="1:21" s="21" customFormat="1" ht="15" customHeight="1">
      <c r="A29" s="23">
        <v>20</v>
      </c>
      <c r="B29" s="293"/>
      <c r="C29" s="27"/>
      <c r="D29" s="27"/>
      <c r="E29" s="569"/>
      <c r="F29" s="570"/>
      <c r="G29" s="98"/>
      <c r="H29" s="173"/>
      <c r="I29" s="174"/>
      <c r="K29" s="184">
        <f t="shared" si="1"/>
      </c>
      <c r="L29" s="184">
        <f t="shared" si="2"/>
      </c>
      <c r="M29" s="295" t="str">
        <f t="shared" si="3"/>
        <v>No</v>
      </c>
      <c r="N29" s="184">
        <f t="shared" si="0"/>
      </c>
      <c r="O29" s="178"/>
      <c r="P29" s="275">
        <f>IF(ISBLANK($B29),"",VLOOKUP($B29,'Schedule 6'!$B$54:$C$67,2,0))</f>
      </c>
      <c r="Q29" s="301">
        <f>IF($B29=0,0,VLOOKUP($H29,$E$55:$G$113,MATCH('Schedule 6'!$P29,$E$54:$G$54,0),FALSE))</f>
        <v>0</v>
      </c>
      <c r="R29" s="301">
        <f>IF($B29=0,0,VLOOKUP($I29,$E$55:$G$113,MATCH('Schedule 6'!$P29,$E$54:$G$54,0),FALSE))</f>
        <v>0</v>
      </c>
      <c r="S29" s="303">
        <f t="shared" si="4"/>
        <v>0</v>
      </c>
      <c r="T29" s="181">
        <f t="shared" si="5"/>
        <v>0</v>
      </c>
      <c r="U29" s="297">
        <f t="shared" si="6"/>
        <v>0</v>
      </c>
    </row>
    <row r="30" spans="1:21" s="21" customFormat="1" ht="15" customHeight="1">
      <c r="A30" s="23">
        <v>21</v>
      </c>
      <c r="B30" s="293"/>
      <c r="C30" s="27"/>
      <c r="D30" s="27"/>
      <c r="E30" s="569"/>
      <c r="F30" s="570"/>
      <c r="G30" s="98"/>
      <c r="H30" s="173"/>
      <c r="I30" s="174"/>
      <c r="K30" s="184">
        <f t="shared" si="1"/>
      </c>
      <c r="L30" s="184">
        <f t="shared" si="2"/>
      </c>
      <c r="M30" s="295" t="str">
        <f t="shared" si="3"/>
        <v>No</v>
      </c>
      <c r="N30" s="184">
        <f t="shared" si="0"/>
      </c>
      <c r="O30" s="178"/>
      <c r="P30" s="275">
        <f>IF(ISBLANK($B30),"",VLOOKUP($B30,'Schedule 6'!$B$54:$C$67,2,0))</f>
      </c>
      <c r="Q30" s="301">
        <f>IF($B30=0,0,VLOOKUP($H30,$E$55:$G$113,MATCH('Schedule 6'!$P30,$E$54:$G$54,0),FALSE))</f>
        <v>0</v>
      </c>
      <c r="R30" s="301">
        <f>IF($B30=0,0,VLOOKUP($I30,$E$55:$G$113,MATCH('Schedule 6'!$P30,$E$54:$G$54,0),FALSE))</f>
        <v>0</v>
      </c>
      <c r="S30" s="303">
        <f t="shared" si="4"/>
        <v>0</v>
      </c>
      <c r="T30" s="181">
        <f t="shared" si="5"/>
        <v>0</v>
      </c>
      <c r="U30" s="297">
        <f t="shared" si="6"/>
        <v>0</v>
      </c>
    </row>
    <row r="31" spans="1:21" s="21" customFormat="1" ht="15" customHeight="1">
      <c r="A31" s="23">
        <v>22</v>
      </c>
      <c r="B31" s="293"/>
      <c r="C31" s="27"/>
      <c r="D31" s="27"/>
      <c r="E31" s="569"/>
      <c r="F31" s="570"/>
      <c r="G31" s="98"/>
      <c r="H31" s="173"/>
      <c r="I31" s="174"/>
      <c r="K31" s="184">
        <f t="shared" si="1"/>
      </c>
      <c r="L31" s="184">
        <f t="shared" si="2"/>
      </c>
      <c r="M31" s="295" t="str">
        <f t="shared" si="3"/>
        <v>No</v>
      </c>
      <c r="N31" s="184">
        <f t="shared" si="0"/>
      </c>
      <c r="O31" s="178"/>
      <c r="P31" s="275">
        <f>IF(ISBLANK($B31),"",VLOOKUP($B31,'Schedule 6'!$B$54:$C$67,2,0))</f>
      </c>
      <c r="Q31" s="301">
        <f>IF($B31=0,0,VLOOKUP($H31,$E$55:$G$113,MATCH('Schedule 6'!$P31,$E$54:$G$54,0),FALSE))</f>
        <v>0</v>
      </c>
      <c r="R31" s="301">
        <f>IF($B31=0,0,VLOOKUP($I31,$E$55:$G$113,MATCH('Schedule 6'!$P31,$E$54:$G$54,0),FALSE))</f>
        <v>0</v>
      </c>
      <c r="S31" s="303">
        <f t="shared" si="4"/>
        <v>0</v>
      </c>
      <c r="T31" s="181">
        <f t="shared" si="5"/>
        <v>0</v>
      </c>
      <c r="U31" s="297">
        <f t="shared" si="6"/>
        <v>0</v>
      </c>
    </row>
    <row r="32" spans="1:21" s="21" customFormat="1" ht="15" customHeight="1">
      <c r="A32" s="23">
        <v>23</v>
      </c>
      <c r="B32" s="293"/>
      <c r="C32" s="27"/>
      <c r="D32" s="27"/>
      <c r="E32" s="569"/>
      <c r="F32" s="570"/>
      <c r="G32" s="98"/>
      <c r="H32" s="173"/>
      <c r="I32" s="174"/>
      <c r="K32" s="184">
        <f t="shared" si="1"/>
      </c>
      <c r="L32" s="184">
        <f t="shared" si="2"/>
      </c>
      <c r="M32" s="295" t="str">
        <f t="shared" si="3"/>
        <v>No</v>
      </c>
      <c r="N32" s="184">
        <f t="shared" si="0"/>
      </c>
      <c r="O32" s="178"/>
      <c r="P32" s="275">
        <f>IF(ISBLANK($B32),"",VLOOKUP($B32,'Schedule 6'!$B$54:$C$67,2,0))</f>
      </c>
      <c r="Q32" s="301">
        <f>IF($B32=0,0,VLOOKUP($H32,$E$55:$G$113,MATCH('Schedule 6'!$P32,$E$54:$G$54,0),FALSE))</f>
        <v>0</v>
      </c>
      <c r="R32" s="301">
        <f>IF($B32=0,0,VLOOKUP($I32,$E$55:$G$113,MATCH('Schedule 6'!$P32,$E$54:$G$54,0),FALSE))</f>
        <v>0</v>
      </c>
      <c r="S32" s="303">
        <f t="shared" si="4"/>
        <v>0</v>
      </c>
      <c r="T32" s="181">
        <f t="shared" si="5"/>
        <v>0</v>
      </c>
      <c r="U32" s="297">
        <f t="shared" si="6"/>
        <v>0</v>
      </c>
    </row>
    <row r="33" spans="1:21" s="21" customFormat="1" ht="15" customHeight="1">
      <c r="A33" s="23">
        <v>24</v>
      </c>
      <c r="B33" s="293"/>
      <c r="C33" s="27"/>
      <c r="D33" s="27"/>
      <c r="E33" s="569"/>
      <c r="F33" s="570"/>
      <c r="G33" s="98"/>
      <c r="H33" s="173"/>
      <c r="I33" s="174"/>
      <c r="K33" s="184">
        <f t="shared" si="1"/>
      </c>
      <c r="L33" s="184">
        <f t="shared" si="2"/>
      </c>
      <c r="M33" s="295" t="str">
        <f t="shared" si="3"/>
        <v>No</v>
      </c>
      <c r="N33" s="184">
        <f t="shared" si="0"/>
      </c>
      <c r="O33" s="178"/>
      <c r="P33" s="275">
        <f>IF(ISBLANK($B33),"",VLOOKUP($B33,'Schedule 6'!$B$54:$C$67,2,0))</f>
      </c>
      <c r="Q33" s="301">
        <f>IF($B33=0,0,VLOOKUP($H33,$E$55:$G$113,MATCH('Schedule 6'!$P33,$E$54:$G$54,0),FALSE))</f>
        <v>0</v>
      </c>
      <c r="R33" s="301">
        <f>IF($B33=0,0,VLOOKUP($I33,$E$55:$G$113,MATCH('Schedule 6'!$P33,$E$54:$G$54,0),FALSE))</f>
        <v>0</v>
      </c>
      <c r="S33" s="303">
        <f t="shared" si="4"/>
        <v>0</v>
      </c>
      <c r="T33" s="181">
        <f t="shared" si="5"/>
        <v>0</v>
      </c>
      <c r="U33" s="297">
        <f t="shared" si="6"/>
        <v>0</v>
      </c>
    </row>
    <row r="34" spans="1:21" s="21" customFormat="1" ht="15" customHeight="1">
      <c r="A34" s="23">
        <v>25</v>
      </c>
      <c r="B34" s="293"/>
      <c r="C34" s="27"/>
      <c r="D34" s="27"/>
      <c r="E34" s="569"/>
      <c r="F34" s="570"/>
      <c r="G34" s="98"/>
      <c r="H34" s="173"/>
      <c r="I34" s="174"/>
      <c r="K34" s="184">
        <f t="shared" si="1"/>
      </c>
      <c r="L34" s="184">
        <f t="shared" si="2"/>
      </c>
      <c r="M34" s="295" t="str">
        <f t="shared" si="3"/>
        <v>No</v>
      </c>
      <c r="N34" s="184">
        <f t="shared" si="0"/>
      </c>
      <c r="O34" s="178"/>
      <c r="P34" s="275">
        <f>IF(ISBLANK($B34),"",VLOOKUP($B34,'Schedule 6'!$B$54:$C$67,2,0))</f>
      </c>
      <c r="Q34" s="301">
        <f>IF($B34=0,0,VLOOKUP($H34,$E$55:$G$113,MATCH('Schedule 6'!$P34,$E$54:$G$54,0),FALSE))</f>
        <v>0</v>
      </c>
      <c r="R34" s="301">
        <f>IF($B34=0,0,VLOOKUP($I34,$E$55:$G$113,MATCH('Schedule 6'!$P34,$E$54:$G$54,0),FALSE))</f>
        <v>0</v>
      </c>
      <c r="S34" s="303">
        <f t="shared" si="4"/>
        <v>0</v>
      </c>
      <c r="T34" s="181">
        <f t="shared" si="5"/>
        <v>0</v>
      </c>
      <c r="U34" s="297">
        <f t="shared" si="6"/>
        <v>0</v>
      </c>
    </row>
    <row r="35" spans="1:21" s="21" customFormat="1" ht="15" customHeight="1">
      <c r="A35" s="23">
        <v>26</v>
      </c>
      <c r="B35" s="293"/>
      <c r="C35" s="27"/>
      <c r="D35" s="27"/>
      <c r="E35" s="569"/>
      <c r="F35" s="570"/>
      <c r="G35" s="98"/>
      <c r="H35" s="173"/>
      <c r="I35" s="174"/>
      <c r="K35" s="184">
        <f t="shared" si="1"/>
      </c>
      <c r="L35" s="184">
        <f t="shared" si="2"/>
      </c>
      <c r="M35" s="295" t="str">
        <f t="shared" si="3"/>
        <v>No</v>
      </c>
      <c r="N35" s="184">
        <f t="shared" si="0"/>
      </c>
      <c r="O35" s="178"/>
      <c r="P35" s="275">
        <f>IF(ISBLANK($B35),"",VLOOKUP($B35,'Schedule 6'!$B$54:$C$67,2,0))</f>
      </c>
      <c r="Q35" s="301">
        <f>IF($B35=0,0,VLOOKUP($H35,$E$55:$G$113,MATCH('Schedule 6'!$P35,$E$54:$G$54,0),FALSE))</f>
        <v>0</v>
      </c>
      <c r="R35" s="301">
        <f>IF($B35=0,0,VLOOKUP($I35,$E$55:$G$113,MATCH('Schedule 6'!$P35,$E$54:$G$54,0),FALSE))</f>
        <v>0</v>
      </c>
      <c r="S35" s="303">
        <f t="shared" si="4"/>
        <v>0</v>
      </c>
      <c r="T35" s="181">
        <f t="shared" si="5"/>
        <v>0</v>
      </c>
      <c r="U35" s="297">
        <f t="shared" si="6"/>
        <v>0</v>
      </c>
    </row>
    <row r="36" spans="1:21" s="21" customFormat="1" ht="15" customHeight="1">
      <c r="A36" s="23">
        <v>27</v>
      </c>
      <c r="B36" s="293"/>
      <c r="C36" s="27"/>
      <c r="D36" s="27"/>
      <c r="E36" s="569"/>
      <c r="F36" s="570"/>
      <c r="G36" s="98"/>
      <c r="H36" s="173"/>
      <c r="I36" s="174"/>
      <c r="K36" s="184">
        <f t="shared" si="1"/>
      </c>
      <c r="L36" s="184">
        <f t="shared" si="2"/>
      </c>
      <c r="M36" s="295" t="str">
        <f t="shared" si="3"/>
        <v>No</v>
      </c>
      <c r="N36" s="184">
        <f t="shared" si="0"/>
      </c>
      <c r="O36" s="178"/>
      <c r="P36" s="275">
        <f>IF(ISBLANK($B36),"",VLOOKUP($B36,'Schedule 6'!$B$54:$C$67,2,0))</f>
      </c>
      <c r="Q36" s="301">
        <f>IF($B36=0,0,VLOOKUP($H36,$E$55:$G$113,MATCH('Schedule 6'!$P36,$E$54:$G$54,0),FALSE))</f>
        <v>0</v>
      </c>
      <c r="R36" s="301">
        <f>IF($B36=0,0,VLOOKUP($I36,$E$55:$G$113,MATCH('Schedule 6'!$P36,$E$54:$G$54,0),FALSE))</f>
        <v>0</v>
      </c>
      <c r="S36" s="303">
        <f t="shared" si="4"/>
        <v>0</v>
      </c>
      <c r="T36" s="181">
        <f t="shared" si="5"/>
        <v>0</v>
      </c>
      <c r="U36" s="297">
        <f t="shared" si="6"/>
        <v>0</v>
      </c>
    </row>
    <row r="37" spans="1:21" s="21" customFormat="1" ht="15" customHeight="1">
      <c r="A37" s="23">
        <v>28</v>
      </c>
      <c r="B37" s="293"/>
      <c r="C37" s="27"/>
      <c r="D37" s="27"/>
      <c r="E37" s="569"/>
      <c r="F37" s="570"/>
      <c r="G37" s="98"/>
      <c r="H37" s="173"/>
      <c r="I37" s="174"/>
      <c r="K37" s="184">
        <f t="shared" si="1"/>
      </c>
      <c r="L37" s="184">
        <f t="shared" si="2"/>
      </c>
      <c r="M37" s="295" t="str">
        <f t="shared" si="3"/>
        <v>No</v>
      </c>
      <c r="N37" s="184">
        <f t="shared" si="0"/>
      </c>
      <c r="O37" s="178"/>
      <c r="P37" s="275">
        <f>IF(ISBLANK($B37),"",VLOOKUP($B37,'Schedule 6'!$B$54:$C$67,2,0))</f>
      </c>
      <c r="Q37" s="301">
        <f>IF($B37=0,0,VLOOKUP($H37,$E$55:$G$113,MATCH('Schedule 6'!$P37,$E$54:$G$54,0),FALSE))</f>
        <v>0</v>
      </c>
      <c r="R37" s="301">
        <f>IF($B37=0,0,VLOOKUP($I37,$E$55:$G$113,MATCH('Schedule 6'!$P37,$E$54:$G$54,0),FALSE))</f>
        <v>0</v>
      </c>
      <c r="S37" s="303">
        <f t="shared" si="4"/>
        <v>0</v>
      </c>
      <c r="T37" s="181">
        <f t="shared" si="5"/>
        <v>0</v>
      </c>
      <c r="U37" s="297">
        <f t="shared" si="6"/>
        <v>0</v>
      </c>
    </row>
    <row r="38" spans="1:21" s="21" customFormat="1" ht="15" customHeight="1">
      <c r="A38" s="23">
        <v>29</v>
      </c>
      <c r="B38" s="293"/>
      <c r="C38" s="27"/>
      <c r="D38" s="27"/>
      <c r="E38" s="569"/>
      <c r="F38" s="570"/>
      <c r="G38" s="98"/>
      <c r="H38" s="173"/>
      <c r="I38" s="174"/>
      <c r="K38" s="184">
        <f t="shared" si="1"/>
      </c>
      <c r="L38" s="184">
        <f t="shared" si="2"/>
      </c>
      <c r="M38" s="295" t="str">
        <f t="shared" si="3"/>
        <v>No</v>
      </c>
      <c r="N38" s="184">
        <f t="shared" si="0"/>
      </c>
      <c r="O38" s="178"/>
      <c r="P38" s="275">
        <f>IF(ISBLANK($B38),"",VLOOKUP($B38,'Schedule 6'!$B$54:$C$67,2,0))</f>
      </c>
      <c r="Q38" s="301">
        <f>IF($B38=0,0,VLOOKUP($H38,$E$55:$G$113,MATCH('Schedule 6'!$P38,$E$54:$G$54,0),FALSE))</f>
        <v>0</v>
      </c>
      <c r="R38" s="301">
        <f>IF($B38=0,0,VLOOKUP($I38,$E$55:$G$113,MATCH('Schedule 6'!$P38,$E$54:$G$54,0),FALSE))</f>
        <v>0</v>
      </c>
      <c r="S38" s="303">
        <f t="shared" si="4"/>
        <v>0</v>
      </c>
      <c r="T38" s="181">
        <f t="shared" si="5"/>
        <v>0</v>
      </c>
      <c r="U38" s="297">
        <f t="shared" si="6"/>
        <v>0</v>
      </c>
    </row>
    <row r="39" spans="1:21" s="21" customFormat="1" ht="15" customHeight="1">
      <c r="A39" s="23">
        <v>30</v>
      </c>
      <c r="B39" s="293"/>
      <c r="C39" s="27"/>
      <c r="D39" s="27"/>
      <c r="E39" s="569"/>
      <c r="F39" s="570"/>
      <c r="G39" s="98"/>
      <c r="H39" s="173"/>
      <c r="I39" s="174"/>
      <c r="K39" s="184">
        <f t="shared" si="1"/>
      </c>
      <c r="L39" s="184">
        <f t="shared" si="2"/>
      </c>
      <c r="M39" s="295" t="str">
        <f t="shared" si="3"/>
        <v>No</v>
      </c>
      <c r="N39" s="184">
        <f t="shared" si="0"/>
      </c>
      <c r="O39" s="178"/>
      <c r="P39" s="275">
        <f>IF(ISBLANK($B39),"",VLOOKUP($B39,'Schedule 6'!$B$54:$C$67,2,0))</f>
      </c>
      <c r="Q39" s="301">
        <f>IF($B39=0,0,VLOOKUP($H39,$E$55:$G$113,MATCH('Schedule 6'!$P39,$E$54:$G$54,0),FALSE))</f>
        <v>0</v>
      </c>
      <c r="R39" s="301">
        <f>IF($B39=0,0,VLOOKUP($I39,$E$55:$G$113,MATCH('Schedule 6'!$P39,$E$54:$G$54,0),FALSE))</f>
        <v>0</v>
      </c>
      <c r="S39" s="303">
        <f t="shared" si="4"/>
        <v>0</v>
      </c>
      <c r="T39" s="181">
        <f t="shared" si="5"/>
        <v>0</v>
      </c>
      <c r="U39" s="297">
        <f t="shared" si="6"/>
        <v>0</v>
      </c>
    </row>
    <row r="40" spans="1:21" s="21" customFormat="1" ht="15" customHeight="1" thickBot="1">
      <c r="A40" s="158">
        <v>31</v>
      </c>
      <c r="B40" s="279"/>
      <c r="C40" s="279"/>
      <c r="D40" s="279"/>
      <c r="E40" s="280"/>
      <c r="F40" s="279"/>
      <c r="G40" s="279"/>
      <c r="H40" s="281"/>
      <c r="I40" s="282"/>
      <c r="K40" s="179">
        <f>COUNTIF(K10:K39,"Yes")</f>
        <v>0</v>
      </c>
      <c r="L40" s="179">
        <f>COUNTIF(L10:L39,"Yes")</f>
        <v>0</v>
      </c>
      <c r="M40" s="179">
        <f>COUNTIF(M10:M39,"Yes")</f>
        <v>0</v>
      </c>
      <c r="N40" s="179">
        <f>COUNTIF(N10:N39,"Yes")</f>
        <v>0</v>
      </c>
      <c r="O40" s="179"/>
      <c r="P40" s="179"/>
      <c r="Q40" s="302">
        <f>SUM(Q10:Q39)</f>
        <v>0</v>
      </c>
      <c r="R40" s="302">
        <f>SUM(R10:R39)</f>
        <v>0</v>
      </c>
      <c r="S40" s="304">
        <f>SUM(S10:S39)</f>
        <v>0</v>
      </c>
      <c r="T40" s="180"/>
      <c r="U40" s="180"/>
    </row>
    <row r="41" spans="1:9" ht="10.5" thickTop="1">
      <c r="A41" s="447" t="s">
        <v>434</v>
      </c>
      <c r="B41" s="447"/>
      <c r="C41" s="447"/>
      <c r="D41" s="447"/>
      <c r="E41" s="447"/>
      <c r="F41" s="447"/>
      <c r="G41" s="447"/>
      <c r="H41" s="447"/>
      <c r="I41" s="447"/>
    </row>
    <row r="42" spans="1:20" ht="10.5">
      <c r="A42" s="24"/>
      <c r="B42" s="188"/>
      <c r="C42" s="189"/>
      <c r="D42" s="192" t="s">
        <v>167</v>
      </c>
      <c r="E42" s="192" t="s">
        <v>167</v>
      </c>
      <c r="F42" s="192" t="s">
        <v>168</v>
      </c>
      <c r="G42" s="192" t="s">
        <v>168</v>
      </c>
      <c r="H42" s="192" t="s">
        <v>86</v>
      </c>
      <c r="I42" s="294" t="s">
        <v>86</v>
      </c>
      <c r="K42" s="329"/>
      <c r="L42" s="44"/>
      <c r="M42" s="44"/>
      <c r="N42" s="355"/>
      <c r="O42" s="355"/>
      <c r="P42" s="355"/>
      <c r="Q42" s="355"/>
      <c r="R42" s="355"/>
      <c r="S42" s="355"/>
      <c r="T42" s="44"/>
    </row>
    <row r="43" spans="1:20" ht="10.5">
      <c r="A43" s="82"/>
      <c r="B43" s="190"/>
      <c r="C43" s="191"/>
      <c r="D43" s="193" t="s">
        <v>284</v>
      </c>
      <c r="E43" s="193" t="s">
        <v>67</v>
      </c>
      <c r="F43" s="193" t="s">
        <v>284</v>
      </c>
      <c r="G43" s="193" t="s">
        <v>67</v>
      </c>
      <c r="H43" s="193" t="s">
        <v>284</v>
      </c>
      <c r="I43" s="194" t="s">
        <v>67</v>
      </c>
      <c r="K43" s="329"/>
      <c r="L43" s="44"/>
      <c r="M43" s="44"/>
      <c r="N43" s="355"/>
      <c r="O43" s="355"/>
      <c r="P43" s="355"/>
      <c r="Q43" s="355"/>
      <c r="R43" s="355"/>
      <c r="S43" s="355"/>
      <c r="T43" s="44"/>
    </row>
    <row r="44" spans="1:20" ht="9.75">
      <c r="A44" s="23">
        <f>A40+1</f>
        <v>32</v>
      </c>
      <c r="B44" s="190" t="s">
        <v>435</v>
      </c>
      <c r="C44" s="191"/>
      <c r="D44" s="347">
        <f>IF('Cover Page'!$A$8="",0,VLOOKUP('Cover Page'!$A$4&amp;"-Milwaukee",Counts!$A$4:$AE$461,Counts!$AD$467,FALSE))</f>
        <v>0</v>
      </c>
      <c r="E44" s="347">
        <f>IF('Cover Page'!$A$8="",0,VLOOKUP('Cover Page'!$A$4&amp;"-Milwaukee",Counts!$A$4:$AE$461,Counts!$AE$467,FALSE))</f>
        <v>0</v>
      </c>
      <c r="F44" s="347">
        <f>IF('Cover Page'!$A$9="",0,VLOOKUP('Cover Page'!$A$4&amp;"-Racine",Counts!$A$4:$AE$461,Counts!$AD$467,FALSE))</f>
        <v>0</v>
      </c>
      <c r="G44" s="347">
        <f>IF('Cover Page'!$A$9="",0,VLOOKUP('Cover Page'!$A$4&amp;"-Racine",Counts!$A$4:$AE$461,Counts!$AE$467,FALSE))</f>
        <v>0</v>
      </c>
      <c r="H44" s="347">
        <f>IF('Cover Page'!$A$10="",0,VLOOKUP('Cover Page'!$A$4&amp;"-WPCP",Counts!$A$4:$AE$461,Counts!$AD$467,FALSE))</f>
        <v>0</v>
      </c>
      <c r="I44" s="407">
        <f>IF('Cover Page'!$A$10="",0,VLOOKUP('Cover Page'!$A$4&amp;"-WPCP",Counts!$A$4:$AE$461,Counts!$AE$467,FALSE))</f>
        <v>0</v>
      </c>
      <c r="J44" s="44"/>
      <c r="K44" s="329"/>
      <c r="L44" s="44"/>
      <c r="M44" s="44"/>
      <c r="N44" s="359"/>
      <c r="O44" s="359"/>
      <c r="P44" s="359"/>
      <c r="Q44" s="359"/>
      <c r="R44" s="359"/>
      <c r="S44" s="359"/>
      <c r="T44" s="44"/>
    </row>
    <row r="45" spans="1:20" ht="9.75">
      <c r="A45" s="23">
        <f>A44+1</f>
        <v>33</v>
      </c>
      <c r="B45" s="187" t="s">
        <v>429</v>
      </c>
      <c r="C45" s="187"/>
      <c r="D45" s="348">
        <f aca="true" t="shared" si="7" ref="D45:I45">_xlfn.SUMIFS($T$10:$T$39,$P$10:$P$39,D$43,$G$10:$G$39,D$42)</f>
        <v>0</v>
      </c>
      <c r="E45" s="348">
        <f t="shared" si="7"/>
        <v>0</v>
      </c>
      <c r="F45" s="348">
        <f t="shared" si="7"/>
        <v>0</v>
      </c>
      <c r="G45" s="348">
        <f t="shared" si="7"/>
        <v>0</v>
      </c>
      <c r="H45" s="348">
        <f t="shared" si="7"/>
        <v>0</v>
      </c>
      <c r="I45" s="349">
        <f t="shared" si="7"/>
        <v>0</v>
      </c>
      <c r="K45" s="329"/>
      <c r="L45" s="44"/>
      <c r="M45" s="44"/>
      <c r="N45" s="360"/>
      <c r="O45" s="360"/>
      <c r="P45" s="360"/>
      <c r="Q45" s="360"/>
      <c r="R45" s="360"/>
      <c r="S45" s="360"/>
      <c r="T45" s="44"/>
    </row>
    <row r="46" spans="1:20" ht="10.5" thickBot="1">
      <c r="A46" s="23">
        <f>A45+1</f>
        <v>34</v>
      </c>
      <c r="B46" s="276" t="s">
        <v>430</v>
      </c>
      <c r="C46" s="276"/>
      <c r="D46" s="350">
        <f aca="true" t="shared" si="8" ref="D46:I46">_xlfn.SUMIFS($U$10:$U$39,$P$10:$P$39,D$43,$G$10:$G$39,D$42)</f>
        <v>0</v>
      </c>
      <c r="E46" s="350">
        <f t="shared" si="8"/>
        <v>0</v>
      </c>
      <c r="F46" s="350">
        <f t="shared" si="8"/>
        <v>0</v>
      </c>
      <c r="G46" s="350">
        <f t="shared" si="8"/>
        <v>0</v>
      </c>
      <c r="H46" s="350">
        <f t="shared" si="8"/>
        <v>0</v>
      </c>
      <c r="I46" s="351">
        <f t="shared" si="8"/>
        <v>0</v>
      </c>
      <c r="K46" s="329"/>
      <c r="L46" s="44"/>
      <c r="M46" s="44"/>
      <c r="N46" s="360"/>
      <c r="O46" s="360"/>
      <c r="P46" s="360"/>
      <c r="Q46" s="360"/>
      <c r="R46" s="360"/>
      <c r="S46" s="360"/>
      <c r="T46" s="44"/>
    </row>
    <row r="47" spans="1:20" ht="10.5" thickBot="1">
      <c r="A47" s="277">
        <f>A46+1</f>
        <v>35</v>
      </c>
      <c r="B47" s="406" t="s">
        <v>241</v>
      </c>
      <c r="C47" s="278"/>
      <c r="D47" s="352">
        <f aca="true" t="shared" si="9" ref="D47:I47">IF($I$5="No",0,SUM(D44:D46))</f>
        <v>0</v>
      </c>
      <c r="E47" s="352">
        <f t="shared" si="9"/>
        <v>0</v>
      </c>
      <c r="F47" s="352">
        <f t="shared" si="9"/>
        <v>0</v>
      </c>
      <c r="G47" s="352">
        <f t="shared" si="9"/>
        <v>0</v>
      </c>
      <c r="H47" s="352">
        <f t="shared" si="9"/>
        <v>0</v>
      </c>
      <c r="I47" s="353">
        <f t="shared" si="9"/>
        <v>0</v>
      </c>
      <c r="J47" s="44"/>
      <c r="K47" s="44"/>
      <c r="L47" s="44"/>
      <c r="M47" s="44"/>
      <c r="N47" s="44"/>
      <c r="O47" s="44"/>
      <c r="P47" s="44"/>
      <c r="Q47" s="361"/>
      <c r="R47" s="361"/>
      <c r="S47" s="44"/>
      <c r="T47" s="44"/>
    </row>
    <row r="48" ht="10.5" thickTop="1">
      <c r="A48" s="183"/>
    </row>
    <row r="49" ht="9.75">
      <c r="A49" s="183"/>
    </row>
    <row r="50" ht="9.75">
      <c r="A50" s="183"/>
    </row>
    <row r="51" ht="9.75">
      <c r="A51" s="183"/>
    </row>
    <row r="52" spans="1:10" ht="9.75">
      <c r="A52" s="183"/>
      <c r="J52" s="44"/>
    </row>
    <row r="53" spans="1:10" ht="35.25" customHeight="1" hidden="1">
      <c r="A53" s="183"/>
      <c r="B53" s="283" t="s">
        <v>315</v>
      </c>
      <c r="C53" s="283" t="s">
        <v>316</v>
      </c>
      <c r="D53" s="283"/>
      <c r="F53" s="9" t="s">
        <v>345</v>
      </c>
      <c r="G53" s="298">
        <v>0.05</v>
      </c>
      <c r="J53" s="44"/>
    </row>
    <row r="54" spans="1:10" ht="17.25" customHeight="1" hidden="1">
      <c r="A54" s="183"/>
      <c r="B54" s="274" t="s">
        <v>8</v>
      </c>
      <c r="C54" s="274" t="s">
        <v>284</v>
      </c>
      <c r="D54" s="274"/>
      <c r="F54" s="274" t="s">
        <v>284</v>
      </c>
      <c r="G54" s="274" t="s">
        <v>67</v>
      </c>
      <c r="H54" s="274"/>
      <c r="J54" s="274"/>
    </row>
    <row r="55" spans="1:10" ht="12" customHeight="1" hidden="1">
      <c r="A55" s="183"/>
      <c r="B55" s="274" t="s">
        <v>9</v>
      </c>
      <c r="C55" s="274" t="s">
        <v>284</v>
      </c>
      <c r="D55" s="274"/>
      <c r="F55" s="177">
        <f>'Payment Amounts'!B6</f>
        <v>8300</v>
      </c>
      <c r="G55" s="177">
        <f>'Payment Amounts'!B7</f>
        <v>8946</v>
      </c>
      <c r="J55" s="274"/>
    </row>
    <row r="56" spans="1:10" ht="21" customHeight="1" hidden="1">
      <c r="A56" s="183"/>
      <c r="B56" s="274">
        <v>1</v>
      </c>
      <c r="C56" s="274" t="s">
        <v>284</v>
      </c>
      <c r="D56" s="274"/>
      <c r="E56" s="9">
        <v>0</v>
      </c>
      <c r="F56" s="299">
        <f aca="true" t="shared" si="10" ref="F56:G70">ROUND(F$55*$G$53*$E56/15,2)</f>
        <v>0</v>
      </c>
      <c r="G56" s="299">
        <f t="shared" si="10"/>
        <v>0</v>
      </c>
      <c r="J56" s="274"/>
    </row>
    <row r="57" spans="1:10" ht="9.75" hidden="1">
      <c r="A57" s="183"/>
      <c r="B57" s="274">
        <v>2</v>
      </c>
      <c r="C57" s="274" t="s">
        <v>284</v>
      </c>
      <c r="D57" s="274"/>
      <c r="E57" s="9">
        <v>1</v>
      </c>
      <c r="F57" s="299">
        <f t="shared" si="10"/>
        <v>27.67</v>
      </c>
      <c r="G57" s="299">
        <f t="shared" si="10"/>
        <v>29.82</v>
      </c>
      <c r="J57" s="274"/>
    </row>
    <row r="58" spans="1:10" ht="9.75" hidden="1">
      <c r="A58" s="183"/>
      <c r="B58" s="274">
        <v>3</v>
      </c>
      <c r="C58" s="274" t="s">
        <v>284</v>
      </c>
      <c r="D58" s="274"/>
      <c r="E58" s="9">
        <v>2</v>
      </c>
      <c r="F58" s="299">
        <f t="shared" si="10"/>
        <v>55.33</v>
      </c>
      <c r="G58" s="299">
        <f t="shared" si="10"/>
        <v>59.64</v>
      </c>
      <c r="J58" s="274"/>
    </row>
    <row r="59" spans="1:10" ht="9.75" hidden="1">
      <c r="A59" s="183"/>
      <c r="B59" s="274">
        <v>4</v>
      </c>
      <c r="C59" s="274" t="s">
        <v>284</v>
      </c>
      <c r="D59" s="274"/>
      <c r="E59" s="9">
        <v>3</v>
      </c>
      <c r="F59" s="299">
        <f t="shared" si="10"/>
        <v>83</v>
      </c>
      <c r="G59" s="299">
        <f t="shared" si="10"/>
        <v>89.46</v>
      </c>
      <c r="J59" s="274"/>
    </row>
    <row r="60" spans="1:10" ht="9.75" hidden="1">
      <c r="A60" s="183"/>
      <c r="B60" s="274">
        <v>5</v>
      </c>
      <c r="C60" s="274" t="s">
        <v>284</v>
      </c>
      <c r="D60" s="274"/>
      <c r="E60" s="9">
        <v>4</v>
      </c>
      <c r="F60" s="299">
        <f t="shared" si="10"/>
        <v>110.67</v>
      </c>
      <c r="G60" s="299">
        <f t="shared" si="10"/>
        <v>119.28</v>
      </c>
      <c r="J60" s="274"/>
    </row>
    <row r="61" spans="1:10" ht="9.75" hidden="1">
      <c r="A61" s="183"/>
      <c r="B61" s="274">
        <v>6</v>
      </c>
      <c r="C61" s="274" t="s">
        <v>284</v>
      </c>
      <c r="D61" s="274"/>
      <c r="E61" s="9">
        <v>5</v>
      </c>
      <c r="F61" s="299">
        <f t="shared" si="10"/>
        <v>138.33</v>
      </c>
      <c r="G61" s="299">
        <f t="shared" si="10"/>
        <v>149.1</v>
      </c>
      <c r="J61" s="274"/>
    </row>
    <row r="62" spans="1:10" ht="9.75" hidden="1">
      <c r="A62" s="183"/>
      <c r="B62" s="274">
        <v>7</v>
      </c>
      <c r="C62" s="274" t="s">
        <v>284</v>
      </c>
      <c r="D62" s="274"/>
      <c r="E62" s="9">
        <v>6</v>
      </c>
      <c r="F62" s="299">
        <f t="shared" si="10"/>
        <v>166</v>
      </c>
      <c r="G62" s="299">
        <f t="shared" si="10"/>
        <v>178.92</v>
      </c>
      <c r="J62" s="274"/>
    </row>
    <row r="63" spans="1:10" ht="9.75" hidden="1">
      <c r="A63" s="183"/>
      <c r="B63" s="274">
        <v>8</v>
      </c>
      <c r="C63" s="274" t="s">
        <v>284</v>
      </c>
      <c r="D63" s="274"/>
      <c r="E63" s="9">
        <v>7</v>
      </c>
      <c r="F63" s="299">
        <f t="shared" si="10"/>
        <v>193.67</v>
      </c>
      <c r="G63" s="299">
        <f t="shared" si="10"/>
        <v>208.74</v>
      </c>
      <c r="J63" s="274"/>
    </row>
    <row r="64" spans="1:10" ht="9.75" hidden="1">
      <c r="A64" s="183"/>
      <c r="B64" s="274">
        <v>9</v>
      </c>
      <c r="C64" s="274" t="s">
        <v>67</v>
      </c>
      <c r="D64" s="274"/>
      <c r="E64" s="9">
        <v>8</v>
      </c>
      <c r="F64" s="299">
        <f t="shared" si="10"/>
        <v>221.33</v>
      </c>
      <c r="G64" s="299">
        <f t="shared" si="10"/>
        <v>238.56</v>
      </c>
      <c r="J64" s="274"/>
    </row>
    <row r="65" spans="1:10" ht="9.75" hidden="1">
      <c r="A65" s="183"/>
      <c r="B65" s="274">
        <v>10</v>
      </c>
      <c r="C65" s="274" t="s">
        <v>67</v>
      </c>
      <c r="D65" s="274"/>
      <c r="E65" s="9">
        <v>9</v>
      </c>
      <c r="F65" s="299">
        <f t="shared" si="10"/>
        <v>249</v>
      </c>
      <c r="G65" s="299">
        <f t="shared" si="10"/>
        <v>268.38</v>
      </c>
      <c r="J65" s="274"/>
    </row>
    <row r="66" spans="1:10" ht="9.75" hidden="1">
      <c r="A66" s="183"/>
      <c r="B66" s="274">
        <v>11</v>
      </c>
      <c r="C66" s="274" t="s">
        <v>67</v>
      </c>
      <c r="D66" s="274"/>
      <c r="E66" s="9">
        <v>10</v>
      </c>
      <c r="F66" s="299">
        <f t="shared" si="10"/>
        <v>276.67</v>
      </c>
      <c r="G66" s="299">
        <f t="shared" si="10"/>
        <v>298.2</v>
      </c>
      <c r="H66" s="44"/>
      <c r="I66" s="44"/>
      <c r="J66" s="274"/>
    </row>
    <row r="67" spans="1:10" ht="9.75" hidden="1">
      <c r="A67" s="183"/>
      <c r="B67" s="274">
        <v>12</v>
      </c>
      <c r="C67" s="274" t="s">
        <v>67</v>
      </c>
      <c r="D67" s="274"/>
      <c r="E67" s="9">
        <v>11</v>
      </c>
      <c r="F67" s="299">
        <f t="shared" si="10"/>
        <v>304.33</v>
      </c>
      <c r="G67" s="299">
        <f t="shared" si="10"/>
        <v>328.02</v>
      </c>
      <c r="H67" s="155"/>
      <c r="I67" s="284"/>
      <c r="J67" s="274"/>
    </row>
    <row r="68" spans="1:10" ht="9.75" hidden="1">
      <c r="A68" s="183"/>
      <c r="E68" s="9">
        <v>12</v>
      </c>
      <c r="F68" s="299">
        <f t="shared" si="10"/>
        <v>332</v>
      </c>
      <c r="G68" s="299">
        <f t="shared" si="10"/>
        <v>357.84</v>
      </c>
      <c r="I68" s="274"/>
      <c r="J68" s="274"/>
    </row>
    <row r="69" spans="5:7" ht="9.75" hidden="1">
      <c r="E69" s="9">
        <v>13</v>
      </c>
      <c r="F69" s="299">
        <f t="shared" si="10"/>
        <v>359.67</v>
      </c>
      <c r="G69" s="299">
        <f t="shared" si="10"/>
        <v>387.66</v>
      </c>
    </row>
    <row r="70" spans="5:7" ht="9.75" hidden="1">
      <c r="E70" s="9">
        <v>14</v>
      </c>
      <c r="F70" s="299">
        <f t="shared" si="10"/>
        <v>387.33</v>
      </c>
      <c r="G70" s="299">
        <f t="shared" si="10"/>
        <v>417.48</v>
      </c>
    </row>
    <row r="71" spans="5:7" ht="9.75" hidden="1">
      <c r="E71" s="9">
        <v>15</v>
      </c>
      <c r="F71" s="299">
        <f aca="true" t="shared" si="11" ref="F71:G90">ROUND(F$55*$G$53,2)</f>
        <v>415</v>
      </c>
      <c r="G71" s="299">
        <f t="shared" si="11"/>
        <v>447.3</v>
      </c>
    </row>
    <row r="72" spans="5:7" ht="9.75" hidden="1">
      <c r="E72" s="9">
        <v>16</v>
      </c>
      <c r="F72" s="299">
        <f t="shared" si="11"/>
        <v>415</v>
      </c>
      <c r="G72" s="299">
        <f t="shared" si="11"/>
        <v>447.3</v>
      </c>
    </row>
    <row r="73" spans="5:7" ht="9.75" hidden="1">
      <c r="E73" s="9">
        <v>17</v>
      </c>
      <c r="F73" s="299">
        <f t="shared" si="11"/>
        <v>415</v>
      </c>
      <c r="G73" s="299">
        <f t="shared" si="11"/>
        <v>447.3</v>
      </c>
    </row>
    <row r="74" spans="5:7" ht="9.75" hidden="1">
      <c r="E74" s="9">
        <v>18</v>
      </c>
      <c r="F74" s="299">
        <f t="shared" si="11"/>
        <v>415</v>
      </c>
      <c r="G74" s="299">
        <f t="shared" si="11"/>
        <v>447.3</v>
      </c>
    </row>
    <row r="75" spans="5:7" ht="9.75" hidden="1">
      <c r="E75" s="9">
        <v>19</v>
      </c>
      <c r="F75" s="299">
        <f t="shared" si="11"/>
        <v>415</v>
      </c>
      <c r="G75" s="299">
        <f t="shared" si="11"/>
        <v>447.3</v>
      </c>
    </row>
    <row r="76" spans="5:7" ht="9.75" hidden="1">
      <c r="E76" s="9">
        <v>20</v>
      </c>
      <c r="F76" s="299">
        <f t="shared" si="11"/>
        <v>415</v>
      </c>
      <c r="G76" s="299">
        <f t="shared" si="11"/>
        <v>447.3</v>
      </c>
    </row>
    <row r="77" spans="5:7" ht="9.75" hidden="1">
      <c r="E77" s="9">
        <v>21</v>
      </c>
      <c r="F77" s="299">
        <f t="shared" si="11"/>
        <v>415</v>
      </c>
      <c r="G77" s="299">
        <f t="shared" si="11"/>
        <v>447.3</v>
      </c>
    </row>
    <row r="78" spans="5:7" ht="9.75" hidden="1">
      <c r="E78" s="9">
        <v>22</v>
      </c>
      <c r="F78" s="299">
        <f t="shared" si="11"/>
        <v>415</v>
      </c>
      <c r="G78" s="299">
        <f t="shared" si="11"/>
        <v>447.3</v>
      </c>
    </row>
    <row r="79" spans="5:7" ht="9.75" hidden="1">
      <c r="E79" s="9">
        <v>23</v>
      </c>
      <c r="F79" s="299">
        <f t="shared" si="11"/>
        <v>415</v>
      </c>
      <c r="G79" s="299">
        <f t="shared" si="11"/>
        <v>447.3</v>
      </c>
    </row>
    <row r="80" spans="5:7" ht="9.75" hidden="1">
      <c r="E80" s="9">
        <v>24</v>
      </c>
      <c r="F80" s="299">
        <f t="shared" si="11"/>
        <v>415</v>
      </c>
      <c r="G80" s="299">
        <f t="shared" si="11"/>
        <v>447.3</v>
      </c>
    </row>
    <row r="81" spans="5:7" ht="9.75" hidden="1">
      <c r="E81" s="9">
        <v>25</v>
      </c>
      <c r="F81" s="299">
        <f t="shared" si="11"/>
        <v>415</v>
      </c>
      <c r="G81" s="299">
        <f t="shared" si="11"/>
        <v>447.3</v>
      </c>
    </row>
    <row r="82" spans="5:7" ht="9.75" hidden="1">
      <c r="E82" s="9">
        <v>26</v>
      </c>
      <c r="F82" s="299">
        <f t="shared" si="11"/>
        <v>415</v>
      </c>
      <c r="G82" s="299">
        <f t="shared" si="11"/>
        <v>447.3</v>
      </c>
    </row>
    <row r="83" spans="5:7" ht="9.75" hidden="1">
      <c r="E83" s="9">
        <v>27</v>
      </c>
      <c r="F83" s="299">
        <f t="shared" si="11"/>
        <v>415</v>
      </c>
      <c r="G83" s="299">
        <f t="shared" si="11"/>
        <v>447.3</v>
      </c>
    </row>
    <row r="84" spans="5:7" ht="9.75" hidden="1">
      <c r="E84" s="9">
        <v>28</v>
      </c>
      <c r="F84" s="299">
        <f t="shared" si="11"/>
        <v>415</v>
      </c>
      <c r="G84" s="299">
        <f t="shared" si="11"/>
        <v>447.3</v>
      </c>
    </row>
    <row r="85" spans="5:7" ht="9.75" hidden="1">
      <c r="E85" s="9">
        <v>29</v>
      </c>
      <c r="F85" s="299">
        <f t="shared" si="11"/>
        <v>415</v>
      </c>
      <c r="G85" s="299">
        <f t="shared" si="11"/>
        <v>447.3</v>
      </c>
    </row>
    <row r="86" spans="5:7" ht="9.75" hidden="1">
      <c r="E86" s="9">
        <v>30</v>
      </c>
      <c r="F86" s="299">
        <f t="shared" si="11"/>
        <v>415</v>
      </c>
      <c r="G86" s="299">
        <f t="shared" si="11"/>
        <v>447.3</v>
      </c>
    </row>
    <row r="87" spans="5:7" ht="9.75" hidden="1">
      <c r="E87" s="9">
        <v>31</v>
      </c>
      <c r="F87" s="299">
        <f t="shared" si="11"/>
        <v>415</v>
      </c>
      <c r="G87" s="299">
        <f t="shared" si="11"/>
        <v>447.3</v>
      </c>
    </row>
    <row r="88" spans="5:7" ht="9.75" hidden="1">
      <c r="E88" s="9">
        <v>32</v>
      </c>
      <c r="F88" s="299">
        <f t="shared" si="11"/>
        <v>415</v>
      </c>
      <c r="G88" s="299">
        <f t="shared" si="11"/>
        <v>447.3</v>
      </c>
    </row>
    <row r="89" spans="5:7" ht="9.75" hidden="1">
      <c r="E89" s="9">
        <v>33</v>
      </c>
      <c r="F89" s="299">
        <f t="shared" si="11"/>
        <v>415</v>
      </c>
      <c r="G89" s="299">
        <f t="shared" si="11"/>
        <v>447.3</v>
      </c>
    </row>
    <row r="90" spans="5:7" ht="9.75" hidden="1">
      <c r="E90" s="9">
        <v>34</v>
      </c>
      <c r="F90" s="299">
        <f t="shared" si="11"/>
        <v>415</v>
      </c>
      <c r="G90" s="299">
        <f t="shared" si="11"/>
        <v>447.3</v>
      </c>
    </row>
    <row r="91" spans="5:7" ht="9.75" hidden="1">
      <c r="E91" s="9">
        <v>35</v>
      </c>
      <c r="F91" s="299">
        <f aca="true" t="shared" si="12" ref="F91:G114">ROUND(F$55*$G$53,2)</f>
        <v>415</v>
      </c>
      <c r="G91" s="299">
        <f t="shared" si="12"/>
        <v>447.3</v>
      </c>
    </row>
    <row r="92" spans="5:7" ht="9.75" hidden="1">
      <c r="E92" s="9">
        <v>36</v>
      </c>
      <c r="F92" s="299">
        <f t="shared" si="12"/>
        <v>415</v>
      </c>
      <c r="G92" s="299">
        <f t="shared" si="12"/>
        <v>447.3</v>
      </c>
    </row>
    <row r="93" spans="5:7" ht="9.75" hidden="1">
      <c r="E93" s="9">
        <v>37</v>
      </c>
      <c r="F93" s="299">
        <f t="shared" si="12"/>
        <v>415</v>
      </c>
      <c r="G93" s="299">
        <f t="shared" si="12"/>
        <v>447.3</v>
      </c>
    </row>
    <row r="94" spans="5:7" ht="9.75" hidden="1">
      <c r="E94" s="9">
        <v>38</v>
      </c>
      <c r="F94" s="299">
        <f t="shared" si="12"/>
        <v>415</v>
      </c>
      <c r="G94" s="299">
        <f t="shared" si="12"/>
        <v>447.3</v>
      </c>
    </row>
    <row r="95" spans="5:7" ht="9.75" hidden="1">
      <c r="E95" s="9">
        <v>39</v>
      </c>
      <c r="F95" s="299">
        <f t="shared" si="12"/>
        <v>415</v>
      </c>
      <c r="G95" s="299">
        <f t="shared" si="12"/>
        <v>447.3</v>
      </c>
    </row>
    <row r="96" spans="5:7" ht="9.75" hidden="1">
      <c r="E96" s="9">
        <v>40</v>
      </c>
      <c r="F96" s="299">
        <f t="shared" si="12"/>
        <v>415</v>
      </c>
      <c r="G96" s="299">
        <f t="shared" si="12"/>
        <v>447.3</v>
      </c>
    </row>
    <row r="97" spans="5:7" ht="9.75" hidden="1">
      <c r="E97" s="9">
        <v>41</v>
      </c>
      <c r="F97" s="299">
        <f t="shared" si="12"/>
        <v>415</v>
      </c>
      <c r="G97" s="299">
        <f t="shared" si="12"/>
        <v>447.3</v>
      </c>
    </row>
    <row r="98" spans="5:7" ht="9.75" hidden="1">
      <c r="E98" s="9">
        <v>42</v>
      </c>
      <c r="F98" s="299">
        <f t="shared" si="12"/>
        <v>415</v>
      </c>
      <c r="G98" s="299">
        <f t="shared" si="12"/>
        <v>447.3</v>
      </c>
    </row>
    <row r="99" spans="5:7" ht="9.75" hidden="1">
      <c r="E99" s="9">
        <v>43</v>
      </c>
      <c r="F99" s="299">
        <f t="shared" si="12"/>
        <v>415</v>
      </c>
      <c r="G99" s="299">
        <f t="shared" si="12"/>
        <v>447.3</v>
      </c>
    </row>
    <row r="100" spans="5:7" ht="9.75" hidden="1">
      <c r="E100" s="9">
        <v>44</v>
      </c>
      <c r="F100" s="299">
        <f t="shared" si="12"/>
        <v>415</v>
      </c>
      <c r="G100" s="299">
        <f t="shared" si="12"/>
        <v>447.3</v>
      </c>
    </row>
    <row r="101" spans="5:7" ht="9.75" hidden="1">
      <c r="E101" s="9">
        <v>45</v>
      </c>
      <c r="F101" s="299">
        <f t="shared" si="12"/>
        <v>415</v>
      </c>
      <c r="G101" s="299">
        <f t="shared" si="12"/>
        <v>447.3</v>
      </c>
    </row>
    <row r="102" spans="5:7" ht="9.75" hidden="1">
      <c r="E102" s="9">
        <v>46</v>
      </c>
      <c r="F102" s="299">
        <f t="shared" si="12"/>
        <v>415</v>
      </c>
      <c r="G102" s="299">
        <f t="shared" si="12"/>
        <v>447.3</v>
      </c>
    </row>
    <row r="103" spans="5:7" ht="9.75" hidden="1">
      <c r="E103" s="9">
        <v>47</v>
      </c>
      <c r="F103" s="299">
        <f t="shared" si="12"/>
        <v>415</v>
      </c>
      <c r="G103" s="299">
        <f t="shared" si="12"/>
        <v>447.3</v>
      </c>
    </row>
    <row r="104" spans="5:7" ht="9.75" hidden="1">
      <c r="E104" s="9">
        <v>48</v>
      </c>
      <c r="F104" s="299">
        <f t="shared" si="12"/>
        <v>415</v>
      </c>
      <c r="G104" s="299">
        <f t="shared" si="12"/>
        <v>447.3</v>
      </c>
    </row>
    <row r="105" spans="5:7" ht="9.75" hidden="1">
      <c r="E105" s="9">
        <v>49</v>
      </c>
      <c r="F105" s="299">
        <f t="shared" si="12"/>
        <v>415</v>
      </c>
      <c r="G105" s="299">
        <f t="shared" si="12"/>
        <v>447.3</v>
      </c>
    </row>
    <row r="106" spans="5:7" ht="9.75" hidden="1">
      <c r="E106" s="9">
        <v>50</v>
      </c>
      <c r="F106" s="299">
        <f t="shared" si="12"/>
        <v>415</v>
      </c>
      <c r="G106" s="299">
        <f t="shared" si="12"/>
        <v>447.3</v>
      </c>
    </row>
    <row r="107" spans="5:7" ht="9.75" hidden="1">
      <c r="E107" s="9">
        <v>51</v>
      </c>
      <c r="F107" s="299">
        <f t="shared" si="12"/>
        <v>415</v>
      </c>
      <c r="G107" s="299">
        <f t="shared" si="12"/>
        <v>447.3</v>
      </c>
    </row>
    <row r="108" spans="5:7" ht="9.75" hidden="1">
      <c r="E108" s="9">
        <v>52</v>
      </c>
      <c r="F108" s="299">
        <f t="shared" si="12"/>
        <v>415</v>
      </c>
      <c r="G108" s="299">
        <f t="shared" si="12"/>
        <v>447.3</v>
      </c>
    </row>
    <row r="109" spans="5:7" ht="9.75" hidden="1">
      <c r="E109" s="9">
        <v>53</v>
      </c>
      <c r="F109" s="299">
        <f t="shared" si="12"/>
        <v>415</v>
      </c>
      <c r="G109" s="299">
        <f t="shared" si="12"/>
        <v>447.3</v>
      </c>
    </row>
    <row r="110" spans="5:7" ht="9.75" hidden="1">
      <c r="E110" s="9">
        <v>54</v>
      </c>
      <c r="F110" s="299">
        <f t="shared" si="12"/>
        <v>415</v>
      </c>
      <c r="G110" s="299">
        <f t="shared" si="12"/>
        <v>447.3</v>
      </c>
    </row>
    <row r="111" spans="5:7" ht="9.75" hidden="1">
      <c r="E111" s="9">
        <v>55</v>
      </c>
      <c r="F111" s="299">
        <f t="shared" si="12"/>
        <v>415</v>
      </c>
      <c r="G111" s="299">
        <f t="shared" si="12"/>
        <v>447.3</v>
      </c>
    </row>
    <row r="112" spans="5:7" ht="9.75" hidden="1">
      <c r="E112" s="9">
        <v>56</v>
      </c>
      <c r="F112" s="299">
        <f t="shared" si="12"/>
        <v>415</v>
      </c>
      <c r="G112" s="299">
        <f t="shared" si="12"/>
        <v>447.3</v>
      </c>
    </row>
    <row r="113" spans="5:7" ht="9.75" hidden="1">
      <c r="E113" s="9">
        <v>57</v>
      </c>
      <c r="F113" s="299">
        <f t="shared" si="12"/>
        <v>415</v>
      </c>
      <c r="G113" s="299">
        <f t="shared" si="12"/>
        <v>447.3</v>
      </c>
    </row>
    <row r="114" spans="5:7" ht="9.75" hidden="1">
      <c r="E114" s="9">
        <v>58</v>
      </c>
      <c r="F114" s="299">
        <f t="shared" si="12"/>
        <v>415</v>
      </c>
      <c r="G114" s="299">
        <f t="shared" si="12"/>
        <v>447.3</v>
      </c>
    </row>
    <row r="115" ht="9.75" hidden="1"/>
    <row r="116" ht="9.75" hidden="1"/>
    <row r="117" ht="9.75" hidden="1"/>
    <row r="118" ht="9.75" hidden="1"/>
    <row r="119" ht="9.75" hidden="1"/>
    <row r="120" ht="9.75" hidden="1"/>
    <row r="121" ht="9.75" hidden="1"/>
    <row r="122" ht="9.75" hidden="1"/>
    <row r="123" ht="9.75" hidden="1"/>
    <row r="124" ht="9.75" hidden="1"/>
    <row r="125" ht="9.75" hidden="1"/>
    <row r="126" ht="9.75" hidden="1"/>
    <row r="127" ht="9.75" hidden="1"/>
    <row r="128" ht="9.75" hidden="1"/>
  </sheetData>
  <sheetProtection password="B421" sheet="1"/>
  <mergeCells count="58">
    <mergeCell ref="E34:F34"/>
    <mergeCell ref="E29:F29"/>
    <mergeCell ref="E36:F36"/>
    <mergeCell ref="E37:F37"/>
    <mergeCell ref="E38:F38"/>
    <mergeCell ref="E39:F39"/>
    <mergeCell ref="E35:F35"/>
    <mergeCell ref="E33:F33"/>
    <mergeCell ref="E30:F30"/>
    <mergeCell ref="E31:F31"/>
    <mergeCell ref="E15:F15"/>
    <mergeCell ref="E16:F16"/>
    <mergeCell ref="E21:F21"/>
    <mergeCell ref="E22:F22"/>
    <mergeCell ref="E23:F23"/>
    <mergeCell ref="E24:F24"/>
    <mergeCell ref="E18:F18"/>
    <mergeCell ref="E19:F19"/>
    <mergeCell ref="K7:N7"/>
    <mergeCell ref="T8:T9"/>
    <mergeCell ref="E32:F32"/>
    <mergeCell ref="E12:F12"/>
    <mergeCell ref="C8:C9"/>
    <mergeCell ref="E25:F25"/>
    <mergeCell ref="E26:F26"/>
    <mergeCell ref="E27:F27"/>
    <mergeCell ref="E28:F28"/>
    <mergeCell ref="E20:F20"/>
    <mergeCell ref="E10:F10"/>
    <mergeCell ref="E11:F11"/>
    <mergeCell ref="U8:U9"/>
    <mergeCell ref="S8:S9"/>
    <mergeCell ref="D7:G7"/>
    <mergeCell ref="P7:U7"/>
    <mergeCell ref="P8:P9"/>
    <mergeCell ref="R8:R9"/>
    <mergeCell ref="L8:L9"/>
    <mergeCell ref="N8:N9"/>
    <mergeCell ref="G8:G9"/>
    <mergeCell ref="A8:A9"/>
    <mergeCell ref="Q8:Q9"/>
    <mergeCell ref="E17:F17"/>
    <mergeCell ref="A41:I41"/>
    <mergeCell ref="H8:H9"/>
    <mergeCell ref="I8:I9"/>
    <mergeCell ref="D8:D9"/>
    <mergeCell ref="K8:K9"/>
    <mergeCell ref="E8:F9"/>
    <mergeCell ref="M8:M9"/>
    <mergeCell ref="A5:H5"/>
    <mergeCell ref="E13:F13"/>
    <mergeCell ref="E14:F14"/>
    <mergeCell ref="A1:I1"/>
    <mergeCell ref="A2:I2"/>
    <mergeCell ref="A3:I3"/>
    <mergeCell ref="A4:I4"/>
    <mergeCell ref="A6:H6"/>
    <mergeCell ref="B8:B9"/>
  </mergeCells>
  <conditionalFormatting sqref="K10:N39">
    <cfRule type="cellIs" priority="1" dxfId="6" operator="equal" stopIfTrue="1">
      <formula>"Yes"</formula>
    </cfRule>
  </conditionalFormatting>
  <dataValidations count="4">
    <dataValidation type="list" allowBlank="1" showInputMessage="1" showErrorMessage="1" sqref="B10:B39">
      <formula1>"K4,K5,1,2,3,4,5,6,7,8,9,10,11,12"</formula1>
    </dataValidation>
    <dataValidation type="list" allowBlank="1" showInputMessage="1" showErrorMessage="1" sqref="I5:I6">
      <formula1>"Yes, No, N/A"</formula1>
    </dataValidation>
    <dataValidation type="list" allowBlank="1" showInputMessage="1" showErrorMessage="1" sqref="G10:G39">
      <formula1>"MPCP,RPCP,WPCP"</formula1>
    </dataValidation>
    <dataValidation type="whole" allowBlank="1" showInputMessage="1" showErrorMessage="1" error="Days must be entered as whole numbers between 0 and 58. A student is considered in attendance for a day if they attended at least one of the classes on the summer school course list report." sqref="H10:I39">
      <formula1>0</formula1>
      <formula2>58</formula2>
    </dataValidation>
  </dataValidations>
  <printOptions horizontalCentered="1"/>
  <pageMargins left="0.5" right="0.5" top="0.5" bottom="0.5" header="0.3" footer="0.3"/>
  <pageSetup fitToHeight="1" fitToWidth="1" horizontalDpi="600" verticalDpi="600" orientation="portrait" scale="91" r:id="rId1"/>
  <headerFooter>
    <oddHeader>&amp;L&amp;"Arial,Regular"&amp;8Page 9&amp;C &amp;R&amp;"Arial,Regular"&amp;8PI-PCP-103 (70 Lines)</oddHeader>
  </headerFooter>
</worksheet>
</file>

<file path=xl/worksheets/sheet13.xml><?xml version="1.0" encoding="utf-8"?>
<worksheet xmlns="http://schemas.openxmlformats.org/spreadsheetml/2006/main" xmlns:r="http://schemas.openxmlformats.org/officeDocument/2006/relationships">
  <dimension ref="A1:AI470"/>
  <sheetViews>
    <sheetView zoomScale="60" zoomScaleNormal="60" zoomScalePageLayoutView="0" workbookViewId="0" topLeftCell="A1">
      <pane xSplit="2" ySplit="4" topLeftCell="K5" activePane="bottomRight" state="frozen"/>
      <selection pane="topLeft" activeCell="E9" sqref="E9"/>
      <selection pane="topRight" activeCell="E9" sqref="E9"/>
      <selection pane="bottomLeft" activeCell="E9" sqref="E9"/>
      <selection pane="bottomRight" activeCell="X26" sqref="X26"/>
    </sheetView>
  </sheetViews>
  <sheetFormatPr defaultColWidth="58.8515625" defaultRowHeight="15"/>
  <cols>
    <col min="1" max="1" width="38.8515625" style="0" customWidth="1"/>
    <col min="2" max="2" width="39.00390625" style="0" customWidth="1"/>
    <col min="3" max="3" width="9.8515625" style="0" bestFit="1" customWidth="1"/>
    <col min="4" max="24" width="8.421875" style="0" customWidth="1"/>
    <col min="25" max="25" width="20.140625" style="0" customWidth="1"/>
    <col min="26" max="27" width="8.57421875" style="0" customWidth="1"/>
    <col min="28" max="28" width="8.57421875" style="0" hidden="1" customWidth="1"/>
    <col min="29" max="29" width="10.140625" style="0" hidden="1" customWidth="1"/>
    <col min="30" max="31" width="8.8515625" style="0" hidden="1" customWidth="1"/>
    <col min="32" max="32" width="12.8515625" style="0" hidden="1" customWidth="1"/>
    <col min="33" max="33" width="3.8515625" style="0" customWidth="1"/>
    <col min="34" max="34" width="54.57421875" style="0" bestFit="1" customWidth="1"/>
    <col min="35" max="35" width="3.8515625" style="0" bestFit="1" customWidth="1"/>
  </cols>
  <sheetData>
    <row r="1" spans="22:25" ht="14.25">
      <c r="V1" s="390"/>
      <c r="W1" s="390"/>
      <c r="X1" s="390"/>
      <c r="Y1" s="376"/>
    </row>
    <row r="2" ht="15" thickBot="1">
      <c r="Y2" s="377"/>
    </row>
    <row r="3" spans="4:28" ht="15" thickBot="1">
      <c r="D3" s="584" t="s">
        <v>589</v>
      </c>
      <c r="E3" s="585"/>
      <c r="F3" s="585"/>
      <c r="G3" s="585"/>
      <c r="H3" s="585"/>
      <c r="I3" s="585"/>
      <c r="J3" s="585"/>
      <c r="K3" s="585"/>
      <c r="L3" s="586"/>
      <c r="M3" s="587" t="s">
        <v>590</v>
      </c>
      <c r="N3" s="588"/>
      <c r="O3" s="588"/>
      <c r="P3" s="588"/>
      <c r="Q3" s="588"/>
      <c r="R3" s="588"/>
      <c r="S3" s="588"/>
      <c r="T3" s="588"/>
      <c r="U3" s="589"/>
      <c r="V3" s="378"/>
      <c r="W3" s="378"/>
      <c r="X3" s="382"/>
      <c r="Y3" s="383"/>
      <c r="Z3" s="382"/>
      <c r="AA3" s="383"/>
      <c r="AB3" s="383"/>
    </row>
    <row r="4" spans="1:32" ht="43.5" thickBot="1">
      <c r="A4" s="364" t="s">
        <v>588</v>
      </c>
      <c r="B4" s="364" t="s">
        <v>586</v>
      </c>
      <c r="C4" s="364" t="s">
        <v>587</v>
      </c>
      <c r="D4" s="369" t="s">
        <v>8</v>
      </c>
      <c r="E4" s="369" t="s">
        <v>594</v>
      </c>
      <c r="F4" s="369" t="s">
        <v>595</v>
      </c>
      <c r="G4" s="369" t="s">
        <v>596</v>
      </c>
      <c r="H4" s="369" t="s">
        <v>597</v>
      </c>
      <c r="I4" s="369" t="s">
        <v>598</v>
      </c>
      <c r="J4" s="369" t="s">
        <v>599</v>
      </c>
      <c r="K4" s="369" t="s">
        <v>600</v>
      </c>
      <c r="L4" s="369" t="s">
        <v>601</v>
      </c>
      <c r="M4" s="370" t="s">
        <v>8</v>
      </c>
      <c r="N4" s="370" t="s">
        <v>594</v>
      </c>
      <c r="O4" s="370" t="s">
        <v>595</v>
      </c>
      <c r="P4" s="370" t="s">
        <v>596</v>
      </c>
      <c r="Q4" s="370" t="s">
        <v>597</v>
      </c>
      <c r="R4" s="370" t="s">
        <v>598</v>
      </c>
      <c r="S4" s="370" t="s">
        <v>599</v>
      </c>
      <c r="T4" s="371" t="s">
        <v>600</v>
      </c>
      <c r="U4" s="379" t="s">
        <v>602</v>
      </c>
      <c r="V4" s="379" t="s">
        <v>591</v>
      </c>
      <c r="W4" s="380" t="s">
        <v>592</v>
      </c>
      <c r="X4" s="379" t="s">
        <v>593</v>
      </c>
      <c r="Y4" s="379" t="s">
        <v>603</v>
      </c>
      <c r="Z4" s="379" t="s">
        <v>604</v>
      </c>
      <c r="AA4" s="379" t="s">
        <v>605</v>
      </c>
      <c r="AB4" s="379" t="s">
        <v>606</v>
      </c>
      <c r="AC4" s="384" t="s">
        <v>609</v>
      </c>
      <c r="AD4" s="385" t="s">
        <v>611</v>
      </c>
      <c r="AE4" s="386" t="s">
        <v>612</v>
      </c>
      <c r="AF4" s="387" t="s">
        <v>610</v>
      </c>
    </row>
    <row r="5" spans="1:34" ht="14.25">
      <c r="A5" s="366" t="s">
        <v>654</v>
      </c>
      <c r="B5" s="196" t="s">
        <v>464</v>
      </c>
      <c r="C5" s="196" t="s">
        <v>86</v>
      </c>
      <c r="D5" s="335">
        <v>0</v>
      </c>
      <c r="E5" s="335">
        <v>0</v>
      </c>
      <c r="F5" s="335">
        <v>0</v>
      </c>
      <c r="G5" s="335">
        <v>0</v>
      </c>
      <c r="H5" s="335">
        <v>0</v>
      </c>
      <c r="I5" s="335">
        <v>18</v>
      </c>
      <c r="J5" s="335">
        <v>188</v>
      </c>
      <c r="K5" s="335">
        <v>83</v>
      </c>
      <c r="L5" s="335">
        <v>289</v>
      </c>
      <c r="M5" s="335">
        <v>0</v>
      </c>
      <c r="N5" s="335">
        <v>0</v>
      </c>
      <c r="O5" s="335">
        <v>0</v>
      </c>
      <c r="P5" s="335">
        <v>0</v>
      </c>
      <c r="Q5" s="335">
        <v>0</v>
      </c>
      <c r="R5" s="335">
        <v>9</v>
      </c>
      <c r="S5" s="335">
        <v>72</v>
      </c>
      <c r="T5" s="335">
        <v>24</v>
      </c>
      <c r="U5" s="335">
        <v>105</v>
      </c>
      <c r="V5" s="335">
        <v>105</v>
      </c>
      <c r="W5" s="335">
        <v>81</v>
      </c>
      <c r="X5" s="335">
        <v>81</v>
      </c>
      <c r="Y5" s="381">
        <f aca="true" t="shared" si="0" ref="Y5:Y68">((T5*CY_9_12_Pmt)+(X5*CY_K_8_Pmt))/2</f>
        <v>445392</v>
      </c>
      <c r="Z5" s="335">
        <v>0</v>
      </c>
      <c r="AA5" s="335">
        <v>0</v>
      </c>
      <c r="AB5" s="335">
        <v>0</v>
      </c>
      <c r="AF5" s="394"/>
      <c r="AH5" s="366"/>
    </row>
    <row r="6" spans="1:34" ht="28.5">
      <c r="A6" s="366" t="s">
        <v>655</v>
      </c>
      <c r="B6" s="196" t="s">
        <v>84</v>
      </c>
      <c r="C6" s="196" t="s">
        <v>607</v>
      </c>
      <c r="D6" s="335">
        <v>0</v>
      </c>
      <c r="E6" s="335">
        <v>80</v>
      </c>
      <c r="F6" s="335">
        <v>0</v>
      </c>
      <c r="G6" s="335">
        <v>0</v>
      </c>
      <c r="H6" s="335">
        <v>0</v>
      </c>
      <c r="I6" s="335">
        <v>100</v>
      </c>
      <c r="J6" s="335">
        <v>817</v>
      </c>
      <c r="K6" s="335">
        <v>234</v>
      </c>
      <c r="L6" s="335">
        <v>1231</v>
      </c>
      <c r="M6" s="335">
        <v>0</v>
      </c>
      <c r="N6" s="335">
        <v>59</v>
      </c>
      <c r="O6" s="335">
        <v>0</v>
      </c>
      <c r="P6" s="335">
        <v>0</v>
      </c>
      <c r="Q6" s="335">
        <v>0</v>
      </c>
      <c r="R6" s="335">
        <v>64</v>
      </c>
      <c r="S6" s="335">
        <v>519</v>
      </c>
      <c r="T6" s="335">
        <v>130</v>
      </c>
      <c r="U6" s="335">
        <v>772</v>
      </c>
      <c r="V6" s="335">
        <v>748.4</v>
      </c>
      <c r="W6" s="335">
        <v>642</v>
      </c>
      <c r="X6" s="335">
        <v>618.4</v>
      </c>
      <c r="Y6" s="381">
        <f t="shared" si="0"/>
        <v>3161321.1999999997</v>
      </c>
      <c r="Z6" s="335">
        <v>0</v>
      </c>
      <c r="AA6" s="335">
        <v>0</v>
      </c>
      <c r="AB6" s="335">
        <v>0</v>
      </c>
      <c r="AF6" s="394"/>
      <c r="AH6" s="366"/>
    </row>
    <row r="7" spans="1:34" ht="14.25">
      <c r="A7" s="366" t="s">
        <v>656</v>
      </c>
      <c r="B7" s="196" t="s">
        <v>84</v>
      </c>
      <c r="C7" s="196" t="s">
        <v>608</v>
      </c>
      <c r="D7" s="335">
        <v>0</v>
      </c>
      <c r="E7" s="335">
        <v>80</v>
      </c>
      <c r="F7" s="335">
        <v>0</v>
      </c>
      <c r="G7" s="335">
        <v>0</v>
      </c>
      <c r="H7" s="335">
        <v>0</v>
      </c>
      <c r="I7" s="335">
        <v>100</v>
      </c>
      <c r="J7" s="335">
        <v>817</v>
      </c>
      <c r="K7" s="335">
        <v>234</v>
      </c>
      <c r="L7" s="335">
        <v>1231</v>
      </c>
      <c r="M7" s="335">
        <v>0</v>
      </c>
      <c r="N7" s="335">
        <v>4</v>
      </c>
      <c r="O7" s="335">
        <v>0</v>
      </c>
      <c r="P7" s="335">
        <v>0</v>
      </c>
      <c r="Q7" s="335">
        <v>0</v>
      </c>
      <c r="R7" s="335">
        <v>4</v>
      </c>
      <c r="S7" s="335">
        <v>40</v>
      </c>
      <c r="T7" s="335">
        <v>12</v>
      </c>
      <c r="U7" s="335">
        <v>60</v>
      </c>
      <c r="V7" s="335">
        <v>58.4</v>
      </c>
      <c r="W7" s="335">
        <v>48</v>
      </c>
      <c r="X7" s="335">
        <v>46.4</v>
      </c>
      <c r="Y7" s="381">
        <f t="shared" si="0"/>
        <v>247287.19999999998</v>
      </c>
      <c r="Z7" s="335">
        <v>0</v>
      </c>
      <c r="AA7" s="335">
        <v>0</v>
      </c>
      <c r="AB7" s="335">
        <v>0</v>
      </c>
      <c r="AF7" s="394"/>
      <c r="AH7" s="366"/>
    </row>
    <row r="8" spans="1:34" ht="14.25">
      <c r="A8" s="366" t="s">
        <v>657</v>
      </c>
      <c r="B8" s="196" t="s">
        <v>84</v>
      </c>
      <c r="C8" s="196" t="s">
        <v>86</v>
      </c>
      <c r="D8" s="335">
        <v>0</v>
      </c>
      <c r="E8" s="335">
        <v>80</v>
      </c>
      <c r="F8" s="335">
        <v>0</v>
      </c>
      <c r="G8" s="335">
        <v>0</v>
      </c>
      <c r="H8" s="335">
        <v>0</v>
      </c>
      <c r="I8" s="335">
        <v>100</v>
      </c>
      <c r="J8" s="335">
        <v>817</v>
      </c>
      <c r="K8" s="335">
        <v>234</v>
      </c>
      <c r="L8" s="335">
        <v>1231</v>
      </c>
      <c r="M8" s="335">
        <v>0</v>
      </c>
      <c r="N8" s="335">
        <v>17</v>
      </c>
      <c r="O8" s="335">
        <v>0</v>
      </c>
      <c r="P8" s="335">
        <v>0</v>
      </c>
      <c r="Q8" s="335">
        <v>0</v>
      </c>
      <c r="R8" s="335">
        <v>32</v>
      </c>
      <c r="S8" s="335">
        <v>256</v>
      </c>
      <c r="T8" s="335">
        <v>92</v>
      </c>
      <c r="U8" s="335">
        <v>397</v>
      </c>
      <c r="V8" s="335">
        <v>390.2</v>
      </c>
      <c r="W8" s="335">
        <v>305</v>
      </c>
      <c r="X8" s="335">
        <v>298.2</v>
      </c>
      <c r="Y8" s="381">
        <f t="shared" si="0"/>
        <v>1656069.5999999999</v>
      </c>
      <c r="Z8" s="335">
        <v>0</v>
      </c>
      <c r="AA8" s="335">
        <v>0</v>
      </c>
      <c r="AB8" s="335">
        <v>0</v>
      </c>
      <c r="AF8" s="394"/>
      <c r="AH8" s="366"/>
    </row>
    <row r="9" spans="1:34" ht="14.25">
      <c r="A9" s="366" t="s">
        <v>658</v>
      </c>
      <c r="B9" s="196" t="s">
        <v>518</v>
      </c>
      <c r="C9" s="196" t="s">
        <v>86</v>
      </c>
      <c r="D9" s="335">
        <v>0</v>
      </c>
      <c r="E9" s="335">
        <v>0</v>
      </c>
      <c r="F9" s="335">
        <v>0</v>
      </c>
      <c r="G9" s="335">
        <v>0</v>
      </c>
      <c r="H9" s="335">
        <v>0</v>
      </c>
      <c r="I9" s="335">
        <v>2</v>
      </c>
      <c r="J9" s="335">
        <v>16</v>
      </c>
      <c r="K9" s="335">
        <v>0</v>
      </c>
      <c r="L9" s="335">
        <v>18</v>
      </c>
      <c r="M9" s="335">
        <v>0</v>
      </c>
      <c r="N9" s="335">
        <v>0</v>
      </c>
      <c r="O9" s="335">
        <v>0</v>
      </c>
      <c r="P9" s="335">
        <v>0</v>
      </c>
      <c r="Q9" s="335">
        <v>0</v>
      </c>
      <c r="R9" s="335">
        <v>1</v>
      </c>
      <c r="S9" s="335">
        <v>5</v>
      </c>
      <c r="T9" s="335">
        <v>0</v>
      </c>
      <c r="U9" s="335">
        <v>6</v>
      </c>
      <c r="V9" s="335">
        <v>6</v>
      </c>
      <c r="W9" s="335">
        <v>6</v>
      </c>
      <c r="X9" s="335">
        <v>6</v>
      </c>
      <c r="Y9" s="381">
        <f t="shared" si="0"/>
        <v>25008</v>
      </c>
      <c r="Z9" s="335">
        <v>0</v>
      </c>
      <c r="AA9" s="335">
        <v>0</v>
      </c>
      <c r="AB9" s="335">
        <v>0</v>
      </c>
      <c r="AF9" s="394"/>
      <c r="AH9" s="366"/>
    </row>
    <row r="10" spans="1:34" ht="28.5">
      <c r="A10" s="366" t="s">
        <v>659</v>
      </c>
      <c r="B10" s="196" t="s">
        <v>465</v>
      </c>
      <c r="C10" s="196" t="s">
        <v>607</v>
      </c>
      <c r="D10" s="335">
        <v>19</v>
      </c>
      <c r="E10" s="335">
        <v>0</v>
      </c>
      <c r="F10" s="335">
        <v>0</v>
      </c>
      <c r="G10" s="335">
        <v>0</v>
      </c>
      <c r="H10" s="335">
        <v>0</v>
      </c>
      <c r="I10" s="335">
        <v>24</v>
      </c>
      <c r="J10" s="335">
        <v>138</v>
      </c>
      <c r="K10" s="335">
        <v>0</v>
      </c>
      <c r="L10" s="335">
        <v>181</v>
      </c>
      <c r="M10" s="335">
        <v>2</v>
      </c>
      <c r="N10" s="335">
        <v>0</v>
      </c>
      <c r="O10" s="335">
        <v>0</v>
      </c>
      <c r="P10" s="335">
        <v>0</v>
      </c>
      <c r="Q10" s="335">
        <v>0</v>
      </c>
      <c r="R10" s="335">
        <v>2</v>
      </c>
      <c r="S10" s="335">
        <v>10</v>
      </c>
      <c r="T10" s="335">
        <v>0</v>
      </c>
      <c r="U10" s="335">
        <v>14</v>
      </c>
      <c r="V10" s="335">
        <v>13</v>
      </c>
      <c r="W10" s="335">
        <v>14</v>
      </c>
      <c r="X10" s="335">
        <v>13</v>
      </c>
      <c r="Y10" s="381">
        <f t="shared" si="0"/>
        <v>54184</v>
      </c>
      <c r="Z10" s="335">
        <v>18</v>
      </c>
      <c r="AA10" s="335">
        <v>0</v>
      </c>
      <c r="AB10" s="335">
        <v>0</v>
      </c>
      <c r="AF10" s="394"/>
      <c r="AH10" s="366"/>
    </row>
    <row r="11" spans="1:34" ht="14.25">
      <c r="A11" s="366" t="s">
        <v>660</v>
      </c>
      <c r="B11" s="196" t="s">
        <v>465</v>
      </c>
      <c r="C11" s="196" t="s">
        <v>86</v>
      </c>
      <c r="D11" s="335">
        <v>19</v>
      </c>
      <c r="E11" s="335">
        <v>0</v>
      </c>
      <c r="F11" s="335">
        <v>0</v>
      </c>
      <c r="G11" s="335">
        <v>0</v>
      </c>
      <c r="H11" s="335">
        <v>0</v>
      </c>
      <c r="I11" s="335">
        <v>24</v>
      </c>
      <c r="J11" s="335">
        <v>138</v>
      </c>
      <c r="K11" s="335">
        <v>0</v>
      </c>
      <c r="L11" s="335">
        <v>181</v>
      </c>
      <c r="M11" s="335">
        <v>6</v>
      </c>
      <c r="N11" s="335">
        <v>0</v>
      </c>
      <c r="O11" s="335">
        <v>0</v>
      </c>
      <c r="P11" s="335">
        <v>0</v>
      </c>
      <c r="Q11" s="335">
        <v>0</v>
      </c>
      <c r="R11" s="335">
        <v>12</v>
      </c>
      <c r="S11" s="335">
        <v>41</v>
      </c>
      <c r="T11" s="335">
        <v>0</v>
      </c>
      <c r="U11" s="335">
        <v>59</v>
      </c>
      <c r="V11" s="335">
        <v>56</v>
      </c>
      <c r="W11" s="335">
        <v>59</v>
      </c>
      <c r="X11" s="335">
        <v>56</v>
      </c>
      <c r="Y11" s="381">
        <f t="shared" si="0"/>
        <v>233408</v>
      </c>
      <c r="Z11" s="335">
        <v>0</v>
      </c>
      <c r="AA11" s="335">
        <v>0</v>
      </c>
      <c r="AB11" s="335">
        <v>0</v>
      </c>
      <c r="AF11" s="394"/>
      <c r="AH11" s="366"/>
    </row>
    <row r="12" spans="1:34" ht="14.25">
      <c r="A12" s="366" t="s">
        <v>661</v>
      </c>
      <c r="B12" s="196" t="s">
        <v>85</v>
      </c>
      <c r="C12" s="196" t="s">
        <v>86</v>
      </c>
      <c r="D12" s="335">
        <v>58</v>
      </c>
      <c r="E12" s="335">
        <v>0</v>
      </c>
      <c r="F12" s="335">
        <v>0</v>
      </c>
      <c r="G12" s="335">
        <v>0</v>
      </c>
      <c r="H12" s="335">
        <v>0</v>
      </c>
      <c r="I12" s="335">
        <v>61</v>
      </c>
      <c r="J12" s="335">
        <v>544</v>
      </c>
      <c r="K12" s="335">
        <v>310</v>
      </c>
      <c r="L12" s="335">
        <v>973</v>
      </c>
      <c r="M12" s="335">
        <v>5</v>
      </c>
      <c r="N12" s="335">
        <v>0</v>
      </c>
      <c r="O12" s="335">
        <v>0</v>
      </c>
      <c r="P12" s="335">
        <v>0</v>
      </c>
      <c r="Q12" s="335">
        <v>0</v>
      </c>
      <c r="R12" s="335">
        <v>4</v>
      </c>
      <c r="S12" s="335">
        <v>76</v>
      </c>
      <c r="T12" s="335">
        <v>63</v>
      </c>
      <c r="U12" s="335">
        <v>148</v>
      </c>
      <c r="V12" s="335">
        <v>145.5</v>
      </c>
      <c r="W12" s="335">
        <v>85</v>
      </c>
      <c r="X12" s="335">
        <v>82.5</v>
      </c>
      <c r="Y12" s="381">
        <f t="shared" si="0"/>
        <v>626793</v>
      </c>
      <c r="Z12" s="335">
        <v>0</v>
      </c>
      <c r="AA12" s="335">
        <v>0</v>
      </c>
      <c r="AB12" s="335">
        <v>0</v>
      </c>
      <c r="AF12" s="394"/>
      <c r="AH12" s="366"/>
    </row>
    <row r="13" spans="1:34" ht="14.25">
      <c r="A13" s="366" t="s">
        <v>662</v>
      </c>
      <c r="B13" s="196" t="s">
        <v>87</v>
      </c>
      <c r="C13" s="196" t="s">
        <v>86</v>
      </c>
      <c r="D13" s="335">
        <v>0</v>
      </c>
      <c r="E13" s="335">
        <v>0</v>
      </c>
      <c r="F13" s="335">
        <v>1</v>
      </c>
      <c r="G13" s="335">
        <v>0</v>
      </c>
      <c r="H13" s="335">
        <v>0</v>
      </c>
      <c r="I13" s="335">
        <v>23</v>
      </c>
      <c r="J13" s="335">
        <v>251</v>
      </c>
      <c r="K13" s="335">
        <v>132</v>
      </c>
      <c r="L13" s="335">
        <v>407</v>
      </c>
      <c r="M13" s="335">
        <v>0</v>
      </c>
      <c r="N13" s="335">
        <v>0</v>
      </c>
      <c r="O13" s="335">
        <v>1</v>
      </c>
      <c r="P13" s="335">
        <v>0</v>
      </c>
      <c r="Q13" s="335">
        <v>0</v>
      </c>
      <c r="R13" s="335">
        <v>11</v>
      </c>
      <c r="S13" s="335">
        <v>92</v>
      </c>
      <c r="T13" s="335">
        <v>41</v>
      </c>
      <c r="U13" s="335">
        <v>145</v>
      </c>
      <c r="V13" s="335">
        <v>144.5</v>
      </c>
      <c r="W13" s="335">
        <v>104</v>
      </c>
      <c r="X13" s="335">
        <v>103.5</v>
      </c>
      <c r="Y13" s="381">
        <f t="shared" si="0"/>
        <v>615519</v>
      </c>
      <c r="Z13" s="335">
        <v>0</v>
      </c>
      <c r="AA13" s="335">
        <v>0</v>
      </c>
      <c r="AB13" s="335">
        <v>0</v>
      </c>
      <c r="AF13" s="394"/>
      <c r="AH13" s="366"/>
    </row>
    <row r="14" spans="1:34" ht="28.5">
      <c r="A14" s="366" t="s">
        <v>663</v>
      </c>
      <c r="B14" s="196" t="s">
        <v>364</v>
      </c>
      <c r="C14" s="196" t="s">
        <v>86</v>
      </c>
      <c r="D14" s="335">
        <v>0</v>
      </c>
      <c r="E14" s="335">
        <v>8</v>
      </c>
      <c r="F14" s="335">
        <v>0</v>
      </c>
      <c r="G14" s="335">
        <v>0</v>
      </c>
      <c r="H14" s="335">
        <v>0</v>
      </c>
      <c r="I14" s="335">
        <v>12</v>
      </c>
      <c r="J14" s="335">
        <v>38</v>
      </c>
      <c r="K14" s="335">
        <v>0</v>
      </c>
      <c r="L14" s="335">
        <v>58</v>
      </c>
      <c r="M14" s="335">
        <v>0</v>
      </c>
      <c r="N14" s="335">
        <v>3</v>
      </c>
      <c r="O14" s="335">
        <v>0</v>
      </c>
      <c r="P14" s="335">
        <v>0</v>
      </c>
      <c r="Q14" s="335">
        <v>0</v>
      </c>
      <c r="R14" s="335">
        <v>6</v>
      </c>
      <c r="S14" s="335">
        <v>19</v>
      </c>
      <c r="T14" s="335">
        <v>0</v>
      </c>
      <c r="U14" s="335">
        <v>28</v>
      </c>
      <c r="V14" s="335">
        <v>26.8</v>
      </c>
      <c r="W14" s="335">
        <v>28</v>
      </c>
      <c r="X14" s="335">
        <v>26.8</v>
      </c>
      <c r="Y14" s="381">
        <f t="shared" si="0"/>
        <v>111702.40000000001</v>
      </c>
      <c r="Z14" s="335">
        <v>0</v>
      </c>
      <c r="AA14" s="335">
        <v>0</v>
      </c>
      <c r="AB14" s="335">
        <v>0</v>
      </c>
      <c r="AF14" s="394"/>
      <c r="AH14" s="366"/>
    </row>
    <row r="15" spans="1:34" ht="28.5">
      <c r="A15" s="366" t="s">
        <v>664</v>
      </c>
      <c r="B15" s="196" t="s">
        <v>193</v>
      </c>
      <c r="C15" s="196" t="s">
        <v>607</v>
      </c>
      <c r="D15" s="335">
        <v>12</v>
      </c>
      <c r="E15" s="335">
        <v>0</v>
      </c>
      <c r="F15" s="335">
        <v>0</v>
      </c>
      <c r="G15" s="335">
        <v>0</v>
      </c>
      <c r="H15" s="335">
        <v>0</v>
      </c>
      <c r="I15" s="335">
        <v>22</v>
      </c>
      <c r="J15" s="335">
        <v>236</v>
      </c>
      <c r="K15" s="335">
        <v>217</v>
      </c>
      <c r="L15" s="335">
        <v>487</v>
      </c>
      <c r="M15" s="335">
        <v>12</v>
      </c>
      <c r="N15" s="335">
        <v>0</v>
      </c>
      <c r="O15" s="335">
        <v>0</v>
      </c>
      <c r="P15" s="335">
        <v>0</v>
      </c>
      <c r="Q15" s="335">
        <v>0</v>
      </c>
      <c r="R15" s="335">
        <v>22</v>
      </c>
      <c r="S15" s="335">
        <v>236</v>
      </c>
      <c r="T15" s="335">
        <v>217</v>
      </c>
      <c r="U15" s="335">
        <v>487</v>
      </c>
      <c r="V15" s="335">
        <v>481</v>
      </c>
      <c r="W15" s="335">
        <v>270</v>
      </c>
      <c r="X15" s="335">
        <v>264</v>
      </c>
      <c r="Y15" s="381">
        <f t="shared" si="0"/>
        <v>2074899</v>
      </c>
      <c r="Z15" s="335">
        <v>0</v>
      </c>
      <c r="AA15" s="335">
        <v>0</v>
      </c>
      <c r="AB15" s="335">
        <v>0</v>
      </c>
      <c r="AF15" s="394"/>
      <c r="AH15" s="366"/>
    </row>
    <row r="16" spans="1:34" ht="28.5">
      <c r="A16" s="366" t="s">
        <v>665</v>
      </c>
      <c r="B16" s="196" t="s">
        <v>88</v>
      </c>
      <c r="C16" s="196" t="s">
        <v>607</v>
      </c>
      <c r="D16" s="335">
        <v>0</v>
      </c>
      <c r="E16" s="335">
        <v>34</v>
      </c>
      <c r="F16" s="335">
        <v>0</v>
      </c>
      <c r="G16" s="335">
        <v>0</v>
      </c>
      <c r="H16" s="335">
        <v>0</v>
      </c>
      <c r="I16" s="335">
        <v>59</v>
      </c>
      <c r="J16" s="335">
        <v>346</v>
      </c>
      <c r="K16" s="335">
        <v>0</v>
      </c>
      <c r="L16" s="335">
        <v>439</v>
      </c>
      <c r="M16" s="335">
        <v>0</v>
      </c>
      <c r="N16" s="335">
        <v>34</v>
      </c>
      <c r="O16" s="335">
        <v>0</v>
      </c>
      <c r="P16" s="335">
        <v>0</v>
      </c>
      <c r="Q16" s="335">
        <v>0</v>
      </c>
      <c r="R16" s="335">
        <v>56</v>
      </c>
      <c r="S16" s="335">
        <v>338</v>
      </c>
      <c r="T16" s="335">
        <v>0</v>
      </c>
      <c r="U16" s="335">
        <v>428</v>
      </c>
      <c r="V16" s="335">
        <v>414.4</v>
      </c>
      <c r="W16" s="335">
        <v>428</v>
      </c>
      <c r="X16" s="335">
        <v>414.4</v>
      </c>
      <c r="Y16" s="381">
        <f t="shared" si="0"/>
        <v>1727219.2</v>
      </c>
      <c r="Z16" s="335">
        <v>0</v>
      </c>
      <c r="AA16" s="335">
        <v>0</v>
      </c>
      <c r="AB16" s="335">
        <v>0</v>
      </c>
      <c r="AF16" s="394"/>
      <c r="AH16" s="366"/>
    </row>
    <row r="17" spans="1:34" ht="14.25">
      <c r="A17" s="366" t="s">
        <v>666</v>
      </c>
      <c r="B17" s="196" t="s">
        <v>88</v>
      </c>
      <c r="C17" s="196" t="s">
        <v>86</v>
      </c>
      <c r="D17" s="335">
        <v>0</v>
      </c>
      <c r="E17" s="335">
        <v>34</v>
      </c>
      <c r="F17" s="335">
        <v>0</v>
      </c>
      <c r="G17" s="335">
        <v>0</v>
      </c>
      <c r="H17" s="335">
        <v>0</v>
      </c>
      <c r="I17" s="335">
        <v>59</v>
      </c>
      <c r="J17" s="335">
        <v>346</v>
      </c>
      <c r="K17" s="335">
        <v>0</v>
      </c>
      <c r="L17" s="335">
        <v>439</v>
      </c>
      <c r="M17" s="335">
        <v>0</v>
      </c>
      <c r="N17" s="335">
        <v>0</v>
      </c>
      <c r="O17" s="335">
        <v>0</v>
      </c>
      <c r="P17" s="335">
        <v>0</v>
      </c>
      <c r="Q17" s="335">
        <v>0</v>
      </c>
      <c r="R17" s="335">
        <v>0</v>
      </c>
      <c r="S17" s="335">
        <v>3</v>
      </c>
      <c r="T17" s="335">
        <v>0</v>
      </c>
      <c r="U17" s="335">
        <v>3</v>
      </c>
      <c r="V17" s="335">
        <v>3</v>
      </c>
      <c r="W17" s="335">
        <v>3</v>
      </c>
      <c r="X17" s="335">
        <v>3</v>
      </c>
      <c r="Y17" s="381">
        <f t="shared" si="0"/>
        <v>12504</v>
      </c>
      <c r="Z17" s="335">
        <v>0</v>
      </c>
      <c r="AA17" s="335">
        <v>0</v>
      </c>
      <c r="AB17" s="335">
        <v>0</v>
      </c>
      <c r="AF17" s="394"/>
      <c r="AH17" s="366"/>
    </row>
    <row r="18" spans="1:34" ht="28.5">
      <c r="A18" s="366" t="s">
        <v>667</v>
      </c>
      <c r="B18" s="196" t="s">
        <v>466</v>
      </c>
      <c r="C18" s="196" t="s">
        <v>607</v>
      </c>
      <c r="D18" s="335">
        <v>0</v>
      </c>
      <c r="E18" s="335">
        <v>0</v>
      </c>
      <c r="F18" s="335">
        <v>0</v>
      </c>
      <c r="G18" s="335">
        <v>0</v>
      </c>
      <c r="H18" s="335">
        <v>0</v>
      </c>
      <c r="I18" s="335">
        <v>0</v>
      </c>
      <c r="J18" s="335">
        <v>0</v>
      </c>
      <c r="K18" s="335">
        <v>45</v>
      </c>
      <c r="L18" s="335">
        <v>45</v>
      </c>
      <c r="M18" s="335">
        <v>0</v>
      </c>
      <c r="N18" s="335">
        <v>0</v>
      </c>
      <c r="O18" s="335">
        <v>0</v>
      </c>
      <c r="P18" s="335">
        <v>0</v>
      </c>
      <c r="Q18" s="335">
        <v>0</v>
      </c>
      <c r="R18" s="335">
        <v>0</v>
      </c>
      <c r="S18" s="335">
        <v>0</v>
      </c>
      <c r="T18" s="335">
        <v>28</v>
      </c>
      <c r="U18" s="335">
        <v>28</v>
      </c>
      <c r="V18" s="335">
        <v>28</v>
      </c>
      <c r="W18" s="335">
        <v>0</v>
      </c>
      <c r="X18" s="335">
        <v>0</v>
      </c>
      <c r="Y18" s="381">
        <f t="shared" si="0"/>
        <v>125748</v>
      </c>
      <c r="Z18" s="335">
        <v>0</v>
      </c>
      <c r="AA18" s="335">
        <v>0</v>
      </c>
      <c r="AB18" s="335">
        <v>0</v>
      </c>
      <c r="AF18" s="394"/>
      <c r="AH18" s="366"/>
    </row>
    <row r="19" spans="1:34" ht="14.25">
      <c r="A19" s="366" t="s">
        <v>668</v>
      </c>
      <c r="B19" s="196" t="s">
        <v>466</v>
      </c>
      <c r="C19" s="196" t="s">
        <v>86</v>
      </c>
      <c r="D19" s="335">
        <v>0</v>
      </c>
      <c r="E19" s="335">
        <v>0</v>
      </c>
      <c r="F19" s="335">
        <v>0</v>
      </c>
      <c r="G19" s="335">
        <v>0</v>
      </c>
      <c r="H19" s="335">
        <v>0</v>
      </c>
      <c r="I19" s="335">
        <v>0</v>
      </c>
      <c r="J19" s="335">
        <v>0</v>
      </c>
      <c r="K19" s="335">
        <v>45</v>
      </c>
      <c r="L19" s="335">
        <v>45</v>
      </c>
      <c r="M19" s="335">
        <v>0</v>
      </c>
      <c r="N19" s="335">
        <v>0</v>
      </c>
      <c r="O19" s="335">
        <v>0</v>
      </c>
      <c r="P19" s="335">
        <v>0</v>
      </c>
      <c r="Q19" s="335">
        <v>0</v>
      </c>
      <c r="R19" s="335">
        <v>0</v>
      </c>
      <c r="S19" s="335">
        <v>0</v>
      </c>
      <c r="T19" s="335">
        <v>9</v>
      </c>
      <c r="U19" s="335">
        <v>9</v>
      </c>
      <c r="V19" s="335">
        <v>9</v>
      </c>
      <c r="W19" s="335">
        <v>0</v>
      </c>
      <c r="X19" s="335">
        <v>0</v>
      </c>
      <c r="Y19" s="381">
        <f t="shared" si="0"/>
        <v>40419</v>
      </c>
      <c r="Z19" s="335">
        <v>0</v>
      </c>
      <c r="AA19" s="335">
        <v>0</v>
      </c>
      <c r="AB19" s="335">
        <v>0</v>
      </c>
      <c r="AF19" s="394"/>
      <c r="AH19" s="366"/>
    </row>
    <row r="20" spans="1:34" ht="28.5">
      <c r="A20" s="366" t="s">
        <v>669</v>
      </c>
      <c r="B20" s="196" t="s">
        <v>287</v>
      </c>
      <c r="C20" s="196" t="s">
        <v>607</v>
      </c>
      <c r="D20" s="335">
        <v>7</v>
      </c>
      <c r="E20" s="335">
        <v>0</v>
      </c>
      <c r="F20" s="335">
        <v>0</v>
      </c>
      <c r="G20" s="335">
        <v>0</v>
      </c>
      <c r="H20" s="335">
        <v>0</v>
      </c>
      <c r="I20" s="335">
        <v>14</v>
      </c>
      <c r="J20" s="335">
        <v>87</v>
      </c>
      <c r="K20" s="335">
        <v>29</v>
      </c>
      <c r="L20" s="335">
        <v>137</v>
      </c>
      <c r="M20" s="335">
        <v>4</v>
      </c>
      <c r="N20" s="335">
        <v>0</v>
      </c>
      <c r="O20" s="335">
        <v>0</v>
      </c>
      <c r="P20" s="335">
        <v>0</v>
      </c>
      <c r="Q20" s="335">
        <v>0</v>
      </c>
      <c r="R20" s="335">
        <v>7</v>
      </c>
      <c r="S20" s="335">
        <v>30</v>
      </c>
      <c r="T20" s="335">
        <v>9</v>
      </c>
      <c r="U20" s="335">
        <v>50</v>
      </c>
      <c r="V20" s="335">
        <v>48</v>
      </c>
      <c r="W20" s="335">
        <v>41</v>
      </c>
      <c r="X20" s="335">
        <v>39</v>
      </c>
      <c r="Y20" s="381">
        <f t="shared" si="0"/>
        <v>202971</v>
      </c>
      <c r="Z20" s="335">
        <v>1</v>
      </c>
      <c r="AA20" s="335">
        <v>0</v>
      </c>
      <c r="AB20" s="335">
        <v>0</v>
      </c>
      <c r="AF20" s="394"/>
      <c r="AH20" s="366"/>
    </row>
    <row r="21" spans="1:34" ht="14.25">
      <c r="A21" s="366" t="s">
        <v>670</v>
      </c>
      <c r="B21" s="196" t="s">
        <v>287</v>
      </c>
      <c r="C21" s="196" t="s">
        <v>608</v>
      </c>
      <c r="D21" s="335">
        <v>7</v>
      </c>
      <c r="E21" s="335">
        <v>0</v>
      </c>
      <c r="F21" s="335">
        <v>0</v>
      </c>
      <c r="G21" s="335">
        <v>0</v>
      </c>
      <c r="H21" s="335">
        <v>0</v>
      </c>
      <c r="I21" s="335">
        <v>14</v>
      </c>
      <c r="J21" s="335">
        <v>87</v>
      </c>
      <c r="K21" s="335">
        <v>29</v>
      </c>
      <c r="L21" s="335">
        <v>137</v>
      </c>
      <c r="M21" s="335">
        <v>2</v>
      </c>
      <c r="N21" s="335">
        <v>0</v>
      </c>
      <c r="O21" s="335">
        <v>0</v>
      </c>
      <c r="P21" s="335">
        <v>0</v>
      </c>
      <c r="Q21" s="335">
        <v>0</v>
      </c>
      <c r="R21" s="335">
        <v>0</v>
      </c>
      <c r="S21" s="335">
        <v>4</v>
      </c>
      <c r="T21" s="335">
        <v>5</v>
      </c>
      <c r="U21" s="335">
        <v>11</v>
      </c>
      <c r="V21" s="335">
        <v>10</v>
      </c>
      <c r="W21" s="335">
        <v>6</v>
      </c>
      <c r="X21" s="335">
        <v>5</v>
      </c>
      <c r="Y21" s="381">
        <f t="shared" si="0"/>
        <v>43295</v>
      </c>
      <c r="Z21" s="335">
        <v>0</v>
      </c>
      <c r="AA21" s="335">
        <v>0</v>
      </c>
      <c r="AB21" s="335">
        <v>0</v>
      </c>
      <c r="AF21" s="394"/>
      <c r="AH21" s="366"/>
    </row>
    <row r="22" spans="1:34" ht="14.25">
      <c r="A22" s="366" t="s">
        <v>671</v>
      </c>
      <c r="B22" s="196" t="s">
        <v>287</v>
      </c>
      <c r="C22" s="196" t="s">
        <v>86</v>
      </c>
      <c r="D22" s="335">
        <v>7</v>
      </c>
      <c r="E22" s="335">
        <v>0</v>
      </c>
      <c r="F22" s="335">
        <v>0</v>
      </c>
      <c r="G22" s="335">
        <v>0</v>
      </c>
      <c r="H22" s="335">
        <v>0</v>
      </c>
      <c r="I22" s="335">
        <v>14</v>
      </c>
      <c r="J22" s="335">
        <v>87</v>
      </c>
      <c r="K22" s="335">
        <v>29</v>
      </c>
      <c r="L22" s="335">
        <v>137</v>
      </c>
      <c r="M22" s="335">
        <v>1</v>
      </c>
      <c r="N22" s="335">
        <v>0</v>
      </c>
      <c r="O22" s="335">
        <v>0</v>
      </c>
      <c r="P22" s="335">
        <v>0</v>
      </c>
      <c r="Q22" s="335">
        <v>0</v>
      </c>
      <c r="R22" s="335">
        <v>5</v>
      </c>
      <c r="S22" s="335">
        <v>11</v>
      </c>
      <c r="T22" s="335">
        <v>4</v>
      </c>
      <c r="U22" s="335">
        <v>21</v>
      </c>
      <c r="V22" s="335">
        <v>20.5</v>
      </c>
      <c r="W22" s="335">
        <v>17</v>
      </c>
      <c r="X22" s="335">
        <v>16.5</v>
      </c>
      <c r="Y22" s="381">
        <f t="shared" si="0"/>
        <v>86736</v>
      </c>
      <c r="Z22" s="335">
        <v>0</v>
      </c>
      <c r="AA22" s="335">
        <v>0</v>
      </c>
      <c r="AB22" s="335">
        <v>0</v>
      </c>
      <c r="AF22" s="394"/>
      <c r="AH22" s="366"/>
    </row>
    <row r="23" spans="1:34" ht="14.25">
      <c r="A23" s="366" t="s">
        <v>672</v>
      </c>
      <c r="B23" s="196" t="s">
        <v>262</v>
      </c>
      <c r="C23" s="196" t="s">
        <v>86</v>
      </c>
      <c r="D23" s="335">
        <v>23</v>
      </c>
      <c r="E23" s="335">
        <v>0</v>
      </c>
      <c r="F23" s="335">
        <v>4</v>
      </c>
      <c r="G23" s="335">
        <v>0</v>
      </c>
      <c r="H23" s="335">
        <v>0</v>
      </c>
      <c r="I23" s="335">
        <v>18</v>
      </c>
      <c r="J23" s="335">
        <v>169</v>
      </c>
      <c r="K23" s="335">
        <v>47</v>
      </c>
      <c r="L23" s="335">
        <v>261</v>
      </c>
      <c r="M23" s="335">
        <v>17</v>
      </c>
      <c r="N23" s="335">
        <v>0</v>
      </c>
      <c r="O23" s="335">
        <v>4</v>
      </c>
      <c r="P23" s="335">
        <v>0</v>
      </c>
      <c r="Q23" s="335">
        <v>0</v>
      </c>
      <c r="R23" s="335">
        <v>14</v>
      </c>
      <c r="S23" s="335">
        <v>120</v>
      </c>
      <c r="T23" s="335">
        <v>31</v>
      </c>
      <c r="U23" s="335">
        <v>186</v>
      </c>
      <c r="V23" s="335">
        <v>175.5</v>
      </c>
      <c r="W23" s="335">
        <v>155</v>
      </c>
      <c r="X23" s="335">
        <v>144.5</v>
      </c>
      <c r="Y23" s="381">
        <f t="shared" si="0"/>
        <v>741497</v>
      </c>
      <c r="Z23" s="335">
        <v>0</v>
      </c>
      <c r="AA23" s="335">
        <v>0</v>
      </c>
      <c r="AB23" s="335">
        <v>0</v>
      </c>
      <c r="AF23" s="394"/>
      <c r="AH23" s="366"/>
    </row>
    <row r="24" spans="1:34" ht="14.25">
      <c r="A24" s="366" t="s">
        <v>673</v>
      </c>
      <c r="B24" s="196" t="s">
        <v>263</v>
      </c>
      <c r="C24" s="196" t="s">
        <v>86</v>
      </c>
      <c r="D24" s="335">
        <v>8</v>
      </c>
      <c r="E24" s="335">
        <v>0</v>
      </c>
      <c r="F24" s="335">
        <v>0</v>
      </c>
      <c r="G24" s="335">
        <v>0</v>
      </c>
      <c r="H24" s="335">
        <v>0</v>
      </c>
      <c r="I24" s="335">
        <v>11</v>
      </c>
      <c r="J24" s="335">
        <v>72</v>
      </c>
      <c r="K24" s="335">
        <v>0</v>
      </c>
      <c r="L24" s="335">
        <v>91</v>
      </c>
      <c r="M24" s="335">
        <v>2</v>
      </c>
      <c r="N24" s="335">
        <v>0</v>
      </c>
      <c r="O24" s="335">
        <v>0</v>
      </c>
      <c r="P24" s="335">
        <v>0</v>
      </c>
      <c r="Q24" s="335">
        <v>0</v>
      </c>
      <c r="R24" s="335">
        <v>3</v>
      </c>
      <c r="S24" s="335">
        <v>21</v>
      </c>
      <c r="T24" s="335">
        <v>0</v>
      </c>
      <c r="U24" s="335">
        <v>26</v>
      </c>
      <c r="V24" s="335">
        <v>25</v>
      </c>
      <c r="W24" s="335">
        <v>26</v>
      </c>
      <c r="X24" s="335">
        <v>25</v>
      </c>
      <c r="Y24" s="381">
        <f t="shared" si="0"/>
        <v>104200</v>
      </c>
      <c r="Z24" s="335">
        <v>0</v>
      </c>
      <c r="AA24" s="335">
        <v>0</v>
      </c>
      <c r="AB24" s="335">
        <v>0</v>
      </c>
      <c r="AF24" s="394"/>
      <c r="AH24" s="366"/>
    </row>
    <row r="25" spans="1:34" ht="28.5">
      <c r="A25" s="366" t="s">
        <v>674</v>
      </c>
      <c r="B25" s="196" t="s">
        <v>89</v>
      </c>
      <c r="C25" s="196" t="s">
        <v>607</v>
      </c>
      <c r="D25" s="335">
        <v>0</v>
      </c>
      <c r="E25" s="335">
        <v>12</v>
      </c>
      <c r="F25" s="335">
        <v>0</v>
      </c>
      <c r="G25" s="335">
        <v>0</v>
      </c>
      <c r="H25" s="335">
        <v>0</v>
      </c>
      <c r="I25" s="335">
        <v>9</v>
      </c>
      <c r="J25" s="335">
        <v>121</v>
      </c>
      <c r="K25" s="335">
        <v>24</v>
      </c>
      <c r="L25" s="335">
        <v>166</v>
      </c>
      <c r="M25" s="335">
        <v>0</v>
      </c>
      <c r="N25" s="335">
        <v>12</v>
      </c>
      <c r="O25" s="335">
        <v>0</v>
      </c>
      <c r="P25" s="335">
        <v>0</v>
      </c>
      <c r="Q25" s="335">
        <v>0</v>
      </c>
      <c r="R25" s="335">
        <v>9</v>
      </c>
      <c r="S25" s="335">
        <v>121</v>
      </c>
      <c r="T25" s="335">
        <v>23</v>
      </c>
      <c r="U25" s="335">
        <v>165</v>
      </c>
      <c r="V25" s="335">
        <v>160.2</v>
      </c>
      <c r="W25" s="335">
        <v>142</v>
      </c>
      <c r="X25" s="335">
        <v>137.2</v>
      </c>
      <c r="Y25" s="381">
        <f t="shared" si="0"/>
        <v>675142.6</v>
      </c>
      <c r="Z25" s="335">
        <v>5</v>
      </c>
      <c r="AA25" s="335">
        <v>0</v>
      </c>
      <c r="AB25" s="335">
        <v>0</v>
      </c>
      <c r="AF25" s="394"/>
      <c r="AH25" s="366"/>
    </row>
    <row r="26" spans="1:34" ht="14.25">
      <c r="A26" s="366" t="s">
        <v>675</v>
      </c>
      <c r="B26" s="196" t="s">
        <v>616</v>
      </c>
      <c r="C26" s="196" t="s">
        <v>86</v>
      </c>
      <c r="D26" s="335">
        <v>10</v>
      </c>
      <c r="E26" s="335">
        <v>0</v>
      </c>
      <c r="F26" s="335">
        <v>0</v>
      </c>
      <c r="G26" s="335">
        <v>0</v>
      </c>
      <c r="H26" s="335">
        <v>0</v>
      </c>
      <c r="I26" s="335">
        <v>4</v>
      </c>
      <c r="J26" s="335">
        <v>32</v>
      </c>
      <c r="K26" s="335">
        <v>0</v>
      </c>
      <c r="L26" s="335">
        <v>46</v>
      </c>
      <c r="M26" s="335">
        <v>5</v>
      </c>
      <c r="N26" s="335">
        <v>0</v>
      </c>
      <c r="O26" s="335">
        <v>0</v>
      </c>
      <c r="P26" s="335">
        <v>0</v>
      </c>
      <c r="Q26" s="335">
        <v>0</v>
      </c>
      <c r="R26" s="335">
        <v>1</v>
      </c>
      <c r="S26" s="335">
        <v>15</v>
      </c>
      <c r="T26" s="335">
        <v>0</v>
      </c>
      <c r="U26" s="335">
        <v>21</v>
      </c>
      <c r="V26" s="335">
        <v>18.5</v>
      </c>
      <c r="W26" s="335">
        <v>21</v>
      </c>
      <c r="X26" s="335">
        <v>18.5</v>
      </c>
      <c r="Y26" s="381">
        <f t="shared" si="0"/>
        <v>77108</v>
      </c>
      <c r="Z26" s="335">
        <v>0</v>
      </c>
      <c r="AA26" s="335">
        <v>0</v>
      </c>
      <c r="AB26" s="335">
        <v>0</v>
      </c>
      <c r="AF26" s="394"/>
      <c r="AH26" s="366"/>
    </row>
    <row r="27" spans="1:34" ht="28.5">
      <c r="A27" s="366" t="s">
        <v>676</v>
      </c>
      <c r="B27" s="196" t="s">
        <v>498</v>
      </c>
      <c r="C27" s="196" t="s">
        <v>86</v>
      </c>
      <c r="D27" s="335">
        <v>8</v>
      </c>
      <c r="E27" s="335">
        <v>0</v>
      </c>
      <c r="F27" s="335">
        <v>0</v>
      </c>
      <c r="G27" s="335">
        <v>0</v>
      </c>
      <c r="H27" s="335">
        <v>0</v>
      </c>
      <c r="I27" s="335">
        <v>18</v>
      </c>
      <c r="J27" s="335">
        <v>140</v>
      </c>
      <c r="K27" s="335">
        <v>0</v>
      </c>
      <c r="L27" s="335">
        <v>166</v>
      </c>
      <c r="M27" s="335">
        <v>4</v>
      </c>
      <c r="N27" s="335">
        <v>0</v>
      </c>
      <c r="O27" s="335">
        <v>0</v>
      </c>
      <c r="P27" s="335">
        <v>0</v>
      </c>
      <c r="Q27" s="335">
        <v>0</v>
      </c>
      <c r="R27" s="335">
        <v>10</v>
      </c>
      <c r="S27" s="335">
        <v>56</v>
      </c>
      <c r="T27" s="335">
        <v>0</v>
      </c>
      <c r="U27" s="335">
        <v>70</v>
      </c>
      <c r="V27" s="335">
        <v>68</v>
      </c>
      <c r="W27" s="335">
        <v>70</v>
      </c>
      <c r="X27" s="335">
        <v>68</v>
      </c>
      <c r="Y27" s="381">
        <f t="shared" si="0"/>
        <v>283424</v>
      </c>
      <c r="Z27" s="335">
        <v>0</v>
      </c>
      <c r="AA27" s="335">
        <v>0</v>
      </c>
      <c r="AB27" s="335">
        <v>0</v>
      </c>
      <c r="AF27" s="394"/>
      <c r="AH27" s="366"/>
    </row>
    <row r="28" spans="1:34" ht="28.5">
      <c r="A28" s="366" t="s">
        <v>677</v>
      </c>
      <c r="B28" s="196" t="s">
        <v>194</v>
      </c>
      <c r="C28" s="196" t="s">
        <v>607</v>
      </c>
      <c r="D28" s="335">
        <v>0</v>
      </c>
      <c r="E28" s="335">
        <v>14</v>
      </c>
      <c r="F28" s="335">
        <v>0</v>
      </c>
      <c r="G28" s="335">
        <v>0</v>
      </c>
      <c r="H28" s="335">
        <v>0</v>
      </c>
      <c r="I28" s="335">
        <v>18</v>
      </c>
      <c r="J28" s="335">
        <v>145</v>
      </c>
      <c r="K28" s="335">
        <v>0</v>
      </c>
      <c r="L28" s="335">
        <v>177</v>
      </c>
      <c r="M28" s="335">
        <v>0</v>
      </c>
      <c r="N28" s="335">
        <v>12</v>
      </c>
      <c r="O28" s="335">
        <v>0</v>
      </c>
      <c r="P28" s="335">
        <v>0</v>
      </c>
      <c r="Q28" s="335">
        <v>0</v>
      </c>
      <c r="R28" s="335">
        <v>16</v>
      </c>
      <c r="S28" s="335">
        <v>142</v>
      </c>
      <c r="T28" s="335">
        <v>0</v>
      </c>
      <c r="U28" s="335">
        <v>170</v>
      </c>
      <c r="V28" s="335">
        <v>165.2</v>
      </c>
      <c r="W28" s="335">
        <v>170</v>
      </c>
      <c r="X28" s="335">
        <v>165.2</v>
      </c>
      <c r="Y28" s="381">
        <f t="shared" si="0"/>
        <v>688553.6</v>
      </c>
      <c r="Z28" s="335">
        <v>0</v>
      </c>
      <c r="AA28" s="335">
        <v>0</v>
      </c>
      <c r="AB28" s="335">
        <v>0</v>
      </c>
      <c r="AF28" s="394"/>
      <c r="AH28" s="366"/>
    </row>
    <row r="29" spans="1:34" ht="14.25">
      <c r="A29" s="366" t="s">
        <v>678</v>
      </c>
      <c r="B29" s="196" t="s">
        <v>194</v>
      </c>
      <c r="C29" s="196" t="s">
        <v>86</v>
      </c>
      <c r="D29" s="335">
        <v>0</v>
      </c>
      <c r="E29" s="335">
        <v>14</v>
      </c>
      <c r="F29" s="335">
        <v>0</v>
      </c>
      <c r="G29" s="335">
        <v>0</v>
      </c>
      <c r="H29" s="335">
        <v>0</v>
      </c>
      <c r="I29" s="335">
        <v>18</v>
      </c>
      <c r="J29" s="335">
        <v>145</v>
      </c>
      <c r="K29" s="335">
        <v>0</v>
      </c>
      <c r="L29" s="335">
        <v>177</v>
      </c>
      <c r="M29" s="335">
        <v>0</v>
      </c>
      <c r="N29" s="335">
        <v>0</v>
      </c>
      <c r="O29" s="335">
        <v>0</v>
      </c>
      <c r="P29" s="335">
        <v>0</v>
      </c>
      <c r="Q29" s="335">
        <v>0</v>
      </c>
      <c r="R29" s="335">
        <v>0</v>
      </c>
      <c r="S29" s="335">
        <v>1</v>
      </c>
      <c r="T29" s="335">
        <v>0</v>
      </c>
      <c r="U29" s="335">
        <v>1</v>
      </c>
      <c r="V29" s="335">
        <v>1</v>
      </c>
      <c r="W29" s="335">
        <v>1</v>
      </c>
      <c r="X29" s="335">
        <v>1</v>
      </c>
      <c r="Y29" s="381">
        <f t="shared" si="0"/>
        <v>4168</v>
      </c>
      <c r="Z29" s="335">
        <v>0</v>
      </c>
      <c r="AA29" s="335">
        <v>0</v>
      </c>
      <c r="AB29" s="335">
        <v>0</v>
      </c>
      <c r="AF29" s="394"/>
      <c r="AH29" s="366"/>
    </row>
    <row r="30" spans="1:34" ht="28.5">
      <c r="A30" s="366" t="s">
        <v>679</v>
      </c>
      <c r="B30" s="196" t="s">
        <v>90</v>
      </c>
      <c r="C30" s="196" t="s">
        <v>607</v>
      </c>
      <c r="D30" s="335">
        <v>31</v>
      </c>
      <c r="E30" s="335">
        <v>0</v>
      </c>
      <c r="F30" s="335">
        <v>0</v>
      </c>
      <c r="G30" s="335">
        <v>0</v>
      </c>
      <c r="H30" s="335">
        <v>0</v>
      </c>
      <c r="I30" s="335">
        <v>49</v>
      </c>
      <c r="J30" s="335">
        <v>341</v>
      </c>
      <c r="K30" s="335">
        <v>0</v>
      </c>
      <c r="L30" s="335">
        <v>421</v>
      </c>
      <c r="M30" s="335">
        <v>31</v>
      </c>
      <c r="N30" s="335">
        <v>0</v>
      </c>
      <c r="O30" s="335">
        <v>0</v>
      </c>
      <c r="P30" s="335">
        <v>0</v>
      </c>
      <c r="Q30" s="335">
        <v>0</v>
      </c>
      <c r="R30" s="335">
        <v>47</v>
      </c>
      <c r="S30" s="335">
        <v>335</v>
      </c>
      <c r="T30" s="335">
        <v>0</v>
      </c>
      <c r="U30" s="335">
        <v>413</v>
      </c>
      <c r="V30" s="335">
        <v>397.5</v>
      </c>
      <c r="W30" s="335">
        <v>413</v>
      </c>
      <c r="X30" s="335">
        <v>397.5</v>
      </c>
      <c r="Y30" s="381">
        <f t="shared" si="0"/>
        <v>1656780</v>
      </c>
      <c r="Z30" s="335">
        <v>0</v>
      </c>
      <c r="AA30" s="335">
        <v>0</v>
      </c>
      <c r="AB30" s="335">
        <v>0</v>
      </c>
      <c r="AF30" s="394"/>
      <c r="AH30" s="366"/>
    </row>
    <row r="31" spans="1:34" ht="14.25">
      <c r="A31" s="366" t="s">
        <v>680</v>
      </c>
      <c r="B31" s="196" t="s">
        <v>90</v>
      </c>
      <c r="C31" s="196" t="s">
        <v>86</v>
      </c>
      <c r="D31" s="335">
        <v>31</v>
      </c>
      <c r="E31" s="335">
        <v>0</v>
      </c>
      <c r="F31" s="335">
        <v>0</v>
      </c>
      <c r="G31" s="335">
        <v>0</v>
      </c>
      <c r="H31" s="335">
        <v>0</v>
      </c>
      <c r="I31" s="335">
        <v>49</v>
      </c>
      <c r="J31" s="335">
        <v>341</v>
      </c>
      <c r="K31" s="335">
        <v>0</v>
      </c>
      <c r="L31" s="335">
        <v>421</v>
      </c>
      <c r="M31" s="335">
        <v>0</v>
      </c>
      <c r="N31" s="335">
        <v>0</v>
      </c>
      <c r="O31" s="335">
        <v>0</v>
      </c>
      <c r="P31" s="335">
        <v>0</v>
      </c>
      <c r="Q31" s="335">
        <v>0</v>
      </c>
      <c r="R31" s="335">
        <v>1</v>
      </c>
      <c r="S31" s="335">
        <v>2</v>
      </c>
      <c r="T31" s="335">
        <v>0</v>
      </c>
      <c r="U31" s="335">
        <v>3</v>
      </c>
      <c r="V31" s="335">
        <v>3</v>
      </c>
      <c r="W31" s="335">
        <v>3</v>
      </c>
      <c r="X31" s="335">
        <v>3</v>
      </c>
      <c r="Y31" s="381">
        <f t="shared" si="0"/>
        <v>12504</v>
      </c>
      <c r="Z31" s="335">
        <v>0</v>
      </c>
      <c r="AA31" s="335">
        <v>0</v>
      </c>
      <c r="AB31" s="335">
        <v>0</v>
      </c>
      <c r="AF31" s="394"/>
      <c r="AH31" s="366"/>
    </row>
    <row r="32" spans="1:34" ht="14.25">
      <c r="A32" s="366" t="s">
        <v>681</v>
      </c>
      <c r="B32" s="196" t="s">
        <v>440</v>
      </c>
      <c r="C32" s="196" t="s">
        <v>86</v>
      </c>
      <c r="D32" s="335">
        <v>44</v>
      </c>
      <c r="E32" s="335">
        <v>0</v>
      </c>
      <c r="F32" s="335">
        <v>0</v>
      </c>
      <c r="G32" s="335">
        <v>0</v>
      </c>
      <c r="H32" s="335">
        <v>0</v>
      </c>
      <c r="I32" s="335">
        <v>32</v>
      </c>
      <c r="J32" s="335">
        <v>323</v>
      </c>
      <c r="K32" s="335">
        <v>0</v>
      </c>
      <c r="L32" s="335">
        <v>399</v>
      </c>
      <c r="M32" s="335">
        <v>6</v>
      </c>
      <c r="N32" s="335">
        <v>0</v>
      </c>
      <c r="O32" s="335">
        <v>0</v>
      </c>
      <c r="P32" s="335">
        <v>0</v>
      </c>
      <c r="Q32" s="335">
        <v>0</v>
      </c>
      <c r="R32" s="335">
        <v>7</v>
      </c>
      <c r="S32" s="335">
        <v>50</v>
      </c>
      <c r="T32" s="335">
        <v>0</v>
      </c>
      <c r="U32" s="335">
        <v>63</v>
      </c>
      <c r="V32" s="335">
        <v>60</v>
      </c>
      <c r="W32" s="335">
        <v>63</v>
      </c>
      <c r="X32" s="335">
        <v>60</v>
      </c>
      <c r="Y32" s="381">
        <f t="shared" si="0"/>
        <v>250080</v>
      </c>
      <c r="Z32" s="335">
        <v>0</v>
      </c>
      <c r="AA32" s="335">
        <v>0</v>
      </c>
      <c r="AB32" s="335">
        <v>0</v>
      </c>
      <c r="AF32" s="394"/>
      <c r="AH32" s="366"/>
    </row>
    <row r="33" spans="1:34" ht="28.5">
      <c r="A33" s="366" t="s">
        <v>682</v>
      </c>
      <c r="B33" s="196" t="s">
        <v>150</v>
      </c>
      <c r="C33" s="196" t="s">
        <v>607</v>
      </c>
      <c r="D33" s="335">
        <v>0</v>
      </c>
      <c r="E33" s="335">
        <v>0</v>
      </c>
      <c r="F33" s="335">
        <v>0</v>
      </c>
      <c r="G33" s="335">
        <v>0</v>
      </c>
      <c r="H33" s="335">
        <v>0</v>
      </c>
      <c r="I33" s="335">
        <v>0</v>
      </c>
      <c r="J33" s="335">
        <v>0</v>
      </c>
      <c r="K33" s="335">
        <v>26</v>
      </c>
      <c r="L33" s="335">
        <v>26</v>
      </c>
      <c r="M33" s="335">
        <v>0</v>
      </c>
      <c r="N33" s="335">
        <v>0</v>
      </c>
      <c r="O33" s="335">
        <v>0</v>
      </c>
      <c r="P33" s="335">
        <v>0</v>
      </c>
      <c r="Q33" s="335">
        <v>0</v>
      </c>
      <c r="R33" s="335">
        <v>0</v>
      </c>
      <c r="S33" s="335">
        <v>0</v>
      </c>
      <c r="T33" s="335">
        <v>18</v>
      </c>
      <c r="U33" s="335">
        <v>18</v>
      </c>
      <c r="V33" s="335">
        <v>18</v>
      </c>
      <c r="W33" s="335">
        <v>0</v>
      </c>
      <c r="X33" s="335">
        <v>0</v>
      </c>
      <c r="Y33" s="381">
        <f t="shared" si="0"/>
        <v>80838</v>
      </c>
      <c r="Z33" s="335">
        <v>0</v>
      </c>
      <c r="AA33" s="335">
        <v>0</v>
      </c>
      <c r="AB33" s="335">
        <v>0</v>
      </c>
      <c r="AF33" s="394"/>
      <c r="AH33" s="366"/>
    </row>
    <row r="34" spans="1:34" ht="14.25">
      <c r="A34" s="366" t="s">
        <v>683</v>
      </c>
      <c r="B34" s="196" t="s">
        <v>150</v>
      </c>
      <c r="C34" s="196" t="s">
        <v>608</v>
      </c>
      <c r="D34" s="335">
        <v>0</v>
      </c>
      <c r="E34" s="335">
        <v>0</v>
      </c>
      <c r="F34" s="335">
        <v>0</v>
      </c>
      <c r="G34" s="335">
        <v>0</v>
      </c>
      <c r="H34" s="335">
        <v>0</v>
      </c>
      <c r="I34" s="335">
        <v>0</v>
      </c>
      <c r="J34" s="335">
        <v>0</v>
      </c>
      <c r="K34" s="335">
        <v>26</v>
      </c>
      <c r="L34" s="335">
        <v>26</v>
      </c>
      <c r="M34" s="335">
        <v>0</v>
      </c>
      <c r="N34" s="335">
        <v>0</v>
      </c>
      <c r="O34" s="335">
        <v>0</v>
      </c>
      <c r="P34" s="335">
        <v>0</v>
      </c>
      <c r="Q34" s="335">
        <v>0</v>
      </c>
      <c r="R34" s="335">
        <v>0</v>
      </c>
      <c r="S34" s="335">
        <v>0</v>
      </c>
      <c r="T34" s="335">
        <v>8</v>
      </c>
      <c r="U34" s="335">
        <v>8</v>
      </c>
      <c r="V34" s="335">
        <v>8</v>
      </c>
      <c r="W34" s="335">
        <v>0</v>
      </c>
      <c r="X34" s="335">
        <v>0</v>
      </c>
      <c r="Y34" s="381">
        <f t="shared" si="0"/>
        <v>35928</v>
      </c>
      <c r="Z34" s="335">
        <v>0</v>
      </c>
      <c r="AA34" s="335">
        <v>0</v>
      </c>
      <c r="AB34" s="335">
        <v>0</v>
      </c>
      <c r="AF34" s="394"/>
      <c r="AH34" s="366"/>
    </row>
    <row r="35" spans="1:34" ht="14.25">
      <c r="A35" s="366" t="s">
        <v>684</v>
      </c>
      <c r="B35" s="196" t="s">
        <v>288</v>
      </c>
      <c r="C35" s="196" t="s">
        <v>86</v>
      </c>
      <c r="D35" s="335">
        <v>15</v>
      </c>
      <c r="E35" s="335">
        <v>0</v>
      </c>
      <c r="F35" s="335">
        <v>0</v>
      </c>
      <c r="G35" s="335">
        <v>0</v>
      </c>
      <c r="H35" s="335">
        <v>0</v>
      </c>
      <c r="I35" s="335">
        <v>15</v>
      </c>
      <c r="J35" s="335">
        <v>124</v>
      </c>
      <c r="K35" s="335">
        <v>0</v>
      </c>
      <c r="L35" s="335">
        <v>154</v>
      </c>
      <c r="M35" s="335">
        <v>6</v>
      </c>
      <c r="N35" s="335">
        <v>0</v>
      </c>
      <c r="O35" s="335">
        <v>0</v>
      </c>
      <c r="P35" s="335">
        <v>0</v>
      </c>
      <c r="Q35" s="335">
        <v>0</v>
      </c>
      <c r="R35" s="335">
        <v>11</v>
      </c>
      <c r="S35" s="335">
        <v>67</v>
      </c>
      <c r="T35" s="335">
        <v>0</v>
      </c>
      <c r="U35" s="335">
        <v>84</v>
      </c>
      <c r="V35" s="335">
        <v>81</v>
      </c>
      <c r="W35" s="335">
        <v>84</v>
      </c>
      <c r="X35" s="335">
        <v>81</v>
      </c>
      <c r="Y35" s="381">
        <f t="shared" si="0"/>
        <v>337608</v>
      </c>
      <c r="Z35" s="335">
        <v>0</v>
      </c>
      <c r="AA35" s="335">
        <v>0</v>
      </c>
      <c r="AB35" s="335">
        <v>0</v>
      </c>
      <c r="AF35" s="394"/>
      <c r="AH35" s="366"/>
    </row>
    <row r="36" spans="1:34" ht="28.5">
      <c r="A36" s="366" t="s">
        <v>685</v>
      </c>
      <c r="B36" s="196" t="s">
        <v>195</v>
      </c>
      <c r="C36" s="196" t="s">
        <v>607</v>
      </c>
      <c r="D36" s="335">
        <v>17</v>
      </c>
      <c r="E36" s="335">
        <v>0</v>
      </c>
      <c r="F36" s="335">
        <v>0</v>
      </c>
      <c r="G36" s="335">
        <v>0</v>
      </c>
      <c r="H36" s="335">
        <v>0</v>
      </c>
      <c r="I36" s="335">
        <v>26</v>
      </c>
      <c r="J36" s="335">
        <v>182</v>
      </c>
      <c r="K36" s="335">
        <v>75</v>
      </c>
      <c r="L36" s="335">
        <v>300</v>
      </c>
      <c r="M36" s="335">
        <v>16</v>
      </c>
      <c r="N36" s="335">
        <v>0</v>
      </c>
      <c r="O36" s="335">
        <v>0</v>
      </c>
      <c r="P36" s="335">
        <v>0</v>
      </c>
      <c r="Q36" s="335">
        <v>0</v>
      </c>
      <c r="R36" s="335">
        <v>26</v>
      </c>
      <c r="S36" s="335">
        <v>173</v>
      </c>
      <c r="T36" s="335">
        <v>65</v>
      </c>
      <c r="U36" s="335">
        <v>280</v>
      </c>
      <c r="V36" s="335">
        <v>272</v>
      </c>
      <c r="W36" s="335">
        <v>215</v>
      </c>
      <c r="X36" s="335">
        <v>207</v>
      </c>
      <c r="Y36" s="381">
        <f t="shared" si="0"/>
        <v>1154691</v>
      </c>
      <c r="Z36" s="335">
        <v>0</v>
      </c>
      <c r="AA36" s="335">
        <v>0</v>
      </c>
      <c r="AB36" s="335">
        <v>0</v>
      </c>
      <c r="AF36" s="394"/>
      <c r="AH36" s="366"/>
    </row>
    <row r="37" spans="1:34" ht="28.5">
      <c r="A37" s="366" t="s">
        <v>686</v>
      </c>
      <c r="B37" s="196" t="s">
        <v>365</v>
      </c>
      <c r="C37" s="196" t="s">
        <v>608</v>
      </c>
      <c r="D37" s="335">
        <v>0</v>
      </c>
      <c r="E37" s="335">
        <v>0</v>
      </c>
      <c r="F37" s="335">
        <v>0</v>
      </c>
      <c r="G37" s="335">
        <v>0</v>
      </c>
      <c r="H37" s="335">
        <v>0</v>
      </c>
      <c r="I37" s="335">
        <v>0</v>
      </c>
      <c r="J37" s="335">
        <v>0</v>
      </c>
      <c r="K37" s="335">
        <v>132</v>
      </c>
      <c r="L37" s="335">
        <v>132</v>
      </c>
      <c r="M37" s="335">
        <v>0</v>
      </c>
      <c r="N37" s="335">
        <v>0</v>
      </c>
      <c r="O37" s="335">
        <v>0</v>
      </c>
      <c r="P37" s="335">
        <v>0</v>
      </c>
      <c r="Q37" s="335">
        <v>0</v>
      </c>
      <c r="R37" s="335">
        <v>0</v>
      </c>
      <c r="S37" s="335">
        <v>0</v>
      </c>
      <c r="T37" s="335">
        <v>1</v>
      </c>
      <c r="U37" s="335">
        <v>1</v>
      </c>
      <c r="V37" s="335">
        <v>1</v>
      </c>
      <c r="W37" s="335">
        <v>0</v>
      </c>
      <c r="X37" s="335">
        <v>0</v>
      </c>
      <c r="Y37" s="381">
        <f t="shared" si="0"/>
        <v>4491</v>
      </c>
      <c r="Z37" s="335">
        <v>0</v>
      </c>
      <c r="AA37" s="335">
        <v>0</v>
      </c>
      <c r="AB37" s="335">
        <v>0</v>
      </c>
      <c r="AF37" s="394"/>
      <c r="AH37" s="366"/>
    </row>
    <row r="38" spans="1:34" ht="28.5">
      <c r="A38" s="366" t="s">
        <v>687</v>
      </c>
      <c r="B38" s="196" t="s">
        <v>365</v>
      </c>
      <c r="C38" s="196" t="s">
        <v>86</v>
      </c>
      <c r="D38" s="335">
        <v>0</v>
      </c>
      <c r="E38" s="335">
        <v>0</v>
      </c>
      <c r="F38" s="335">
        <v>0</v>
      </c>
      <c r="G38" s="335">
        <v>0</v>
      </c>
      <c r="H38" s="335">
        <v>0</v>
      </c>
      <c r="I38" s="335">
        <v>0</v>
      </c>
      <c r="J38" s="335">
        <v>0</v>
      </c>
      <c r="K38" s="335">
        <v>132</v>
      </c>
      <c r="L38" s="335">
        <v>132</v>
      </c>
      <c r="M38" s="335">
        <v>0</v>
      </c>
      <c r="N38" s="335">
        <v>0</v>
      </c>
      <c r="O38" s="335">
        <v>0</v>
      </c>
      <c r="P38" s="335">
        <v>0</v>
      </c>
      <c r="Q38" s="335">
        <v>0</v>
      </c>
      <c r="R38" s="335">
        <v>0</v>
      </c>
      <c r="S38" s="335">
        <v>0</v>
      </c>
      <c r="T38" s="335">
        <v>34</v>
      </c>
      <c r="U38" s="335">
        <v>34</v>
      </c>
      <c r="V38" s="335">
        <v>34</v>
      </c>
      <c r="W38" s="335">
        <v>0</v>
      </c>
      <c r="X38" s="335">
        <v>0</v>
      </c>
      <c r="Y38" s="381">
        <f t="shared" si="0"/>
        <v>152694</v>
      </c>
      <c r="Z38" s="335">
        <v>0</v>
      </c>
      <c r="AA38" s="335">
        <v>0</v>
      </c>
      <c r="AB38" s="335">
        <v>0</v>
      </c>
      <c r="AF38" s="394"/>
      <c r="AH38" s="366"/>
    </row>
    <row r="39" spans="1:34" ht="28.5">
      <c r="A39" s="366" t="s">
        <v>688</v>
      </c>
      <c r="B39" s="196" t="s">
        <v>91</v>
      </c>
      <c r="C39" s="196" t="s">
        <v>607</v>
      </c>
      <c r="D39" s="335">
        <v>0</v>
      </c>
      <c r="E39" s="335">
        <v>20</v>
      </c>
      <c r="F39" s="335">
        <v>0</v>
      </c>
      <c r="G39" s="335">
        <v>0</v>
      </c>
      <c r="H39" s="335">
        <v>0</v>
      </c>
      <c r="I39" s="335">
        <v>24</v>
      </c>
      <c r="J39" s="335">
        <v>187</v>
      </c>
      <c r="K39" s="335">
        <v>0</v>
      </c>
      <c r="L39" s="335">
        <v>231</v>
      </c>
      <c r="M39" s="335">
        <v>0</v>
      </c>
      <c r="N39" s="335">
        <v>13</v>
      </c>
      <c r="O39" s="335">
        <v>0</v>
      </c>
      <c r="P39" s="335">
        <v>0</v>
      </c>
      <c r="Q39" s="335">
        <v>0</v>
      </c>
      <c r="R39" s="335">
        <v>19</v>
      </c>
      <c r="S39" s="335">
        <v>150</v>
      </c>
      <c r="T39" s="335">
        <v>0</v>
      </c>
      <c r="U39" s="335">
        <v>182</v>
      </c>
      <c r="V39" s="335">
        <v>176.8</v>
      </c>
      <c r="W39" s="335">
        <v>182</v>
      </c>
      <c r="X39" s="335">
        <v>176.8</v>
      </c>
      <c r="Y39" s="381">
        <f t="shared" si="0"/>
        <v>736902.4</v>
      </c>
      <c r="Z39" s="335">
        <v>0</v>
      </c>
      <c r="AA39" s="335">
        <v>0</v>
      </c>
      <c r="AB39" s="335">
        <v>0</v>
      </c>
      <c r="AF39" s="394"/>
      <c r="AH39" s="366"/>
    </row>
    <row r="40" spans="1:34" ht="14.25">
      <c r="A40" s="366" t="s">
        <v>689</v>
      </c>
      <c r="B40" s="196" t="s">
        <v>91</v>
      </c>
      <c r="C40" s="196" t="s">
        <v>86</v>
      </c>
      <c r="D40" s="335">
        <v>0</v>
      </c>
      <c r="E40" s="335">
        <v>20</v>
      </c>
      <c r="F40" s="335">
        <v>0</v>
      </c>
      <c r="G40" s="335">
        <v>0</v>
      </c>
      <c r="H40" s="335">
        <v>0</v>
      </c>
      <c r="I40" s="335">
        <v>24</v>
      </c>
      <c r="J40" s="335">
        <v>187</v>
      </c>
      <c r="K40" s="335">
        <v>0</v>
      </c>
      <c r="L40" s="335">
        <v>231</v>
      </c>
      <c r="M40" s="335">
        <v>0</v>
      </c>
      <c r="N40" s="335">
        <v>0</v>
      </c>
      <c r="O40" s="335">
        <v>0</v>
      </c>
      <c r="P40" s="335">
        <v>0</v>
      </c>
      <c r="Q40" s="335">
        <v>0</v>
      </c>
      <c r="R40" s="335">
        <v>1</v>
      </c>
      <c r="S40" s="335">
        <v>6</v>
      </c>
      <c r="T40" s="335">
        <v>0</v>
      </c>
      <c r="U40" s="335">
        <v>7</v>
      </c>
      <c r="V40" s="335">
        <v>7</v>
      </c>
      <c r="W40" s="335">
        <v>7</v>
      </c>
      <c r="X40" s="335">
        <v>7</v>
      </c>
      <c r="Y40" s="381">
        <f t="shared" si="0"/>
        <v>29176</v>
      </c>
      <c r="Z40" s="335">
        <v>0</v>
      </c>
      <c r="AA40" s="335">
        <v>0</v>
      </c>
      <c r="AB40" s="335">
        <v>0</v>
      </c>
      <c r="AF40" s="394"/>
      <c r="AH40" s="366"/>
    </row>
    <row r="41" spans="1:34" ht="28.5">
      <c r="A41" s="366" t="s">
        <v>690</v>
      </c>
      <c r="B41" s="196" t="s">
        <v>325</v>
      </c>
      <c r="C41" s="196" t="s">
        <v>86</v>
      </c>
      <c r="D41" s="335">
        <v>0</v>
      </c>
      <c r="E41" s="335">
        <v>0</v>
      </c>
      <c r="F41" s="335">
        <v>0</v>
      </c>
      <c r="G41" s="335">
        <v>0</v>
      </c>
      <c r="H41" s="335">
        <v>0</v>
      </c>
      <c r="I41" s="335">
        <v>0</v>
      </c>
      <c r="J41" s="335">
        <v>0</v>
      </c>
      <c r="K41" s="335">
        <v>561</v>
      </c>
      <c r="L41" s="335">
        <v>561</v>
      </c>
      <c r="M41" s="335">
        <v>0</v>
      </c>
      <c r="N41" s="335">
        <v>0</v>
      </c>
      <c r="O41" s="335">
        <v>0</v>
      </c>
      <c r="P41" s="335">
        <v>0</v>
      </c>
      <c r="Q41" s="335">
        <v>0</v>
      </c>
      <c r="R41" s="335">
        <v>0</v>
      </c>
      <c r="S41" s="335">
        <v>0</v>
      </c>
      <c r="T41" s="335">
        <v>78</v>
      </c>
      <c r="U41" s="335">
        <v>78</v>
      </c>
      <c r="V41" s="335">
        <v>78</v>
      </c>
      <c r="W41" s="335">
        <v>0</v>
      </c>
      <c r="X41" s="335">
        <v>0</v>
      </c>
      <c r="Y41" s="381">
        <f t="shared" si="0"/>
        <v>350298</v>
      </c>
      <c r="Z41" s="335">
        <v>0</v>
      </c>
      <c r="AA41" s="335">
        <v>0</v>
      </c>
      <c r="AB41" s="335">
        <v>0</v>
      </c>
      <c r="AF41" s="394"/>
      <c r="AH41" s="366"/>
    </row>
    <row r="42" spans="1:34" ht="14.25">
      <c r="A42" s="366" t="s">
        <v>691</v>
      </c>
      <c r="B42" s="196" t="s">
        <v>366</v>
      </c>
      <c r="C42" s="196" t="s">
        <v>86</v>
      </c>
      <c r="D42" s="335">
        <v>16</v>
      </c>
      <c r="E42" s="335">
        <v>0</v>
      </c>
      <c r="F42" s="335">
        <v>0</v>
      </c>
      <c r="G42" s="335">
        <v>0</v>
      </c>
      <c r="H42" s="335">
        <v>0</v>
      </c>
      <c r="I42" s="335">
        <v>9</v>
      </c>
      <c r="J42" s="335">
        <v>56</v>
      </c>
      <c r="K42" s="335">
        <v>0</v>
      </c>
      <c r="L42" s="335">
        <v>81</v>
      </c>
      <c r="M42" s="335">
        <v>2</v>
      </c>
      <c r="N42" s="335">
        <v>0</v>
      </c>
      <c r="O42" s="335">
        <v>0</v>
      </c>
      <c r="P42" s="335">
        <v>0</v>
      </c>
      <c r="Q42" s="335">
        <v>0</v>
      </c>
      <c r="R42" s="335">
        <v>3</v>
      </c>
      <c r="S42" s="335">
        <v>15</v>
      </c>
      <c r="T42" s="335">
        <v>0</v>
      </c>
      <c r="U42" s="335">
        <v>20</v>
      </c>
      <c r="V42" s="335">
        <v>19</v>
      </c>
      <c r="W42" s="335">
        <v>20</v>
      </c>
      <c r="X42" s="335">
        <v>19</v>
      </c>
      <c r="Y42" s="381">
        <f t="shared" si="0"/>
        <v>79192</v>
      </c>
      <c r="Z42" s="335">
        <v>0</v>
      </c>
      <c r="AA42" s="335">
        <v>0</v>
      </c>
      <c r="AB42" s="335">
        <v>0</v>
      </c>
      <c r="AF42" s="394"/>
      <c r="AH42" s="366"/>
    </row>
    <row r="43" spans="1:34" ht="14.25">
      <c r="A43" s="366" t="s">
        <v>692</v>
      </c>
      <c r="B43" s="196" t="s">
        <v>151</v>
      </c>
      <c r="C43" s="196" t="s">
        <v>86</v>
      </c>
      <c r="D43" s="335">
        <v>0</v>
      </c>
      <c r="E43" s="335">
        <v>0</v>
      </c>
      <c r="F43" s="335">
        <v>0</v>
      </c>
      <c r="G43" s="335">
        <v>24</v>
      </c>
      <c r="H43" s="335">
        <v>0</v>
      </c>
      <c r="I43" s="335">
        <v>0</v>
      </c>
      <c r="J43" s="335">
        <v>216</v>
      </c>
      <c r="K43" s="335">
        <v>116</v>
      </c>
      <c r="L43" s="335">
        <v>356</v>
      </c>
      <c r="M43" s="335">
        <v>0</v>
      </c>
      <c r="N43" s="335">
        <v>0</v>
      </c>
      <c r="O43" s="335">
        <v>0</v>
      </c>
      <c r="P43" s="335">
        <v>10</v>
      </c>
      <c r="Q43" s="335">
        <v>0</v>
      </c>
      <c r="R43" s="335">
        <v>0</v>
      </c>
      <c r="S43" s="335">
        <v>73</v>
      </c>
      <c r="T43" s="335">
        <v>46</v>
      </c>
      <c r="U43" s="335">
        <v>129</v>
      </c>
      <c r="V43" s="335">
        <v>125</v>
      </c>
      <c r="W43" s="335">
        <v>83</v>
      </c>
      <c r="X43" s="335">
        <v>79</v>
      </c>
      <c r="Y43" s="381">
        <f t="shared" si="0"/>
        <v>535858</v>
      </c>
      <c r="Z43" s="335">
        <v>0</v>
      </c>
      <c r="AA43" s="335">
        <v>0</v>
      </c>
      <c r="AB43" s="335">
        <v>0</v>
      </c>
      <c r="AF43" s="394"/>
      <c r="AH43" s="366"/>
    </row>
    <row r="44" spans="1:34" ht="28.5">
      <c r="A44" s="366" t="s">
        <v>693</v>
      </c>
      <c r="B44" s="196" t="s">
        <v>467</v>
      </c>
      <c r="C44" s="196" t="s">
        <v>86</v>
      </c>
      <c r="D44" s="335">
        <v>0</v>
      </c>
      <c r="E44" s="335">
        <v>0</v>
      </c>
      <c r="F44" s="335">
        <v>0</v>
      </c>
      <c r="G44" s="335">
        <v>0</v>
      </c>
      <c r="H44" s="335">
        <v>0</v>
      </c>
      <c r="I44" s="335">
        <v>0</v>
      </c>
      <c r="J44" s="335">
        <v>0</v>
      </c>
      <c r="K44" s="335">
        <v>92</v>
      </c>
      <c r="L44" s="335">
        <v>92</v>
      </c>
      <c r="M44" s="335">
        <v>0</v>
      </c>
      <c r="N44" s="335">
        <v>0</v>
      </c>
      <c r="O44" s="335">
        <v>0</v>
      </c>
      <c r="P44" s="335">
        <v>0</v>
      </c>
      <c r="Q44" s="335">
        <v>0</v>
      </c>
      <c r="R44" s="335">
        <v>0</v>
      </c>
      <c r="S44" s="335">
        <v>0</v>
      </c>
      <c r="T44" s="335">
        <v>33</v>
      </c>
      <c r="U44" s="335">
        <v>33</v>
      </c>
      <c r="V44" s="335">
        <v>33</v>
      </c>
      <c r="W44" s="335">
        <v>0</v>
      </c>
      <c r="X44" s="335">
        <v>0</v>
      </c>
      <c r="Y44" s="381">
        <f t="shared" si="0"/>
        <v>148203</v>
      </c>
      <c r="Z44" s="335">
        <v>0</v>
      </c>
      <c r="AA44" s="335">
        <v>0</v>
      </c>
      <c r="AB44" s="335">
        <v>0</v>
      </c>
      <c r="AF44" s="394"/>
      <c r="AH44" s="366"/>
    </row>
    <row r="45" spans="1:34" ht="14.25">
      <c r="A45" s="366" t="s">
        <v>694</v>
      </c>
      <c r="B45" s="196" t="s">
        <v>289</v>
      </c>
      <c r="C45" s="196" t="s">
        <v>86</v>
      </c>
      <c r="D45" s="335">
        <v>19</v>
      </c>
      <c r="E45" s="335">
        <v>0</v>
      </c>
      <c r="F45" s="335">
        <v>0</v>
      </c>
      <c r="G45" s="335">
        <v>0</v>
      </c>
      <c r="H45" s="335">
        <v>0</v>
      </c>
      <c r="I45" s="335">
        <v>14</v>
      </c>
      <c r="J45" s="335">
        <v>77</v>
      </c>
      <c r="K45" s="335">
        <v>0</v>
      </c>
      <c r="L45" s="335">
        <v>110</v>
      </c>
      <c r="M45" s="335">
        <v>6</v>
      </c>
      <c r="N45" s="335">
        <v>0</v>
      </c>
      <c r="O45" s="335">
        <v>0</v>
      </c>
      <c r="P45" s="335">
        <v>0</v>
      </c>
      <c r="Q45" s="335">
        <v>0</v>
      </c>
      <c r="R45" s="335">
        <v>3</v>
      </c>
      <c r="S45" s="335">
        <v>18</v>
      </c>
      <c r="T45" s="335">
        <v>0</v>
      </c>
      <c r="U45" s="335">
        <v>27</v>
      </c>
      <c r="V45" s="335">
        <v>24</v>
      </c>
      <c r="W45" s="335">
        <v>27</v>
      </c>
      <c r="X45" s="335">
        <v>24</v>
      </c>
      <c r="Y45" s="381">
        <f t="shared" si="0"/>
        <v>100032</v>
      </c>
      <c r="Z45" s="335">
        <v>0</v>
      </c>
      <c r="AA45" s="335">
        <v>0</v>
      </c>
      <c r="AB45" s="335">
        <v>0</v>
      </c>
      <c r="AF45" s="394"/>
      <c r="AH45" s="366"/>
    </row>
    <row r="46" spans="1:34" ht="28.5">
      <c r="A46" s="366" t="s">
        <v>695</v>
      </c>
      <c r="B46" s="196" t="s">
        <v>519</v>
      </c>
      <c r="C46" s="196" t="s">
        <v>86</v>
      </c>
      <c r="D46" s="335">
        <v>12</v>
      </c>
      <c r="E46" s="335">
        <v>0</v>
      </c>
      <c r="F46" s="335">
        <v>0</v>
      </c>
      <c r="G46" s="335">
        <v>0</v>
      </c>
      <c r="H46" s="335">
        <v>0</v>
      </c>
      <c r="I46" s="335">
        <v>5</v>
      </c>
      <c r="J46" s="335">
        <v>94</v>
      </c>
      <c r="K46" s="335">
        <v>0</v>
      </c>
      <c r="L46" s="335">
        <v>111</v>
      </c>
      <c r="M46" s="335">
        <v>4</v>
      </c>
      <c r="N46" s="335">
        <v>0</v>
      </c>
      <c r="O46" s="335">
        <v>0</v>
      </c>
      <c r="P46" s="335">
        <v>0</v>
      </c>
      <c r="Q46" s="335">
        <v>0</v>
      </c>
      <c r="R46" s="335">
        <v>1</v>
      </c>
      <c r="S46" s="335">
        <v>19</v>
      </c>
      <c r="T46" s="335">
        <v>0</v>
      </c>
      <c r="U46" s="335">
        <v>24</v>
      </c>
      <c r="V46" s="335">
        <v>22</v>
      </c>
      <c r="W46" s="335">
        <v>24</v>
      </c>
      <c r="X46" s="335">
        <v>22</v>
      </c>
      <c r="Y46" s="381">
        <f t="shared" si="0"/>
        <v>91696</v>
      </c>
      <c r="Z46" s="335">
        <v>0</v>
      </c>
      <c r="AA46" s="335">
        <v>0</v>
      </c>
      <c r="AB46" s="335">
        <v>0</v>
      </c>
      <c r="AF46" s="394"/>
      <c r="AH46" s="366"/>
    </row>
    <row r="47" spans="1:34" ht="14.25">
      <c r="A47" s="366" t="s">
        <v>696</v>
      </c>
      <c r="B47" s="196" t="s">
        <v>468</v>
      </c>
      <c r="C47" s="196" t="s">
        <v>86</v>
      </c>
      <c r="D47" s="335">
        <v>9</v>
      </c>
      <c r="E47" s="335">
        <v>0</v>
      </c>
      <c r="F47" s="335">
        <v>0</v>
      </c>
      <c r="G47" s="335">
        <v>0</v>
      </c>
      <c r="H47" s="335">
        <v>0</v>
      </c>
      <c r="I47" s="335">
        <v>12</v>
      </c>
      <c r="J47" s="335">
        <v>111</v>
      </c>
      <c r="K47" s="335">
        <v>0</v>
      </c>
      <c r="L47" s="335">
        <v>132</v>
      </c>
      <c r="M47" s="335">
        <v>4</v>
      </c>
      <c r="N47" s="335">
        <v>0</v>
      </c>
      <c r="O47" s="335">
        <v>0</v>
      </c>
      <c r="P47" s="335">
        <v>0</v>
      </c>
      <c r="Q47" s="335">
        <v>0</v>
      </c>
      <c r="R47" s="335">
        <v>2</v>
      </c>
      <c r="S47" s="335">
        <v>33</v>
      </c>
      <c r="T47" s="335">
        <v>0</v>
      </c>
      <c r="U47" s="335">
        <v>39</v>
      </c>
      <c r="V47" s="335">
        <v>37</v>
      </c>
      <c r="W47" s="335">
        <v>39</v>
      </c>
      <c r="X47" s="335">
        <v>37</v>
      </c>
      <c r="Y47" s="381">
        <f t="shared" si="0"/>
        <v>154216</v>
      </c>
      <c r="Z47" s="335">
        <v>0</v>
      </c>
      <c r="AA47" s="335">
        <v>0</v>
      </c>
      <c r="AB47" s="335">
        <v>0</v>
      </c>
      <c r="AF47" s="394"/>
      <c r="AH47" s="366"/>
    </row>
    <row r="48" spans="1:34" ht="14.25">
      <c r="A48" s="366" t="s">
        <v>697</v>
      </c>
      <c r="B48" s="196" t="s">
        <v>520</v>
      </c>
      <c r="C48" s="196" t="s">
        <v>86</v>
      </c>
      <c r="D48" s="335">
        <v>13</v>
      </c>
      <c r="E48" s="335">
        <v>0</v>
      </c>
      <c r="F48" s="335">
        <v>0</v>
      </c>
      <c r="G48" s="335">
        <v>0</v>
      </c>
      <c r="H48" s="335">
        <v>0</v>
      </c>
      <c r="I48" s="335">
        <v>14</v>
      </c>
      <c r="J48" s="335">
        <v>67</v>
      </c>
      <c r="K48" s="335">
        <v>0</v>
      </c>
      <c r="L48" s="335">
        <v>94</v>
      </c>
      <c r="M48" s="335">
        <v>4</v>
      </c>
      <c r="N48" s="335">
        <v>0</v>
      </c>
      <c r="O48" s="335">
        <v>0</v>
      </c>
      <c r="P48" s="335">
        <v>0</v>
      </c>
      <c r="Q48" s="335">
        <v>0</v>
      </c>
      <c r="R48" s="335">
        <v>5</v>
      </c>
      <c r="S48" s="335">
        <v>19</v>
      </c>
      <c r="T48" s="335">
        <v>0</v>
      </c>
      <c r="U48" s="335">
        <v>28</v>
      </c>
      <c r="V48" s="335">
        <v>26</v>
      </c>
      <c r="W48" s="335">
        <v>28</v>
      </c>
      <c r="X48" s="335">
        <v>26</v>
      </c>
      <c r="Y48" s="381">
        <f t="shared" si="0"/>
        <v>108368</v>
      </c>
      <c r="Z48" s="335">
        <v>0</v>
      </c>
      <c r="AA48" s="335">
        <v>0</v>
      </c>
      <c r="AB48" s="335">
        <v>0</v>
      </c>
      <c r="AF48" s="394"/>
      <c r="AH48" s="366"/>
    </row>
    <row r="49" spans="1:34" ht="28.5">
      <c r="A49" s="366" t="s">
        <v>698</v>
      </c>
      <c r="B49" s="196" t="s">
        <v>367</v>
      </c>
      <c r="C49" s="196" t="s">
        <v>607</v>
      </c>
      <c r="D49" s="335">
        <v>21</v>
      </c>
      <c r="E49" s="335">
        <v>0</v>
      </c>
      <c r="F49" s="335">
        <v>0</v>
      </c>
      <c r="G49" s="335">
        <v>0</v>
      </c>
      <c r="H49" s="335">
        <v>0</v>
      </c>
      <c r="I49" s="335">
        <v>26</v>
      </c>
      <c r="J49" s="335">
        <v>173</v>
      </c>
      <c r="K49" s="335">
        <v>0</v>
      </c>
      <c r="L49" s="335">
        <v>220</v>
      </c>
      <c r="M49" s="335">
        <v>20</v>
      </c>
      <c r="N49" s="335">
        <v>0</v>
      </c>
      <c r="O49" s="335">
        <v>0</v>
      </c>
      <c r="P49" s="335">
        <v>0</v>
      </c>
      <c r="Q49" s="335">
        <v>0</v>
      </c>
      <c r="R49" s="335">
        <v>23</v>
      </c>
      <c r="S49" s="335">
        <v>152</v>
      </c>
      <c r="T49" s="335">
        <v>0</v>
      </c>
      <c r="U49" s="335">
        <v>195</v>
      </c>
      <c r="V49" s="335">
        <v>185</v>
      </c>
      <c r="W49" s="335">
        <v>195</v>
      </c>
      <c r="X49" s="335">
        <v>185</v>
      </c>
      <c r="Y49" s="381">
        <f t="shared" si="0"/>
        <v>771080</v>
      </c>
      <c r="Z49" s="335">
        <v>0</v>
      </c>
      <c r="AA49" s="335">
        <v>0</v>
      </c>
      <c r="AB49" s="335">
        <v>0</v>
      </c>
      <c r="AF49" s="394"/>
      <c r="AH49" s="366"/>
    </row>
    <row r="50" spans="1:34" ht="14.25">
      <c r="A50" s="366" t="s">
        <v>699</v>
      </c>
      <c r="B50" s="196" t="s">
        <v>367</v>
      </c>
      <c r="C50" s="196" t="s">
        <v>86</v>
      </c>
      <c r="D50" s="335">
        <v>21</v>
      </c>
      <c r="E50" s="335">
        <v>0</v>
      </c>
      <c r="F50" s="335">
        <v>0</v>
      </c>
      <c r="G50" s="335">
        <v>0</v>
      </c>
      <c r="H50" s="335">
        <v>0</v>
      </c>
      <c r="I50" s="335">
        <v>26</v>
      </c>
      <c r="J50" s="335">
        <v>173</v>
      </c>
      <c r="K50" s="335">
        <v>0</v>
      </c>
      <c r="L50" s="335">
        <v>220</v>
      </c>
      <c r="M50" s="335">
        <v>1</v>
      </c>
      <c r="N50" s="335">
        <v>0</v>
      </c>
      <c r="O50" s="335">
        <v>0</v>
      </c>
      <c r="P50" s="335">
        <v>0</v>
      </c>
      <c r="Q50" s="335">
        <v>0</v>
      </c>
      <c r="R50" s="335">
        <v>3</v>
      </c>
      <c r="S50" s="335">
        <v>19</v>
      </c>
      <c r="T50" s="335">
        <v>0</v>
      </c>
      <c r="U50" s="335">
        <v>23</v>
      </c>
      <c r="V50" s="335">
        <v>22.5</v>
      </c>
      <c r="W50" s="335">
        <v>23</v>
      </c>
      <c r="X50" s="335">
        <v>22.5</v>
      </c>
      <c r="Y50" s="381">
        <f t="shared" si="0"/>
        <v>93780</v>
      </c>
      <c r="Z50" s="335">
        <v>0</v>
      </c>
      <c r="AA50" s="335">
        <v>0</v>
      </c>
      <c r="AB50" s="335">
        <v>0</v>
      </c>
      <c r="AF50" s="394"/>
      <c r="AH50" s="366"/>
    </row>
    <row r="51" spans="1:34" ht="28.5">
      <c r="A51" s="366" t="s">
        <v>700</v>
      </c>
      <c r="B51" s="196" t="s">
        <v>196</v>
      </c>
      <c r="C51" s="196" t="s">
        <v>607</v>
      </c>
      <c r="D51" s="335">
        <v>8</v>
      </c>
      <c r="E51" s="335">
        <v>0</v>
      </c>
      <c r="F51" s="335">
        <v>0</v>
      </c>
      <c r="G51" s="335">
        <v>0</v>
      </c>
      <c r="H51" s="335">
        <v>0</v>
      </c>
      <c r="I51" s="335">
        <v>2</v>
      </c>
      <c r="J51" s="335">
        <v>48</v>
      </c>
      <c r="K51" s="335">
        <v>0</v>
      </c>
      <c r="L51" s="335">
        <v>58</v>
      </c>
      <c r="M51" s="335">
        <v>8</v>
      </c>
      <c r="N51" s="335">
        <v>0</v>
      </c>
      <c r="O51" s="335">
        <v>0</v>
      </c>
      <c r="P51" s="335">
        <v>0</v>
      </c>
      <c r="Q51" s="335">
        <v>0</v>
      </c>
      <c r="R51" s="335">
        <v>2</v>
      </c>
      <c r="S51" s="335">
        <v>48</v>
      </c>
      <c r="T51" s="335">
        <v>0</v>
      </c>
      <c r="U51" s="335">
        <v>58</v>
      </c>
      <c r="V51" s="335">
        <v>54</v>
      </c>
      <c r="W51" s="335">
        <v>58</v>
      </c>
      <c r="X51" s="335">
        <v>54</v>
      </c>
      <c r="Y51" s="381">
        <f t="shared" si="0"/>
        <v>225072</v>
      </c>
      <c r="Z51" s="335">
        <v>0</v>
      </c>
      <c r="AA51" s="335">
        <v>0</v>
      </c>
      <c r="AB51" s="335">
        <v>0</v>
      </c>
      <c r="AF51" s="394"/>
      <c r="AH51" s="366"/>
    </row>
    <row r="52" spans="1:34" ht="28.5">
      <c r="A52" s="366" t="s">
        <v>701</v>
      </c>
      <c r="B52" s="196" t="s">
        <v>92</v>
      </c>
      <c r="C52" s="196" t="s">
        <v>607</v>
      </c>
      <c r="D52" s="335">
        <v>12</v>
      </c>
      <c r="E52" s="335">
        <v>0</v>
      </c>
      <c r="F52" s="335">
        <v>0</v>
      </c>
      <c r="G52" s="335">
        <v>0</v>
      </c>
      <c r="H52" s="335">
        <v>0</v>
      </c>
      <c r="I52" s="335">
        <v>12</v>
      </c>
      <c r="J52" s="335">
        <v>97</v>
      </c>
      <c r="K52" s="335">
        <v>18</v>
      </c>
      <c r="L52" s="335">
        <v>139</v>
      </c>
      <c r="M52" s="335">
        <v>12</v>
      </c>
      <c r="N52" s="335">
        <v>0</v>
      </c>
      <c r="O52" s="335">
        <v>0</v>
      </c>
      <c r="P52" s="335">
        <v>0</v>
      </c>
      <c r="Q52" s="335">
        <v>0</v>
      </c>
      <c r="R52" s="335">
        <v>12</v>
      </c>
      <c r="S52" s="335">
        <v>97</v>
      </c>
      <c r="T52" s="335">
        <v>18</v>
      </c>
      <c r="U52" s="335">
        <v>139</v>
      </c>
      <c r="V52" s="335">
        <v>133</v>
      </c>
      <c r="W52" s="335">
        <v>121</v>
      </c>
      <c r="X52" s="335">
        <v>115</v>
      </c>
      <c r="Y52" s="381">
        <f t="shared" si="0"/>
        <v>560158</v>
      </c>
      <c r="Z52" s="335">
        <v>0</v>
      </c>
      <c r="AA52" s="335">
        <v>0</v>
      </c>
      <c r="AB52" s="335">
        <v>0</v>
      </c>
      <c r="AF52" s="394"/>
      <c r="AH52" s="366"/>
    </row>
    <row r="53" spans="1:34" ht="14.25">
      <c r="A53" s="366" t="s">
        <v>702</v>
      </c>
      <c r="B53" s="196" t="s">
        <v>93</v>
      </c>
      <c r="C53" s="196" t="s">
        <v>86</v>
      </c>
      <c r="D53" s="335">
        <v>46</v>
      </c>
      <c r="E53" s="335">
        <v>0</v>
      </c>
      <c r="F53" s="335">
        <v>0</v>
      </c>
      <c r="G53" s="335">
        <v>0</v>
      </c>
      <c r="H53" s="335">
        <v>0</v>
      </c>
      <c r="I53" s="335">
        <v>52</v>
      </c>
      <c r="J53" s="335">
        <v>316</v>
      </c>
      <c r="K53" s="335">
        <v>143</v>
      </c>
      <c r="L53" s="335">
        <v>557</v>
      </c>
      <c r="M53" s="335">
        <v>11</v>
      </c>
      <c r="N53" s="335">
        <v>0</v>
      </c>
      <c r="O53" s="335">
        <v>0</v>
      </c>
      <c r="P53" s="335">
        <v>0</v>
      </c>
      <c r="Q53" s="335">
        <v>0</v>
      </c>
      <c r="R53" s="335">
        <v>26</v>
      </c>
      <c r="S53" s="335">
        <v>112</v>
      </c>
      <c r="T53" s="335">
        <v>46</v>
      </c>
      <c r="U53" s="335">
        <v>195</v>
      </c>
      <c r="V53" s="335">
        <v>189.5</v>
      </c>
      <c r="W53" s="335">
        <v>149</v>
      </c>
      <c r="X53" s="335">
        <v>143.5</v>
      </c>
      <c r="Y53" s="381">
        <f t="shared" si="0"/>
        <v>804694</v>
      </c>
      <c r="Z53" s="335">
        <v>0</v>
      </c>
      <c r="AA53" s="335">
        <v>0</v>
      </c>
      <c r="AB53" s="335">
        <v>0</v>
      </c>
      <c r="AF53" s="394"/>
      <c r="AH53" s="366"/>
    </row>
    <row r="54" spans="1:34" ht="28.5">
      <c r="A54" s="366" t="s">
        <v>703</v>
      </c>
      <c r="B54" s="196" t="s">
        <v>368</v>
      </c>
      <c r="C54" s="196" t="s">
        <v>86</v>
      </c>
      <c r="D54" s="335">
        <v>10</v>
      </c>
      <c r="E54" s="335">
        <v>0</v>
      </c>
      <c r="F54" s="335">
        <v>0</v>
      </c>
      <c r="G54" s="335">
        <v>0</v>
      </c>
      <c r="H54" s="335">
        <v>0</v>
      </c>
      <c r="I54" s="335">
        <v>10</v>
      </c>
      <c r="J54" s="335">
        <v>81</v>
      </c>
      <c r="K54" s="335">
        <v>15</v>
      </c>
      <c r="L54" s="335">
        <v>116</v>
      </c>
      <c r="M54" s="335">
        <v>7</v>
      </c>
      <c r="N54" s="335">
        <v>0</v>
      </c>
      <c r="O54" s="335">
        <v>0</v>
      </c>
      <c r="P54" s="335">
        <v>0</v>
      </c>
      <c r="Q54" s="335">
        <v>0</v>
      </c>
      <c r="R54" s="335">
        <v>5</v>
      </c>
      <c r="S54" s="335">
        <v>40</v>
      </c>
      <c r="T54" s="335">
        <v>10</v>
      </c>
      <c r="U54" s="335">
        <v>62</v>
      </c>
      <c r="V54" s="335">
        <v>58.5</v>
      </c>
      <c r="W54" s="335">
        <v>52</v>
      </c>
      <c r="X54" s="335">
        <v>48.5</v>
      </c>
      <c r="Y54" s="381">
        <f t="shared" si="0"/>
        <v>247058</v>
      </c>
      <c r="Z54" s="335">
        <v>0</v>
      </c>
      <c r="AA54" s="335">
        <v>0</v>
      </c>
      <c r="AB54" s="335">
        <v>0</v>
      </c>
      <c r="AF54" s="394"/>
      <c r="AH54" s="366"/>
    </row>
    <row r="55" spans="1:34" ht="14.25">
      <c r="A55" s="366" t="s">
        <v>704</v>
      </c>
      <c r="B55" s="196" t="s">
        <v>94</v>
      </c>
      <c r="C55" s="196" t="s">
        <v>608</v>
      </c>
      <c r="D55" s="335">
        <v>18</v>
      </c>
      <c r="E55" s="335">
        <v>0</v>
      </c>
      <c r="F55" s="335">
        <v>0</v>
      </c>
      <c r="G55" s="335">
        <v>0</v>
      </c>
      <c r="H55" s="335">
        <v>0</v>
      </c>
      <c r="I55" s="335">
        <v>17</v>
      </c>
      <c r="J55" s="335">
        <v>180</v>
      </c>
      <c r="K55" s="335">
        <v>0</v>
      </c>
      <c r="L55" s="335">
        <v>215</v>
      </c>
      <c r="M55" s="335">
        <v>14</v>
      </c>
      <c r="N55" s="335">
        <v>0</v>
      </c>
      <c r="O55" s="335">
        <v>0</v>
      </c>
      <c r="P55" s="335">
        <v>0</v>
      </c>
      <c r="Q55" s="335">
        <v>0</v>
      </c>
      <c r="R55" s="335">
        <v>11</v>
      </c>
      <c r="S55" s="335">
        <v>128</v>
      </c>
      <c r="T55" s="335">
        <v>0</v>
      </c>
      <c r="U55" s="335">
        <v>153</v>
      </c>
      <c r="V55" s="335">
        <v>146</v>
      </c>
      <c r="W55" s="335">
        <v>153</v>
      </c>
      <c r="X55" s="335">
        <v>146</v>
      </c>
      <c r="Y55" s="381">
        <f t="shared" si="0"/>
        <v>608528</v>
      </c>
      <c r="Z55" s="335">
        <v>0</v>
      </c>
      <c r="AA55" s="335">
        <v>1</v>
      </c>
      <c r="AB55" s="335">
        <v>0</v>
      </c>
      <c r="AF55" s="394"/>
      <c r="AH55" s="366"/>
    </row>
    <row r="56" spans="1:34" ht="14.25">
      <c r="A56" s="366" t="s">
        <v>705</v>
      </c>
      <c r="B56" s="196" t="s">
        <v>469</v>
      </c>
      <c r="C56" s="196" t="s">
        <v>86</v>
      </c>
      <c r="D56" s="335">
        <v>21</v>
      </c>
      <c r="E56" s="335">
        <v>0</v>
      </c>
      <c r="F56" s="335">
        <v>0</v>
      </c>
      <c r="G56" s="335">
        <v>0</v>
      </c>
      <c r="H56" s="335">
        <v>0</v>
      </c>
      <c r="I56" s="335">
        <v>14</v>
      </c>
      <c r="J56" s="335">
        <v>144</v>
      </c>
      <c r="K56" s="335">
        <v>51</v>
      </c>
      <c r="L56" s="335">
        <v>230</v>
      </c>
      <c r="M56" s="335">
        <v>9</v>
      </c>
      <c r="N56" s="335">
        <v>0</v>
      </c>
      <c r="O56" s="335">
        <v>0</v>
      </c>
      <c r="P56" s="335">
        <v>0</v>
      </c>
      <c r="Q56" s="335">
        <v>0</v>
      </c>
      <c r="R56" s="335">
        <v>8</v>
      </c>
      <c r="S56" s="335">
        <v>65</v>
      </c>
      <c r="T56" s="335">
        <v>19</v>
      </c>
      <c r="U56" s="335">
        <v>101</v>
      </c>
      <c r="V56" s="335">
        <v>96.5</v>
      </c>
      <c r="W56" s="335">
        <v>82</v>
      </c>
      <c r="X56" s="335">
        <v>77.5</v>
      </c>
      <c r="Y56" s="381">
        <f t="shared" si="0"/>
        <v>408349</v>
      </c>
      <c r="Z56" s="335">
        <v>0</v>
      </c>
      <c r="AA56" s="335">
        <v>0</v>
      </c>
      <c r="AB56" s="335">
        <v>0</v>
      </c>
      <c r="AF56" s="394"/>
      <c r="AH56" s="366"/>
    </row>
    <row r="57" spans="1:34" ht="28.5">
      <c r="A57" s="366" t="s">
        <v>706</v>
      </c>
      <c r="B57" s="196" t="s">
        <v>152</v>
      </c>
      <c r="C57" s="196" t="s">
        <v>607</v>
      </c>
      <c r="D57" s="335">
        <v>0</v>
      </c>
      <c r="E57" s="335">
        <v>0</v>
      </c>
      <c r="F57" s="335">
        <v>0</v>
      </c>
      <c r="G57" s="335">
        <v>0</v>
      </c>
      <c r="H57" s="335">
        <v>0</v>
      </c>
      <c r="I57" s="335">
        <v>0</v>
      </c>
      <c r="J57" s="335">
        <v>0</v>
      </c>
      <c r="K57" s="335">
        <v>427</v>
      </c>
      <c r="L57" s="335">
        <v>427</v>
      </c>
      <c r="M57" s="335">
        <v>0</v>
      </c>
      <c r="N57" s="335">
        <v>0</v>
      </c>
      <c r="O57" s="335">
        <v>0</v>
      </c>
      <c r="P57" s="335">
        <v>0</v>
      </c>
      <c r="Q57" s="335">
        <v>0</v>
      </c>
      <c r="R57" s="335">
        <v>0</v>
      </c>
      <c r="S57" s="335">
        <v>0</v>
      </c>
      <c r="T57" s="335">
        <v>394</v>
      </c>
      <c r="U57" s="335">
        <v>394</v>
      </c>
      <c r="V57" s="335">
        <v>394</v>
      </c>
      <c r="W57" s="335">
        <v>0</v>
      </c>
      <c r="X57" s="335">
        <v>0</v>
      </c>
      <c r="Y57" s="381">
        <f t="shared" si="0"/>
        <v>1769454</v>
      </c>
      <c r="Z57" s="335">
        <v>0</v>
      </c>
      <c r="AA57" s="335">
        <v>0</v>
      </c>
      <c r="AB57" s="335">
        <v>0</v>
      </c>
      <c r="AF57" s="394"/>
      <c r="AH57" s="366"/>
    </row>
    <row r="58" spans="1:34" ht="28.5">
      <c r="A58" s="366" t="s">
        <v>707</v>
      </c>
      <c r="B58" s="196" t="s">
        <v>152</v>
      </c>
      <c r="C58" s="196" t="s">
        <v>86</v>
      </c>
      <c r="D58" s="335">
        <v>0</v>
      </c>
      <c r="E58" s="335">
        <v>0</v>
      </c>
      <c r="F58" s="335">
        <v>0</v>
      </c>
      <c r="G58" s="335">
        <v>0</v>
      </c>
      <c r="H58" s="335">
        <v>0</v>
      </c>
      <c r="I58" s="335">
        <v>0</v>
      </c>
      <c r="J58" s="335">
        <v>0</v>
      </c>
      <c r="K58" s="335">
        <v>427</v>
      </c>
      <c r="L58" s="335">
        <v>427</v>
      </c>
      <c r="M58" s="335">
        <v>0</v>
      </c>
      <c r="N58" s="335">
        <v>0</v>
      </c>
      <c r="O58" s="335">
        <v>0</v>
      </c>
      <c r="P58" s="335">
        <v>0</v>
      </c>
      <c r="Q58" s="335">
        <v>0</v>
      </c>
      <c r="R58" s="335">
        <v>0</v>
      </c>
      <c r="S58" s="335">
        <v>0</v>
      </c>
      <c r="T58" s="335">
        <v>21</v>
      </c>
      <c r="U58" s="335">
        <v>21</v>
      </c>
      <c r="V58" s="335">
        <v>21</v>
      </c>
      <c r="W58" s="335">
        <v>0</v>
      </c>
      <c r="X58" s="335">
        <v>0</v>
      </c>
      <c r="Y58" s="381">
        <f t="shared" si="0"/>
        <v>94311</v>
      </c>
      <c r="Z58" s="335">
        <v>0</v>
      </c>
      <c r="AA58" s="335">
        <v>0</v>
      </c>
      <c r="AB58" s="335">
        <v>0</v>
      </c>
      <c r="AF58" s="394"/>
      <c r="AH58" s="366"/>
    </row>
    <row r="59" spans="1:34" ht="28.5">
      <c r="A59" s="366" t="s">
        <v>708</v>
      </c>
      <c r="B59" s="196" t="s">
        <v>369</v>
      </c>
      <c r="C59" s="196" t="s">
        <v>607</v>
      </c>
      <c r="D59" s="335">
        <v>0</v>
      </c>
      <c r="E59" s="335">
        <v>25</v>
      </c>
      <c r="F59" s="335">
        <v>0</v>
      </c>
      <c r="G59" s="335">
        <v>0</v>
      </c>
      <c r="H59" s="335">
        <v>0</v>
      </c>
      <c r="I59" s="335">
        <v>23</v>
      </c>
      <c r="J59" s="335">
        <v>264</v>
      </c>
      <c r="K59" s="335">
        <v>73</v>
      </c>
      <c r="L59" s="335">
        <v>385</v>
      </c>
      <c r="M59" s="335">
        <v>0</v>
      </c>
      <c r="N59" s="335">
        <v>23</v>
      </c>
      <c r="O59" s="335">
        <v>0</v>
      </c>
      <c r="P59" s="335">
        <v>0</v>
      </c>
      <c r="Q59" s="335">
        <v>0</v>
      </c>
      <c r="R59" s="335">
        <v>22</v>
      </c>
      <c r="S59" s="335">
        <v>251</v>
      </c>
      <c r="T59" s="335">
        <v>62</v>
      </c>
      <c r="U59" s="335">
        <v>358</v>
      </c>
      <c r="V59" s="335">
        <v>348.8</v>
      </c>
      <c r="W59" s="335">
        <v>296</v>
      </c>
      <c r="X59" s="335">
        <v>286.8</v>
      </c>
      <c r="Y59" s="381">
        <f t="shared" si="0"/>
        <v>1473824.4000000001</v>
      </c>
      <c r="Z59" s="335">
        <v>6</v>
      </c>
      <c r="AA59" s="335">
        <v>0</v>
      </c>
      <c r="AB59" s="335">
        <v>0</v>
      </c>
      <c r="AF59" s="394"/>
      <c r="AH59" s="366"/>
    </row>
    <row r="60" spans="1:34" ht="28.5">
      <c r="A60" s="366" t="s">
        <v>709</v>
      </c>
      <c r="B60" s="196" t="s">
        <v>582</v>
      </c>
      <c r="C60" s="196" t="s">
        <v>86</v>
      </c>
      <c r="D60" s="335">
        <v>17</v>
      </c>
      <c r="E60" s="335">
        <v>0</v>
      </c>
      <c r="F60" s="335">
        <v>0</v>
      </c>
      <c r="G60" s="335">
        <v>0</v>
      </c>
      <c r="H60" s="335">
        <v>0</v>
      </c>
      <c r="I60" s="335">
        <v>16</v>
      </c>
      <c r="J60" s="335">
        <v>128</v>
      </c>
      <c r="K60" s="335">
        <v>0</v>
      </c>
      <c r="L60" s="335">
        <v>161</v>
      </c>
      <c r="M60" s="335">
        <v>9</v>
      </c>
      <c r="N60" s="335">
        <v>0</v>
      </c>
      <c r="O60" s="335">
        <v>0</v>
      </c>
      <c r="P60" s="335">
        <v>0</v>
      </c>
      <c r="Q60" s="335">
        <v>0</v>
      </c>
      <c r="R60" s="335">
        <v>4</v>
      </c>
      <c r="S60" s="335">
        <v>42</v>
      </c>
      <c r="T60" s="335">
        <v>0</v>
      </c>
      <c r="U60" s="335">
        <v>55</v>
      </c>
      <c r="V60" s="335">
        <v>50.5</v>
      </c>
      <c r="W60" s="335">
        <v>55</v>
      </c>
      <c r="X60" s="335">
        <v>50.5</v>
      </c>
      <c r="Y60" s="381">
        <f t="shared" si="0"/>
        <v>210484</v>
      </c>
      <c r="Z60" s="335">
        <v>0</v>
      </c>
      <c r="AA60" s="335">
        <v>0</v>
      </c>
      <c r="AB60" s="335">
        <v>0</v>
      </c>
      <c r="AF60" s="394"/>
      <c r="AH60" s="366"/>
    </row>
    <row r="61" spans="1:34" ht="28.5">
      <c r="A61" s="366" t="s">
        <v>710</v>
      </c>
      <c r="B61" s="196" t="s">
        <v>617</v>
      </c>
      <c r="C61" s="196" t="s">
        <v>86</v>
      </c>
      <c r="D61" s="335">
        <v>8</v>
      </c>
      <c r="E61" s="335">
        <v>0</v>
      </c>
      <c r="F61" s="335">
        <v>0</v>
      </c>
      <c r="G61" s="335">
        <v>0</v>
      </c>
      <c r="H61" s="335">
        <v>0</v>
      </c>
      <c r="I61" s="335">
        <v>8</v>
      </c>
      <c r="J61" s="335">
        <v>73</v>
      </c>
      <c r="K61" s="335">
        <v>0</v>
      </c>
      <c r="L61" s="335">
        <v>89</v>
      </c>
      <c r="M61" s="335">
        <v>0</v>
      </c>
      <c r="N61" s="335">
        <v>0</v>
      </c>
      <c r="O61" s="335">
        <v>0</v>
      </c>
      <c r="P61" s="335">
        <v>0</v>
      </c>
      <c r="Q61" s="335">
        <v>0</v>
      </c>
      <c r="R61" s="335">
        <v>2</v>
      </c>
      <c r="S61" s="335">
        <v>15</v>
      </c>
      <c r="T61" s="335">
        <v>0</v>
      </c>
      <c r="U61" s="335">
        <v>17</v>
      </c>
      <c r="V61" s="335">
        <v>17</v>
      </c>
      <c r="W61" s="335">
        <v>17</v>
      </c>
      <c r="X61" s="335">
        <v>17</v>
      </c>
      <c r="Y61" s="381">
        <f t="shared" si="0"/>
        <v>70856</v>
      </c>
      <c r="Z61" s="335">
        <v>0</v>
      </c>
      <c r="AA61" s="335">
        <v>0</v>
      </c>
      <c r="AB61" s="335">
        <v>0</v>
      </c>
      <c r="AF61" s="394"/>
      <c r="AH61" s="366"/>
    </row>
    <row r="62" spans="1:34" ht="14.25">
      <c r="A62" s="366" t="s">
        <v>711</v>
      </c>
      <c r="B62" s="196" t="s">
        <v>521</v>
      </c>
      <c r="C62" s="196" t="s">
        <v>86</v>
      </c>
      <c r="D62" s="335">
        <v>0</v>
      </c>
      <c r="E62" s="335">
        <v>0</v>
      </c>
      <c r="F62" s="335">
        <v>0</v>
      </c>
      <c r="G62" s="335">
        <v>0</v>
      </c>
      <c r="H62" s="335">
        <v>0</v>
      </c>
      <c r="I62" s="335">
        <v>16</v>
      </c>
      <c r="J62" s="335">
        <v>109</v>
      </c>
      <c r="K62" s="335">
        <v>0</v>
      </c>
      <c r="L62" s="335">
        <v>125</v>
      </c>
      <c r="M62" s="335">
        <v>0</v>
      </c>
      <c r="N62" s="335">
        <v>0</v>
      </c>
      <c r="O62" s="335">
        <v>0</v>
      </c>
      <c r="P62" s="335">
        <v>0</v>
      </c>
      <c r="Q62" s="335">
        <v>0</v>
      </c>
      <c r="R62" s="335">
        <v>1</v>
      </c>
      <c r="S62" s="335">
        <v>17</v>
      </c>
      <c r="T62" s="335">
        <v>0</v>
      </c>
      <c r="U62" s="335">
        <v>18</v>
      </c>
      <c r="V62" s="335">
        <v>18</v>
      </c>
      <c r="W62" s="335">
        <v>18</v>
      </c>
      <c r="X62" s="335">
        <v>18</v>
      </c>
      <c r="Y62" s="381">
        <f t="shared" si="0"/>
        <v>75024</v>
      </c>
      <c r="Z62" s="335">
        <v>0</v>
      </c>
      <c r="AA62" s="335">
        <v>0</v>
      </c>
      <c r="AB62" s="335">
        <v>0</v>
      </c>
      <c r="AF62" s="394"/>
      <c r="AH62" s="366"/>
    </row>
    <row r="63" spans="1:34" ht="28.5">
      <c r="A63" s="366" t="s">
        <v>712</v>
      </c>
      <c r="B63" s="196" t="s">
        <v>95</v>
      </c>
      <c r="C63" s="196" t="s">
        <v>607</v>
      </c>
      <c r="D63" s="335">
        <v>0</v>
      </c>
      <c r="E63" s="335">
        <v>0</v>
      </c>
      <c r="F63" s="335">
        <v>0</v>
      </c>
      <c r="G63" s="335">
        <v>0</v>
      </c>
      <c r="H63" s="335">
        <v>0</v>
      </c>
      <c r="I63" s="335">
        <v>0</v>
      </c>
      <c r="J63" s="335">
        <v>0</v>
      </c>
      <c r="K63" s="335">
        <v>222</v>
      </c>
      <c r="L63" s="335">
        <v>222</v>
      </c>
      <c r="M63" s="335">
        <v>0</v>
      </c>
      <c r="N63" s="335">
        <v>0</v>
      </c>
      <c r="O63" s="335">
        <v>0</v>
      </c>
      <c r="P63" s="335">
        <v>0</v>
      </c>
      <c r="Q63" s="335">
        <v>0</v>
      </c>
      <c r="R63" s="335">
        <v>0</v>
      </c>
      <c r="S63" s="335">
        <v>0</v>
      </c>
      <c r="T63" s="335">
        <v>222</v>
      </c>
      <c r="U63" s="335">
        <v>222</v>
      </c>
      <c r="V63" s="335">
        <v>222</v>
      </c>
      <c r="W63" s="335">
        <v>0</v>
      </c>
      <c r="X63" s="335">
        <v>0</v>
      </c>
      <c r="Y63" s="381">
        <f t="shared" si="0"/>
        <v>997002</v>
      </c>
      <c r="Z63" s="335">
        <v>0</v>
      </c>
      <c r="AA63" s="335">
        <v>0</v>
      </c>
      <c r="AB63" s="335">
        <v>0</v>
      </c>
      <c r="AF63" s="394"/>
      <c r="AH63" s="366"/>
    </row>
    <row r="64" spans="1:34" ht="28.5">
      <c r="A64" s="366" t="s">
        <v>713</v>
      </c>
      <c r="B64" s="196" t="s">
        <v>96</v>
      </c>
      <c r="C64" s="196" t="s">
        <v>607</v>
      </c>
      <c r="D64" s="335">
        <v>6</v>
      </c>
      <c r="E64" s="335">
        <v>0</v>
      </c>
      <c r="F64" s="335">
        <v>0</v>
      </c>
      <c r="G64" s="335">
        <v>0</v>
      </c>
      <c r="H64" s="335">
        <v>0</v>
      </c>
      <c r="I64" s="335">
        <v>7</v>
      </c>
      <c r="J64" s="335">
        <v>50</v>
      </c>
      <c r="K64" s="335">
        <v>0</v>
      </c>
      <c r="L64" s="335">
        <v>63</v>
      </c>
      <c r="M64" s="335">
        <v>6</v>
      </c>
      <c r="N64" s="335">
        <v>0</v>
      </c>
      <c r="O64" s="335">
        <v>0</v>
      </c>
      <c r="P64" s="335">
        <v>0</v>
      </c>
      <c r="Q64" s="335">
        <v>0</v>
      </c>
      <c r="R64" s="335">
        <v>7</v>
      </c>
      <c r="S64" s="335">
        <v>50</v>
      </c>
      <c r="T64" s="335">
        <v>0</v>
      </c>
      <c r="U64" s="335">
        <v>63</v>
      </c>
      <c r="V64" s="335">
        <v>60</v>
      </c>
      <c r="W64" s="335">
        <v>63</v>
      </c>
      <c r="X64" s="335">
        <v>60</v>
      </c>
      <c r="Y64" s="381">
        <f t="shared" si="0"/>
        <v>250080</v>
      </c>
      <c r="Z64" s="335">
        <v>0</v>
      </c>
      <c r="AA64" s="335">
        <v>0</v>
      </c>
      <c r="AB64" s="335">
        <v>0</v>
      </c>
      <c r="AF64" s="394"/>
      <c r="AH64" s="366"/>
    </row>
    <row r="65" spans="1:34" ht="28.5">
      <c r="A65" s="366" t="s">
        <v>714</v>
      </c>
      <c r="B65" s="196" t="s">
        <v>97</v>
      </c>
      <c r="C65" s="196" t="s">
        <v>607</v>
      </c>
      <c r="D65" s="335">
        <v>0</v>
      </c>
      <c r="E65" s="335">
        <v>18</v>
      </c>
      <c r="F65" s="335">
        <v>0</v>
      </c>
      <c r="G65" s="335">
        <v>0</v>
      </c>
      <c r="H65" s="335">
        <v>0</v>
      </c>
      <c r="I65" s="335">
        <v>22</v>
      </c>
      <c r="J65" s="335">
        <v>151</v>
      </c>
      <c r="K65" s="335">
        <v>0</v>
      </c>
      <c r="L65" s="335">
        <v>191</v>
      </c>
      <c r="M65" s="335">
        <v>0</v>
      </c>
      <c r="N65" s="335">
        <v>1</v>
      </c>
      <c r="O65" s="335">
        <v>0</v>
      </c>
      <c r="P65" s="335">
        <v>0</v>
      </c>
      <c r="Q65" s="335">
        <v>0</v>
      </c>
      <c r="R65" s="335">
        <v>2</v>
      </c>
      <c r="S65" s="335">
        <v>13</v>
      </c>
      <c r="T65" s="335">
        <v>0</v>
      </c>
      <c r="U65" s="335">
        <v>16</v>
      </c>
      <c r="V65" s="335">
        <v>15.6</v>
      </c>
      <c r="W65" s="335">
        <v>16</v>
      </c>
      <c r="X65" s="335">
        <v>15.6</v>
      </c>
      <c r="Y65" s="381">
        <f t="shared" si="0"/>
        <v>65020.799999999996</v>
      </c>
      <c r="Z65" s="335">
        <v>0</v>
      </c>
      <c r="AA65" s="335">
        <v>0</v>
      </c>
      <c r="AB65" s="335">
        <v>0</v>
      </c>
      <c r="AF65" s="394"/>
      <c r="AH65" s="366"/>
    </row>
    <row r="66" spans="1:34" ht="14.25">
      <c r="A66" s="366" t="s">
        <v>715</v>
      </c>
      <c r="B66" s="196" t="s">
        <v>97</v>
      </c>
      <c r="C66" s="196" t="s">
        <v>86</v>
      </c>
      <c r="D66" s="335">
        <v>0</v>
      </c>
      <c r="E66" s="335">
        <v>18</v>
      </c>
      <c r="F66" s="335">
        <v>0</v>
      </c>
      <c r="G66" s="335">
        <v>0</v>
      </c>
      <c r="H66" s="335">
        <v>0</v>
      </c>
      <c r="I66" s="335">
        <v>22</v>
      </c>
      <c r="J66" s="335">
        <v>151</v>
      </c>
      <c r="K66" s="335">
        <v>0</v>
      </c>
      <c r="L66" s="335">
        <v>191</v>
      </c>
      <c r="M66" s="335">
        <v>0</v>
      </c>
      <c r="N66" s="335">
        <v>5</v>
      </c>
      <c r="O66" s="335">
        <v>0</v>
      </c>
      <c r="P66" s="335">
        <v>0</v>
      </c>
      <c r="Q66" s="335">
        <v>0</v>
      </c>
      <c r="R66" s="335">
        <v>8</v>
      </c>
      <c r="S66" s="335">
        <v>43</v>
      </c>
      <c r="T66" s="335">
        <v>0</v>
      </c>
      <c r="U66" s="335">
        <v>56</v>
      </c>
      <c r="V66" s="335">
        <v>54</v>
      </c>
      <c r="W66" s="335">
        <v>56</v>
      </c>
      <c r="X66" s="335">
        <v>54</v>
      </c>
      <c r="Y66" s="381">
        <f t="shared" si="0"/>
        <v>225072</v>
      </c>
      <c r="Z66" s="335">
        <v>0</v>
      </c>
      <c r="AA66" s="335">
        <v>0</v>
      </c>
      <c r="AB66" s="335">
        <v>0</v>
      </c>
      <c r="AF66" s="394"/>
      <c r="AH66" s="366"/>
    </row>
    <row r="67" spans="1:34" ht="28.5">
      <c r="A67" s="366" t="s">
        <v>716</v>
      </c>
      <c r="B67" s="196" t="s">
        <v>502</v>
      </c>
      <c r="C67" s="196" t="s">
        <v>86</v>
      </c>
      <c r="D67" s="335">
        <v>32</v>
      </c>
      <c r="E67" s="335">
        <v>0</v>
      </c>
      <c r="F67" s="335">
        <v>3</v>
      </c>
      <c r="G67" s="335">
        <v>0</v>
      </c>
      <c r="H67" s="335">
        <v>0</v>
      </c>
      <c r="I67" s="335">
        <v>19</v>
      </c>
      <c r="J67" s="335">
        <v>254</v>
      </c>
      <c r="K67" s="335">
        <v>0</v>
      </c>
      <c r="L67" s="335">
        <v>308</v>
      </c>
      <c r="M67" s="335">
        <v>4</v>
      </c>
      <c r="N67" s="335">
        <v>0</v>
      </c>
      <c r="O67" s="335">
        <v>0</v>
      </c>
      <c r="P67" s="335">
        <v>0</v>
      </c>
      <c r="Q67" s="335">
        <v>0</v>
      </c>
      <c r="R67" s="335">
        <v>3</v>
      </c>
      <c r="S67" s="335">
        <v>42</v>
      </c>
      <c r="T67" s="335">
        <v>0</v>
      </c>
      <c r="U67" s="335">
        <v>49</v>
      </c>
      <c r="V67" s="335">
        <v>47</v>
      </c>
      <c r="W67" s="335">
        <v>49</v>
      </c>
      <c r="X67" s="335">
        <v>47</v>
      </c>
      <c r="Y67" s="381">
        <f t="shared" si="0"/>
        <v>195896</v>
      </c>
      <c r="Z67" s="335">
        <v>0</v>
      </c>
      <c r="AA67" s="335">
        <v>0</v>
      </c>
      <c r="AB67" s="335">
        <v>0</v>
      </c>
      <c r="AF67" s="394"/>
      <c r="AH67" s="366"/>
    </row>
    <row r="68" spans="1:34" ht="14.25">
      <c r="A68" s="366" t="s">
        <v>717</v>
      </c>
      <c r="B68" s="196" t="s">
        <v>290</v>
      </c>
      <c r="C68" s="196" t="s">
        <v>86</v>
      </c>
      <c r="D68" s="335">
        <v>10</v>
      </c>
      <c r="E68" s="335">
        <v>0</v>
      </c>
      <c r="F68" s="335">
        <v>0</v>
      </c>
      <c r="G68" s="335">
        <v>0</v>
      </c>
      <c r="H68" s="335">
        <v>0</v>
      </c>
      <c r="I68" s="335">
        <v>8</v>
      </c>
      <c r="J68" s="335">
        <v>62</v>
      </c>
      <c r="K68" s="335">
        <v>0</v>
      </c>
      <c r="L68" s="335">
        <v>80</v>
      </c>
      <c r="M68" s="335">
        <v>1</v>
      </c>
      <c r="N68" s="335">
        <v>0</v>
      </c>
      <c r="O68" s="335">
        <v>0</v>
      </c>
      <c r="P68" s="335">
        <v>0</v>
      </c>
      <c r="Q68" s="335">
        <v>0</v>
      </c>
      <c r="R68" s="335">
        <v>4</v>
      </c>
      <c r="S68" s="335">
        <v>10</v>
      </c>
      <c r="T68" s="335">
        <v>0</v>
      </c>
      <c r="U68" s="335">
        <v>15</v>
      </c>
      <c r="V68" s="335">
        <v>14.5</v>
      </c>
      <c r="W68" s="335">
        <v>15</v>
      </c>
      <c r="X68" s="335">
        <v>14.5</v>
      </c>
      <c r="Y68" s="381">
        <f t="shared" si="0"/>
        <v>60436</v>
      </c>
      <c r="Z68" s="335">
        <v>0</v>
      </c>
      <c r="AA68" s="335">
        <v>0</v>
      </c>
      <c r="AB68" s="335">
        <v>0</v>
      </c>
      <c r="AF68" s="394"/>
      <c r="AH68" s="366"/>
    </row>
    <row r="69" spans="1:34" ht="28.5">
      <c r="A69" s="366" t="s">
        <v>718</v>
      </c>
      <c r="B69" s="196" t="s">
        <v>197</v>
      </c>
      <c r="C69" s="196" t="s">
        <v>607</v>
      </c>
      <c r="D69" s="335">
        <v>0</v>
      </c>
      <c r="E69" s="335">
        <v>0</v>
      </c>
      <c r="F69" s="335">
        <v>0</v>
      </c>
      <c r="G69" s="335">
        <v>0</v>
      </c>
      <c r="H69" s="335">
        <v>0</v>
      </c>
      <c r="I69" s="335">
        <v>0</v>
      </c>
      <c r="J69" s="335">
        <v>0</v>
      </c>
      <c r="K69" s="335">
        <v>672</v>
      </c>
      <c r="L69" s="335">
        <v>672</v>
      </c>
      <c r="M69" s="335">
        <v>0</v>
      </c>
      <c r="N69" s="335">
        <v>0</v>
      </c>
      <c r="O69" s="335">
        <v>0</v>
      </c>
      <c r="P69" s="335">
        <v>0</v>
      </c>
      <c r="Q69" s="335">
        <v>0</v>
      </c>
      <c r="R69" s="335">
        <v>0</v>
      </c>
      <c r="S69" s="335">
        <v>0</v>
      </c>
      <c r="T69" s="335">
        <v>111</v>
      </c>
      <c r="U69" s="335">
        <v>111</v>
      </c>
      <c r="V69" s="335">
        <v>111</v>
      </c>
      <c r="W69" s="335">
        <v>0</v>
      </c>
      <c r="X69" s="335">
        <v>0</v>
      </c>
      <c r="Y69" s="381">
        <f aca="true" t="shared" si="1" ref="Y69:Y132">((T69*CY_9_12_Pmt)+(X69*CY_K_8_Pmt))/2</f>
        <v>498501</v>
      </c>
      <c r="Z69" s="335">
        <v>19</v>
      </c>
      <c r="AA69" s="335">
        <v>0</v>
      </c>
      <c r="AB69" s="335">
        <v>0</v>
      </c>
      <c r="AF69" s="394"/>
      <c r="AH69" s="366"/>
    </row>
    <row r="70" spans="1:34" ht="28.5">
      <c r="A70" s="366" t="s">
        <v>719</v>
      </c>
      <c r="B70" s="196" t="s">
        <v>98</v>
      </c>
      <c r="C70" s="196" t="s">
        <v>607</v>
      </c>
      <c r="D70" s="335">
        <v>0</v>
      </c>
      <c r="E70" s="335">
        <v>0</v>
      </c>
      <c r="F70" s="335">
        <v>0</v>
      </c>
      <c r="G70" s="335">
        <v>0</v>
      </c>
      <c r="H70" s="335">
        <v>0</v>
      </c>
      <c r="I70" s="335">
        <v>0</v>
      </c>
      <c r="J70" s="335">
        <v>0</v>
      </c>
      <c r="K70" s="335">
        <v>317</v>
      </c>
      <c r="L70" s="335">
        <v>317</v>
      </c>
      <c r="M70" s="335">
        <v>0</v>
      </c>
      <c r="N70" s="335">
        <v>0</v>
      </c>
      <c r="O70" s="335">
        <v>0</v>
      </c>
      <c r="P70" s="335">
        <v>0</v>
      </c>
      <c r="Q70" s="335">
        <v>0</v>
      </c>
      <c r="R70" s="335">
        <v>0</v>
      </c>
      <c r="S70" s="335">
        <v>0</v>
      </c>
      <c r="T70" s="335">
        <v>80</v>
      </c>
      <c r="U70" s="335">
        <v>80</v>
      </c>
      <c r="V70" s="335">
        <v>80</v>
      </c>
      <c r="W70" s="335">
        <v>0</v>
      </c>
      <c r="X70" s="335">
        <v>0</v>
      </c>
      <c r="Y70" s="381">
        <f t="shared" si="1"/>
        <v>359280</v>
      </c>
      <c r="Z70" s="335">
        <v>103</v>
      </c>
      <c r="AA70" s="335">
        <v>0</v>
      </c>
      <c r="AB70" s="335">
        <v>0</v>
      </c>
      <c r="AF70" s="394"/>
      <c r="AH70" s="366"/>
    </row>
    <row r="71" spans="1:34" ht="14.25">
      <c r="A71" s="366" t="s">
        <v>720</v>
      </c>
      <c r="B71" s="196" t="s">
        <v>98</v>
      </c>
      <c r="C71" s="196" t="s">
        <v>86</v>
      </c>
      <c r="D71" s="335">
        <v>0</v>
      </c>
      <c r="E71" s="335">
        <v>0</v>
      </c>
      <c r="F71" s="335">
        <v>0</v>
      </c>
      <c r="G71" s="335">
        <v>0</v>
      </c>
      <c r="H71" s="335">
        <v>0</v>
      </c>
      <c r="I71" s="335">
        <v>0</v>
      </c>
      <c r="J71" s="335">
        <v>0</v>
      </c>
      <c r="K71" s="335">
        <v>317</v>
      </c>
      <c r="L71" s="335">
        <v>317</v>
      </c>
      <c r="M71" s="335">
        <v>0</v>
      </c>
      <c r="N71" s="335">
        <v>0</v>
      </c>
      <c r="O71" s="335">
        <v>0</v>
      </c>
      <c r="P71" s="335">
        <v>0</v>
      </c>
      <c r="Q71" s="335">
        <v>0</v>
      </c>
      <c r="R71" s="335">
        <v>0</v>
      </c>
      <c r="S71" s="335">
        <v>0</v>
      </c>
      <c r="T71" s="335">
        <v>13</v>
      </c>
      <c r="U71" s="335">
        <v>13</v>
      </c>
      <c r="V71" s="335">
        <v>13</v>
      </c>
      <c r="W71" s="335">
        <v>0</v>
      </c>
      <c r="X71" s="335">
        <v>0</v>
      </c>
      <c r="Y71" s="381">
        <f t="shared" si="1"/>
        <v>58383</v>
      </c>
      <c r="Z71" s="335">
        <v>0</v>
      </c>
      <c r="AA71" s="335">
        <v>0</v>
      </c>
      <c r="AB71" s="335">
        <v>0</v>
      </c>
      <c r="AF71" s="394"/>
      <c r="AH71" s="366"/>
    </row>
    <row r="72" spans="1:34" ht="28.5">
      <c r="A72" s="366" t="s">
        <v>721</v>
      </c>
      <c r="B72" s="196" t="s">
        <v>99</v>
      </c>
      <c r="C72" s="196" t="s">
        <v>607</v>
      </c>
      <c r="D72" s="335">
        <v>0</v>
      </c>
      <c r="E72" s="335">
        <v>9</v>
      </c>
      <c r="F72" s="335">
        <v>0</v>
      </c>
      <c r="G72" s="335">
        <v>0</v>
      </c>
      <c r="H72" s="335">
        <v>0</v>
      </c>
      <c r="I72" s="335">
        <v>11</v>
      </c>
      <c r="J72" s="335">
        <v>115</v>
      </c>
      <c r="K72" s="335">
        <v>92</v>
      </c>
      <c r="L72" s="335">
        <v>227</v>
      </c>
      <c r="M72" s="335">
        <v>0</v>
      </c>
      <c r="N72" s="335">
        <v>9</v>
      </c>
      <c r="O72" s="335">
        <v>0</v>
      </c>
      <c r="P72" s="335">
        <v>0</v>
      </c>
      <c r="Q72" s="335">
        <v>0</v>
      </c>
      <c r="R72" s="335">
        <v>11</v>
      </c>
      <c r="S72" s="335">
        <v>115</v>
      </c>
      <c r="T72" s="335">
        <v>92</v>
      </c>
      <c r="U72" s="335">
        <v>227</v>
      </c>
      <c r="V72" s="335">
        <v>223.4</v>
      </c>
      <c r="W72" s="335">
        <v>135</v>
      </c>
      <c r="X72" s="335">
        <v>131.4</v>
      </c>
      <c r="Y72" s="381">
        <f t="shared" si="1"/>
        <v>960847.2000000001</v>
      </c>
      <c r="Z72" s="335">
        <v>0</v>
      </c>
      <c r="AA72" s="335">
        <v>0</v>
      </c>
      <c r="AB72" s="335">
        <v>0</v>
      </c>
      <c r="AF72" s="394"/>
      <c r="AH72" s="366"/>
    </row>
    <row r="73" spans="1:34" ht="28.5">
      <c r="A73" s="366" t="s">
        <v>722</v>
      </c>
      <c r="B73" s="196" t="s">
        <v>503</v>
      </c>
      <c r="C73" s="196" t="s">
        <v>607</v>
      </c>
      <c r="D73" s="335">
        <v>0</v>
      </c>
      <c r="E73" s="335">
        <v>29</v>
      </c>
      <c r="F73" s="335">
        <v>0</v>
      </c>
      <c r="G73" s="335">
        <v>0</v>
      </c>
      <c r="H73" s="335">
        <v>0</v>
      </c>
      <c r="I73" s="335">
        <v>25</v>
      </c>
      <c r="J73" s="335">
        <v>257</v>
      </c>
      <c r="K73" s="335">
        <v>73</v>
      </c>
      <c r="L73" s="335">
        <v>384</v>
      </c>
      <c r="M73" s="335">
        <v>0</v>
      </c>
      <c r="N73" s="335">
        <v>18</v>
      </c>
      <c r="O73" s="335">
        <v>0</v>
      </c>
      <c r="P73" s="335">
        <v>0</v>
      </c>
      <c r="Q73" s="335">
        <v>0</v>
      </c>
      <c r="R73" s="335">
        <v>22</v>
      </c>
      <c r="S73" s="335">
        <v>173</v>
      </c>
      <c r="T73" s="335">
        <v>48</v>
      </c>
      <c r="U73" s="335">
        <v>261</v>
      </c>
      <c r="V73" s="335">
        <v>253.8</v>
      </c>
      <c r="W73" s="335">
        <v>213</v>
      </c>
      <c r="X73" s="335">
        <v>205.8</v>
      </c>
      <c r="Y73" s="381">
        <f t="shared" si="1"/>
        <v>1073342.4</v>
      </c>
      <c r="Z73" s="335">
        <v>20</v>
      </c>
      <c r="AA73" s="335">
        <v>0</v>
      </c>
      <c r="AB73" s="335">
        <v>0</v>
      </c>
      <c r="AF73" s="394"/>
      <c r="AH73" s="366"/>
    </row>
    <row r="74" spans="1:34" ht="14.25">
      <c r="A74" s="366" t="s">
        <v>723</v>
      </c>
      <c r="B74" s="196" t="s">
        <v>503</v>
      </c>
      <c r="C74" s="196" t="s">
        <v>86</v>
      </c>
      <c r="D74" s="335">
        <v>0</v>
      </c>
      <c r="E74" s="335">
        <v>29</v>
      </c>
      <c r="F74" s="335">
        <v>0</v>
      </c>
      <c r="G74" s="335">
        <v>0</v>
      </c>
      <c r="H74" s="335">
        <v>0</v>
      </c>
      <c r="I74" s="335">
        <v>25</v>
      </c>
      <c r="J74" s="335">
        <v>257</v>
      </c>
      <c r="K74" s="335">
        <v>73</v>
      </c>
      <c r="L74" s="335">
        <v>384</v>
      </c>
      <c r="M74" s="335">
        <v>0</v>
      </c>
      <c r="N74" s="335">
        <v>4</v>
      </c>
      <c r="O74" s="335">
        <v>0</v>
      </c>
      <c r="P74" s="335">
        <v>0</v>
      </c>
      <c r="Q74" s="335">
        <v>0</v>
      </c>
      <c r="R74" s="335">
        <v>3</v>
      </c>
      <c r="S74" s="335">
        <v>29</v>
      </c>
      <c r="T74" s="335">
        <v>11</v>
      </c>
      <c r="U74" s="335">
        <v>47</v>
      </c>
      <c r="V74" s="335">
        <v>45.4</v>
      </c>
      <c r="W74" s="335">
        <v>36</v>
      </c>
      <c r="X74" s="335">
        <v>34.4</v>
      </c>
      <c r="Y74" s="381">
        <f t="shared" si="1"/>
        <v>192780.19999999998</v>
      </c>
      <c r="Z74" s="335">
        <v>0</v>
      </c>
      <c r="AA74" s="335">
        <v>0</v>
      </c>
      <c r="AB74" s="335">
        <v>0</v>
      </c>
      <c r="AF74" s="394"/>
      <c r="AH74" s="366"/>
    </row>
    <row r="75" spans="1:34" ht="28.5">
      <c r="A75" s="366" t="s">
        <v>724</v>
      </c>
      <c r="B75" s="196" t="s">
        <v>522</v>
      </c>
      <c r="C75" s="196" t="s">
        <v>86</v>
      </c>
      <c r="D75" s="335">
        <v>21</v>
      </c>
      <c r="E75" s="335">
        <v>0</v>
      </c>
      <c r="F75" s="335">
        <v>0</v>
      </c>
      <c r="G75" s="335">
        <v>0</v>
      </c>
      <c r="H75" s="335">
        <v>0</v>
      </c>
      <c r="I75" s="335">
        <v>14</v>
      </c>
      <c r="J75" s="335">
        <v>83</v>
      </c>
      <c r="K75" s="335">
        <v>0</v>
      </c>
      <c r="L75" s="335">
        <v>118</v>
      </c>
      <c r="M75" s="335">
        <v>7</v>
      </c>
      <c r="N75" s="335">
        <v>0</v>
      </c>
      <c r="O75" s="335">
        <v>0</v>
      </c>
      <c r="P75" s="335">
        <v>0</v>
      </c>
      <c r="Q75" s="335">
        <v>0</v>
      </c>
      <c r="R75" s="335">
        <v>8</v>
      </c>
      <c r="S75" s="335">
        <v>36</v>
      </c>
      <c r="T75" s="335">
        <v>0</v>
      </c>
      <c r="U75" s="335">
        <v>51</v>
      </c>
      <c r="V75" s="335">
        <v>47.5</v>
      </c>
      <c r="W75" s="335">
        <v>51</v>
      </c>
      <c r="X75" s="335">
        <v>47.5</v>
      </c>
      <c r="Y75" s="381">
        <f t="shared" si="1"/>
        <v>197980</v>
      </c>
      <c r="Z75" s="335">
        <v>0</v>
      </c>
      <c r="AA75" s="335">
        <v>0</v>
      </c>
      <c r="AB75" s="335">
        <v>0</v>
      </c>
      <c r="AF75" s="394"/>
      <c r="AH75" s="366"/>
    </row>
    <row r="76" spans="1:34" ht="28.5">
      <c r="A76" s="366" t="s">
        <v>725</v>
      </c>
      <c r="B76" s="196" t="s">
        <v>441</v>
      </c>
      <c r="C76" s="196" t="s">
        <v>607</v>
      </c>
      <c r="D76" s="335">
        <v>0</v>
      </c>
      <c r="E76" s="335">
        <v>0</v>
      </c>
      <c r="F76" s="335">
        <v>0</v>
      </c>
      <c r="G76" s="335">
        <v>0</v>
      </c>
      <c r="H76" s="335">
        <v>0</v>
      </c>
      <c r="I76" s="335">
        <v>0</v>
      </c>
      <c r="J76" s="335">
        <v>0</v>
      </c>
      <c r="K76" s="335">
        <v>127</v>
      </c>
      <c r="L76" s="335">
        <v>127</v>
      </c>
      <c r="M76" s="335">
        <v>0</v>
      </c>
      <c r="N76" s="335">
        <v>0</v>
      </c>
      <c r="O76" s="335">
        <v>0</v>
      </c>
      <c r="P76" s="335">
        <v>0</v>
      </c>
      <c r="Q76" s="335">
        <v>0</v>
      </c>
      <c r="R76" s="335">
        <v>0</v>
      </c>
      <c r="S76" s="335">
        <v>0</v>
      </c>
      <c r="T76" s="335">
        <v>98</v>
      </c>
      <c r="U76" s="335">
        <v>98</v>
      </c>
      <c r="V76" s="335">
        <v>98</v>
      </c>
      <c r="W76" s="335">
        <v>0</v>
      </c>
      <c r="X76" s="335">
        <v>0</v>
      </c>
      <c r="Y76" s="381">
        <f t="shared" si="1"/>
        <v>440118</v>
      </c>
      <c r="Z76" s="335">
        <v>0</v>
      </c>
      <c r="AA76" s="335">
        <v>0</v>
      </c>
      <c r="AB76" s="335">
        <v>0</v>
      </c>
      <c r="AF76" s="394"/>
      <c r="AH76" s="366"/>
    </row>
    <row r="77" spans="1:34" ht="28.5">
      <c r="A77" s="366" t="s">
        <v>726</v>
      </c>
      <c r="B77" s="196" t="s">
        <v>100</v>
      </c>
      <c r="C77" s="196" t="s">
        <v>607</v>
      </c>
      <c r="D77" s="335">
        <v>6</v>
      </c>
      <c r="E77" s="335">
        <v>0</v>
      </c>
      <c r="F77" s="335">
        <v>2</v>
      </c>
      <c r="G77" s="335">
        <v>0</v>
      </c>
      <c r="H77" s="335">
        <v>0</v>
      </c>
      <c r="I77" s="335">
        <v>9</v>
      </c>
      <c r="J77" s="335">
        <v>59</v>
      </c>
      <c r="K77" s="335">
        <v>0</v>
      </c>
      <c r="L77" s="335">
        <v>76</v>
      </c>
      <c r="M77" s="335">
        <v>2</v>
      </c>
      <c r="N77" s="335">
        <v>0</v>
      </c>
      <c r="O77" s="335">
        <v>1</v>
      </c>
      <c r="P77" s="335">
        <v>0</v>
      </c>
      <c r="Q77" s="335">
        <v>0</v>
      </c>
      <c r="R77" s="335">
        <v>3</v>
      </c>
      <c r="S77" s="335">
        <v>23</v>
      </c>
      <c r="T77" s="335">
        <v>0</v>
      </c>
      <c r="U77" s="335">
        <v>29</v>
      </c>
      <c r="V77" s="335">
        <v>27.5</v>
      </c>
      <c r="W77" s="335">
        <v>29</v>
      </c>
      <c r="X77" s="335">
        <v>27.5</v>
      </c>
      <c r="Y77" s="381">
        <f t="shared" si="1"/>
        <v>114620</v>
      </c>
      <c r="Z77" s="335">
        <v>0</v>
      </c>
      <c r="AA77" s="335">
        <v>0</v>
      </c>
      <c r="AB77" s="335">
        <v>0</v>
      </c>
      <c r="AF77" s="394"/>
      <c r="AH77" s="366"/>
    </row>
    <row r="78" spans="1:34" ht="14.25">
      <c r="A78" s="366" t="s">
        <v>727</v>
      </c>
      <c r="B78" s="196" t="s">
        <v>100</v>
      </c>
      <c r="C78" s="196" t="s">
        <v>86</v>
      </c>
      <c r="D78" s="335">
        <v>6</v>
      </c>
      <c r="E78" s="335">
        <v>0</v>
      </c>
      <c r="F78" s="335">
        <v>2</v>
      </c>
      <c r="G78" s="335">
        <v>0</v>
      </c>
      <c r="H78" s="335">
        <v>0</v>
      </c>
      <c r="I78" s="335">
        <v>9</v>
      </c>
      <c r="J78" s="335">
        <v>59</v>
      </c>
      <c r="K78" s="335">
        <v>0</v>
      </c>
      <c r="L78" s="335">
        <v>76</v>
      </c>
      <c r="M78" s="335">
        <v>0</v>
      </c>
      <c r="N78" s="335">
        <v>0</v>
      </c>
      <c r="O78" s="335">
        <v>0</v>
      </c>
      <c r="P78" s="335">
        <v>0</v>
      </c>
      <c r="Q78" s="335">
        <v>0</v>
      </c>
      <c r="R78" s="335">
        <v>2</v>
      </c>
      <c r="S78" s="335">
        <v>6</v>
      </c>
      <c r="T78" s="335">
        <v>0</v>
      </c>
      <c r="U78" s="335">
        <v>8</v>
      </c>
      <c r="V78" s="335">
        <v>8</v>
      </c>
      <c r="W78" s="335">
        <v>8</v>
      </c>
      <c r="X78" s="335">
        <v>8</v>
      </c>
      <c r="Y78" s="381">
        <f t="shared" si="1"/>
        <v>33344</v>
      </c>
      <c r="Z78" s="335">
        <v>0</v>
      </c>
      <c r="AA78" s="335">
        <v>0</v>
      </c>
      <c r="AB78" s="335">
        <v>0</v>
      </c>
      <c r="AF78" s="394"/>
      <c r="AH78" s="366"/>
    </row>
    <row r="79" spans="1:34" ht="14.25">
      <c r="A79" s="366" t="s">
        <v>728</v>
      </c>
      <c r="B79" s="196" t="s">
        <v>264</v>
      </c>
      <c r="C79" s="196" t="s">
        <v>86</v>
      </c>
      <c r="D79" s="335">
        <v>32</v>
      </c>
      <c r="E79" s="335">
        <v>0</v>
      </c>
      <c r="F79" s="335">
        <v>0</v>
      </c>
      <c r="G79" s="335">
        <v>0</v>
      </c>
      <c r="H79" s="335">
        <v>0</v>
      </c>
      <c r="I79" s="335">
        <v>29</v>
      </c>
      <c r="J79" s="335">
        <v>156</v>
      </c>
      <c r="K79" s="335">
        <v>0</v>
      </c>
      <c r="L79" s="335">
        <v>217</v>
      </c>
      <c r="M79" s="335">
        <v>9</v>
      </c>
      <c r="N79" s="335">
        <v>0</v>
      </c>
      <c r="O79" s="335">
        <v>0</v>
      </c>
      <c r="P79" s="335">
        <v>0</v>
      </c>
      <c r="Q79" s="335">
        <v>0</v>
      </c>
      <c r="R79" s="335">
        <v>12</v>
      </c>
      <c r="S79" s="335">
        <v>41</v>
      </c>
      <c r="T79" s="335">
        <v>0</v>
      </c>
      <c r="U79" s="335">
        <v>62</v>
      </c>
      <c r="V79" s="335">
        <v>57.5</v>
      </c>
      <c r="W79" s="335">
        <v>62</v>
      </c>
      <c r="X79" s="335">
        <v>57.5</v>
      </c>
      <c r="Y79" s="381">
        <f t="shared" si="1"/>
        <v>239660</v>
      </c>
      <c r="Z79" s="335">
        <v>0</v>
      </c>
      <c r="AA79" s="335">
        <v>0</v>
      </c>
      <c r="AB79" s="335">
        <v>0</v>
      </c>
      <c r="AF79" s="394"/>
      <c r="AH79" s="366"/>
    </row>
    <row r="80" spans="1:34" ht="14.25">
      <c r="A80" s="366" t="s">
        <v>729</v>
      </c>
      <c r="B80" s="196" t="s">
        <v>101</v>
      </c>
      <c r="C80" s="196" t="s">
        <v>608</v>
      </c>
      <c r="D80" s="335">
        <v>44</v>
      </c>
      <c r="E80" s="335">
        <v>0</v>
      </c>
      <c r="F80" s="335">
        <v>0</v>
      </c>
      <c r="G80" s="335">
        <v>0</v>
      </c>
      <c r="H80" s="335">
        <v>0</v>
      </c>
      <c r="I80" s="335">
        <v>48</v>
      </c>
      <c r="J80" s="335">
        <v>346</v>
      </c>
      <c r="K80" s="335">
        <v>0</v>
      </c>
      <c r="L80" s="335">
        <v>438</v>
      </c>
      <c r="M80" s="335">
        <v>44</v>
      </c>
      <c r="N80" s="335">
        <v>0</v>
      </c>
      <c r="O80" s="335">
        <v>0</v>
      </c>
      <c r="P80" s="335">
        <v>0</v>
      </c>
      <c r="Q80" s="335">
        <v>0</v>
      </c>
      <c r="R80" s="335">
        <v>48</v>
      </c>
      <c r="S80" s="335">
        <v>339</v>
      </c>
      <c r="T80" s="335">
        <v>0</v>
      </c>
      <c r="U80" s="335">
        <v>431</v>
      </c>
      <c r="V80" s="335">
        <v>409</v>
      </c>
      <c r="W80" s="335">
        <v>431</v>
      </c>
      <c r="X80" s="335">
        <v>409</v>
      </c>
      <c r="Y80" s="381">
        <f t="shared" si="1"/>
        <v>1704712</v>
      </c>
      <c r="Z80" s="335">
        <v>0</v>
      </c>
      <c r="AA80" s="335">
        <v>6</v>
      </c>
      <c r="AB80" s="335">
        <v>0</v>
      </c>
      <c r="AF80" s="394"/>
      <c r="AH80" s="366"/>
    </row>
    <row r="81" spans="1:34" ht="14.25">
      <c r="A81" s="366" t="s">
        <v>730</v>
      </c>
      <c r="B81" s="196" t="s">
        <v>370</v>
      </c>
      <c r="C81" s="196" t="s">
        <v>86</v>
      </c>
      <c r="D81" s="335">
        <v>0</v>
      </c>
      <c r="E81" s="335">
        <v>0</v>
      </c>
      <c r="F81" s="335">
        <v>30</v>
      </c>
      <c r="G81" s="335">
        <v>0</v>
      </c>
      <c r="H81" s="335">
        <v>0</v>
      </c>
      <c r="I81" s="335">
        <v>0</v>
      </c>
      <c r="J81" s="335">
        <v>183</v>
      </c>
      <c r="K81" s="335">
        <v>42</v>
      </c>
      <c r="L81" s="335">
        <v>255</v>
      </c>
      <c r="M81" s="335">
        <v>0</v>
      </c>
      <c r="N81" s="335">
        <v>0</v>
      </c>
      <c r="O81" s="335">
        <v>14</v>
      </c>
      <c r="P81" s="335">
        <v>0</v>
      </c>
      <c r="Q81" s="335">
        <v>0</v>
      </c>
      <c r="R81" s="335">
        <v>0</v>
      </c>
      <c r="S81" s="335">
        <v>92</v>
      </c>
      <c r="T81" s="335">
        <v>23</v>
      </c>
      <c r="U81" s="335">
        <v>129</v>
      </c>
      <c r="V81" s="335">
        <v>122</v>
      </c>
      <c r="W81" s="335">
        <v>106</v>
      </c>
      <c r="X81" s="335">
        <v>99</v>
      </c>
      <c r="Y81" s="381">
        <f t="shared" si="1"/>
        <v>515925</v>
      </c>
      <c r="Z81" s="335">
        <v>0</v>
      </c>
      <c r="AA81" s="335">
        <v>0</v>
      </c>
      <c r="AB81" s="335">
        <v>0</v>
      </c>
      <c r="AF81" s="394"/>
      <c r="AH81" s="366"/>
    </row>
    <row r="82" spans="1:34" ht="14.25">
      <c r="A82" s="366" t="s">
        <v>731</v>
      </c>
      <c r="B82" s="196" t="s">
        <v>324</v>
      </c>
      <c r="C82" s="196" t="s">
        <v>86</v>
      </c>
      <c r="D82" s="335">
        <v>5</v>
      </c>
      <c r="E82" s="335">
        <v>0</v>
      </c>
      <c r="F82" s="335">
        <v>0</v>
      </c>
      <c r="G82" s="335">
        <v>0</v>
      </c>
      <c r="H82" s="335">
        <v>0</v>
      </c>
      <c r="I82" s="335">
        <v>11</v>
      </c>
      <c r="J82" s="335">
        <v>79</v>
      </c>
      <c r="K82" s="335">
        <v>24</v>
      </c>
      <c r="L82" s="335">
        <v>119</v>
      </c>
      <c r="M82" s="335">
        <v>1</v>
      </c>
      <c r="N82" s="335">
        <v>0</v>
      </c>
      <c r="O82" s="335">
        <v>0</v>
      </c>
      <c r="P82" s="335">
        <v>0</v>
      </c>
      <c r="Q82" s="335">
        <v>0</v>
      </c>
      <c r="R82" s="335">
        <v>7</v>
      </c>
      <c r="S82" s="335">
        <v>49</v>
      </c>
      <c r="T82" s="335">
        <v>11</v>
      </c>
      <c r="U82" s="335">
        <v>68</v>
      </c>
      <c r="V82" s="335">
        <v>67.5</v>
      </c>
      <c r="W82" s="335">
        <v>57</v>
      </c>
      <c r="X82" s="335">
        <v>56.5</v>
      </c>
      <c r="Y82" s="381">
        <f t="shared" si="1"/>
        <v>284893</v>
      </c>
      <c r="Z82" s="335">
        <v>0</v>
      </c>
      <c r="AA82" s="335">
        <v>0</v>
      </c>
      <c r="AB82" s="335">
        <v>0</v>
      </c>
      <c r="AF82" s="394"/>
      <c r="AH82" s="366"/>
    </row>
    <row r="83" spans="1:34" ht="14.25">
      <c r="A83" s="366" t="s">
        <v>732</v>
      </c>
      <c r="B83" s="196" t="s">
        <v>470</v>
      </c>
      <c r="C83" s="196" t="s">
        <v>86</v>
      </c>
      <c r="D83" s="335">
        <v>26</v>
      </c>
      <c r="E83" s="335">
        <v>0</v>
      </c>
      <c r="F83" s="335">
        <v>0</v>
      </c>
      <c r="G83" s="335">
        <v>0</v>
      </c>
      <c r="H83" s="335">
        <v>0</v>
      </c>
      <c r="I83" s="335">
        <v>25</v>
      </c>
      <c r="J83" s="335">
        <v>204</v>
      </c>
      <c r="K83" s="335">
        <v>0</v>
      </c>
      <c r="L83" s="335">
        <v>255</v>
      </c>
      <c r="M83" s="335">
        <v>8</v>
      </c>
      <c r="N83" s="335">
        <v>0</v>
      </c>
      <c r="O83" s="335">
        <v>0</v>
      </c>
      <c r="P83" s="335">
        <v>0</v>
      </c>
      <c r="Q83" s="335">
        <v>0</v>
      </c>
      <c r="R83" s="335">
        <v>10</v>
      </c>
      <c r="S83" s="335">
        <v>68</v>
      </c>
      <c r="T83" s="335">
        <v>0</v>
      </c>
      <c r="U83" s="335">
        <v>86</v>
      </c>
      <c r="V83" s="335">
        <v>82</v>
      </c>
      <c r="W83" s="335">
        <v>86</v>
      </c>
      <c r="X83" s="335">
        <v>82</v>
      </c>
      <c r="Y83" s="381">
        <f t="shared" si="1"/>
        <v>341776</v>
      </c>
      <c r="Z83" s="335">
        <v>0</v>
      </c>
      <c r="AA83" s="335">
        <v>0</v>
      </c>
      <c r="AB83" s="335">
        <v>0</v>
      </c>
      <c r="AF83" s="394"/>
      <c r="AH83" s="366"/>
    </row>
    <row r="84" spans="1:34" ht="28.5">
      <c r="A84" s="366" t="s">
        <v>733</v>
      </c>
      <c r="B84" s="196" t="s">
        <v>618</v>
      </c>
      <c r="C84" s="196" t="s">
        <v>86</v>
      </c>
      <c r="D84" s="335">
        <v>4</v>
      </c>
      <c r="E84" s="335">
        <v>0</v>
      </c>
      <c r="F84" s="335">
        <v>0</v>
      </c>
      <c r="G84" s="335">
        <v>0</v>
      </c>
      <c r="H84" s="335">
        <v>0</v>
      </c>
      <c r="I84" s="335">
        <v>4</v>
      </c>
      <c r="J84" s="335">
        <v>33</v>
      </c>
      <c r="K84" s="335">
        <v>0</v>
      </c>
      <c r="L84" s="335">
        <v>41</v>
      </c>
      <c r="M84" s="335">
        <v>2</v>
      </c>
      <c r="N84" s="335">
        <v>0</v>
      </c>
      <c r="O84" s="335">
        <v>0</v>
      </c>
      <c r="P84" s="335">
        <v>0</v>
      </c>
      <c r="Q84" s="335">
        <v>0</v>
      </c>
      <c r="R84" s="335">
        <v>3</v>
      </c>
      <c r="S84" s="335">
        <v>9</v>
      </c>
      <c r="T84" s="335">
        <v>0</v>
      </c>
      <c r="U84" s="335">
        <v>14</v>
      </c>
      <c r="V84" s="335">
        <v>13</v>
      </c>
      <c r="W84" s="335">
        <v>14</v>
      </c>
      <c r="X84" s="335">
        <v>13</v>
      </c>
      <c r="Y84" s="381">
        <f t="shared" si="1"/>
        <v>54184</v>
      </c>
      <c r="Z84" s="335">
        <v>0</v>
      </c>
      <c r="AA84" s="335">
        <v>0</v>
      </c>
      <c r="AB84" s="335">
        <v>0</v>
      </c>
      <c r="AF84" s="394"/>
      <c r="AH84" s="366"/>
    </row>
    <row r="85" spans="1:34" ht="28.5">
      <c r="A85" s="366" t="s">
        <v>734</v>
      </c>
      <c r="B85" s="196" t="s">
        <v>619</v>
      </c>
      <c r="C85" s="196" t="s">
        <v>86</v>
      </c>
      <c r="D85" s="335">
        <v>9</v>
      </c>
      <c r="E85" s="335">
        <v>0</v>
      </c>
      <c r="F85" s="335">
        <v>0</v>
      </c>
      <c r="G85" s="335">
        <v>0</v>
      </c>
      <c r="H85" s="335">
        <v>0</v>
      </c>
      <c r="I85" s="335">
        <v>22</v>
      </c>
      <c r="J85" s="335">
        <v>119</v>
      </c>
      <c r="K85" s="335">
        <v>0</v>
      </c>
      <c r="L85" s="335">
        <v>150</v>
      </c>
      <c r="M85" s="335">
        <v>2</v>
      </c>
      <c r="N85" s="335">
        <v>0</v>
      </c>
      <c r="O85" s="335">
        <v>0</v>
      </c>
      <c r="P85" s="335">
        <v>0</v>
      </c>
      <c r="Q85" s="335">
        <v>0</v>
      </c>
      <c r="R85" s="335">
        <v>5</v>
      </c>
      <c r="S85" s="335">
        <v>28</v>
      </c>
      <c r="T85" s="335">
        <v>0</v>
      </c>
      <c r="U85" s="335">
        <v>35</v>
      </c>
      <c r="V85" s="335">
        <v>34</v>
      </c>
      <c r="W85" s="335">
        <v>35</v>
      </c>
      <c r="X85" s="335">
        <v>34</v>
      </c>
      <c r="Y85" s="381">
        <f t="shared" si="1"/>
        <v>141712</v>
      </c>
      <c r="Z85" s="335">
        <v>0</v>
      </c>
      <c r="AA85" s="335">
        <v>0</v>
      </c>
      <c r="AB85" s="335">
        <v>0</v>
      </c>
      <c r="AF85" s="394"/>
      <c r="AH85" s="366"/>
    </row>
    <row r="86" spans="1:34" ht="28.5">
      <c r="A86" s="366" t="s">
        <v>735</v>
      </c>
      <c r="B86" s="196" t="s">
        <v>504</v>
      </c>
      <c r="C86" s="196" t="s">
        <v>86</v>
      </c>
      <c r="D86" s="335">
        <v>9</v>
      </c>
      <c r="E86" s="335">
        <v>0</v>
      </c>
      <c r="F86" s="335">
        <v>0</v>
      </c>
      <c r="G86" s="335">
        <v>0</v>
      </c>
      <c r="H86" s="335">
        <v>0</v>
      </c>
      <c r="I86" s="335">
        <v>4</v>
      </c>
      <c r="J86" s="335">
        <v>26</v>
      </c>
      <c r="K86" s="335">
        <v>0</v>
      </c>
      <c r="L86" s="335">
        <v>39</v>
      </c>
      <c r="M86" s="335">
        <v>0</v>
      </c>
      <c r="N86" s="335">
        <v>0</v>
      </c>
      <c r="O86" s="335">
        <v>0</v>
      </c>
      <c r="P86" s="335">
        <v>0</v>
      </c>
      <c r="Q86" s="335">
        <v>0</v>
      </c>
      <c r="R86" s="335">
        <v>2</v>
      </c>
      <c r="S86" s="335">
        <v>10</v>
      </c>
      <c r="T86" s="335">
        <v>0</v>
      </c>
      <c r="U86" s="335">
        <v>12</v>
      </c>
      <c r="V86" s="335">
        <v>12</v>
      </c>
      <c r="W86" s="335">
        <v>12</v>
      </c>
      <c r="X86" s="335">
        <v>12</v>
      </c>
      <c r="Y86" s="381">
        <f t="shared" si="1"/>
        <v>50016</v>
      </c>
      <c r="Z86" s="335">
        <v>0</v>
      </c>
      <c r="AA86" s="335">
        <v>0</v>
      </c>
      <c r="AB86" s="335">
        <v>0</v>
      </c>
      <c r="AF86" s="394"/>
      <c r="AH86" s="366"/>
    </row>
    <row r="87" spans="1:34" ht="28.5">
      <c r="A87" s="366" t="s">
        <v>736</v>
      </c>
      <c r="B87" s="196" t="s">
        <v>505</v>
      </c>
      <c r="C87" s="196" t="s">
        <v>86</v>
      </c>
      <c r="D87" s="335">
        <v>15</v>
      </c>
      <c r="E87" s="335">
        <v>0</v>
      </c>
      <c r="F87" s="335">
        <v>0</v>
      </c>
      <c r="G87" s="335">
        <v>0</v>
      </c>
      <c r="H87" s="335">
        <v>0</v>
      </c>
      <c r="I87" s="335">
        <v>7</v>
      </c>
      <c r="J87" s="335">
        <v>63</v>
      </c>
      <c r="K87" s="335">
        <v>0</v>
      </c>
      <c r="L87" s="335">
        <v>85</v>
      </c>
      <c r="M87" s="335">
        <v>8</v>
      </c>
      <c r="N87" s="335">
        <v>0</v>
      </c>
      <c r="O87" s="335">
        <v>0</v>
      </c>
      <c r="P87" s="335">
        <v>0</v>
      </c>
      <c r="Q87" s="335">
        <v>0</v>
      </c>
      <c r="R87" s="335">
        <v>5</v>
      </c>
      <c r="S87" s="335">
        <v>39</v>
      </c>
      <c r="T87" s="335">
        <v>0</v>
      </c>
      <c r="U87" s="335">
        <v>52</v>
      </c>
      <c r="V87" s="335">
        <v>48</v>
      </c>
      <c r="W87" s="335">
        <v>52</v>
      </c>
      <c r="X87" s="335">
        <v>48</v>
      </c>
      <c r="Y87" s="381">
        <f t="shared" si="1"/>
        <v>200064</v>
      </c>
      <c r="Z87" s="335">
        <v>0</v>
      </c>
      <c r="AA87" s="335">
        <v>0</v>
      </c>
      <c r="AB87" s="335">
        <v>0</v>
      </c>
      <c r="AF87" s="394"/>
      <c r="AH87" s="366"/>
    </row>
    <row r="88" spans="1:34" ht="28.5">
      <c r="A88" s="366" t="s">
        <v>737</v>
      </c>
      <c r="B88" s="196" t="s">
        <v>506</v>
      </c>
      <c r="C88" s="196" t="s">
        <v>607</v>
      </c>
      <c r="D88" s="335">
        <v>48</v>
      </c>
      <c r="E88" s="335">
        <v>0</v>
      </c>
      <c r="F88" s="335">
        <v>0</v>
      </c>
      <c r="G88" s="335">
        <v>0</v>
      </c>
      <c r="H88" s="335">
        <v>0</v>
      </c>
      <c r="I88" s="335">
        <v>37</v>
      </c>
      <c r="J88" s="335">
        <v>247</v>
      </c>
      <c r="K88" s="335">
        <v>0</v>
      </c>
      <c r="L88" s="335">
        <v>332</v>
      </c>
      <c r="M88" s="335">
        <v>0</v>
      </c>
      <c r="N88" s="335">
        <v>0</v>
      </c>
      <c r="O88" s="335">
        <v>0</v>
      </c>
      <c r="P88" s="335">
        <v>0</v>
      </c>
      <c r="Q88" s="335">
        <v>0</v>
      </c>
      <c r="R88" s="335">
        <v>0</v>
      </c>
      <c r="S88" s="335">
        <v>4</v>
      </c>
      <c r="T88" s="335">
        <v>0</v>
      </c>
      <c r="U88" s="335">
        <v>4</v>
      </c>
      <c r="V88" s="335">
        <v>4</v>
      </c>
      <c r="W88" s="335">
        <v>4</v>
      </c>
      <c r="X88" s="335">
        <v>4</v>
      </c>
      <c r="Y88" s="381">
        <f t="shared" si="1"/>
        <v>16672</v>
      </c>
      <c r="Z88" s="335">
        <v>0</v>
      </c>
      <c r="AA88" s="335">
        <v>0</v>
      </c>
      <c r="AB88" s="335">
        <v>0</v>
      </c>
      <c r="AF88" s="394"/>
      <c r="AH88" s="366"/>
    </row>
    <row r="89" spans="1:34" ht="28.5">
      <c r="A89" s="366" t="s">
        <v>738</v>
      </c>
      <c r="B89" s="196" t="s">
        <v>506</v>
      </c>
      <c r="C89" s="196" t="s">
        <v>86</v>
      </c>
      <c r="D89" s="335">
        <v>48</v>
      </c>
      <c r="E89" s="335">
        <v>0</v>
      </c>
      <c r="F89" s="335">
        <v>0</v>
      </c>
      <c r="G89" s="335">
        <v>0</v>
      </c>
      <c r="H89" s="335">
        <v>0</v>
      </c>
      <c r="I89" s="335">
        <v>37</v>
      </c>
      <c r="J89" s="335">
        <v>247</v>
      </c>
      <c r="K89" s="335">
        <v>0</v>
      </c>
      <c r="L89" s="335">
        <v>332</v>
      </c>
      <c r="M89" s="335">
        <v>3</v>
      </c>
      <c r="N89" s="335">
        <v>0</v>
      </c>
      <c r="O89" s="335">
        <v>0</v>
      </c>
      <c r="P89" s="335">
        <v>0</v>
      </c>
      <c r="Q89" s="335">
        <v>0</v>
      </c>
      <c r="R89" s="335">
        <v>9</v>
      </c>
      <c r="S89" s="335">
        <v>38</v>
      </c>
      <c r="T89" s="335">
        <v>0</v>
      </c>
      <c r="U89" s="335">
        <v>50</v>
      </c>
      <c r="V89" s="335">
        <v>48.5</v>
      </c>
      <c r="W89" s="335">
        <v>50</v>
      </c>
      <c r="X89" s="335">
        <v>48.5</v>
      </c>
      <c r="Y89" s="381">
        <f t="shared" si="1"/>
        <v>202148</v>
      </c>
      <c r="Z89" s="335">
        <v>0</v>
      </c>
      <c r="AA89" s="335">
        <v>0</v>
      </c>
      <c r="AB89" s="335">
        <v>0</v>
      </c>
      <c r="AF89" s="394"/>
      <c r="AH89" s="366"/>
    </row>
    <row r="90" spans="1:34" ht="14.25">
      <c r="A90" s="366" t="s">
        <v>739</v>
      </c>
      <c r="B90" s="196" t="s">
        <v>291</v>
      </c>
      <c r="C90" s="196" t="s">
        <v>86</v>
      </c>
      <c r="D90" s="335">
        <v>0</v>
      </c>
      <c r="E90" s="335">
        <v>0</v>
      </c>
      <c r="F90" s="335">
        <v>0</v>
      </c>
      <c r="G90" s="335">
        <v>0</v>
      </c>
      <c r="H90" s="335">
        <v>0</v>
      </c>
      <c r="I90" s="335">
        <v>7</v>
      </c>
      <c r="J90" s="335">
        <v>64</v>
      </c>
      <c r="K90" s="335">
        <v>22</v>
      </c>
      <c r="L90" s="335">
        <v>93</v>
      </c>
      <c r="M90" s="335">
        <v>0</v>
      </c>
      <c r="N90" s="335">
        <v>0</v>
      </c>
      <c r="O90" s="335">
        <v>0</v>
      </c>
      <c r="P90" s="335">
        <v>0</v>
      </c>
      <c r="Q90" s="335">
        <v>0</v>
      </c>
      <c r="R90" s="335">
        <v>5</v>
      </c>
      <c r="S90" s="335">
        <v>39</v>
      </c>
      <c r="T90" s="335">
        <v>13</v>
      </c>
      <c r="U90" s="335">
        <v>57</v>
      </c>
      <c r="V90" s="335">
        <v>57</v>
      </c>
      <c r="W90" s="335">
        <v>44</v>
      </c>
      <c r="X90" s="335">
        <v>44</v>
      </c>
      <c r="Y90" s="381">
        <f t="shared" si="1"/>
        <v>241775</v>
      </c>
      <c r="Z90" s="335">
        <v>0</v>
      </c>
      <c r="AA90" s="335">
        <v>0</v>
      </c>
      <c r="AB90" s="335">
        <v>0</v>
      </c>
      <c r="AF90" s="394"/>
      <c r="AH90" s="366"/>
    </row>
    <row r="91" spans="1:34" ht="14.25">
      <c r="A91" s="366" t="s">
        <v>740</v>
      </c>
      <c r="B91" s="196" t="s">
        <v>102</v>
      </c>
      <c r="C91" s="196" t="s">
        <v>86</v>
      </c>
      <c r="D91" s="335">
        <v>0</v>
      </c>
      <c r="E91" s="335">
        <v>0</v>
      </c>
      <c r="F91" s="335">
        <v>0</v>
      </c>
      <c r="G91" s="335">
        <v>0</v>
      </c>
      <c r="H91" s="335">
        <v>0</v>
      </c>
      <c r="I91" s="335">
        <v>0</v>
      </c>
      <c r="J91" s="335">
        <v>0</v>
      </c>
      <c r="K91" s="335">
        <v>667</v>
      </c>
      <c r="L91" s="335">
        <v>667</v>
      </c>
      <c r="M91" s="335">
        <v>0</v>
      </c>
      <c r="N91" s="335">
        <v>0</v>
      </c>
      <c r="O91" s="335">
        <v>0</v>
      </c>
      <c r="P91" s="335">
        <v>0</v>
      </c>
      <c r="Q91" s="335">
        <v>0</v>
      </c>
      <c r="R91" s="335">
        <v>0</v>
      </c>
      <c r="S91" s="335">
        <v>0</v>
      </c>
      <c r="T91" s="335">
        <v>215</v>
      </c>
      <c r="U91" s="335">
        <v>215</v>
      </c>
      <c r="V91" s="335">
        <v>215</v>
      </c>
      <c r="W91" s="335">
        <v>0</v>
      </c>
      <c r="X91" s="335">
        <v>0</v>
      </c>
      <c r="Y91" s="381">
        <f t="shared" si="1"/>
        <v>965565</v>
      </c>
      <c r="Z91" s="335">
        <v>0</v>
      </c>
      <c r="AA91" s="335">
        <v>0</v>
      </c>
      <c r="AB91" s="335">
        <v>0</v>
      </c>
      <c r="AF91" s="394"/>
      <c r="AH91" s="366"/>
    </row>
    <row r="92" spans="1:34" ht="28.5">
      <c r="A92" s="366" t="s">
        <v>741</v>
      </c>
      <c r="B92" s="196" t="s">
        <v>103</v>
      </c>
      <c r="C92" s="196" t="s">
        <v>607</v>
      </c>
      <c r="D92" s="335">
        <v>0</v>
      </c>
      <c r="E92" s="335">
        <v>21</v>
      </c>
      <c r="F92" s="335">
        <v>0</v>
      </c>
      <c r="G92" s="335">
        <v>0</v>
      </c>
      <c r="H92" s="335">
        <v>0</v>
      </c>
      <c r="I92" s="335">
        <v>25</v>
      </c>
      <c r="J92" s="335">
        <v>204</v>
      </c>
      <c r="K92" s="335">
        <v>0</v>
      </c>
      <c r="L92" s="335">
        <v>250</v>
      </c>
      <c r="M92" s="335">
        <v>0</v>
      </c>
      <c r="N92" s="335">
        <v>20</v>
      </c>
      <c r="O92" s="335">
        <v>0</v>
      </c>
      <c r="P92" s="335">
        <v>0</v>
      </c>
      <c r="Q92" s="335">
        <v>0</v>
      </c>
      <c r="R92" s="335">
        <v>23</v>
      </c>
      <c r="S92" s="335">
        <v>197</v>
      </c>
      <c r="T92" s="335">
        <v>0</v>
      </c>
      <c r="U92" s="335">
        <v>240</v>
      </c>
      <c r="V92" s="335">
        <v>232</v>
      </c>
      <c r="W92" s="335">
        <v>240</v>
      </c>
      <c r="X92" s="335">
        <v>232</v>
      </c>
      <c r="Y92" s="381">
        <f t="shared" si="1"/>
        <v>966976</v>
      </c>
      <c r="Z92" s="335">
        <v>5</v>
      </c>
      <c r="AA92" s="335">
        <v>0</v>
      </c>
      <c r="AB92" s="335">
        <v>0</v>
      </c>
      <c r="AF92" s="394"/>
      <c r="AH92" s="366"/>
    </row>
    <row r="93" spans="1:34" ht="14.25">
      <c r="A93" s="366" t="s">
        <v>742</v>
      </c>
      <c r="B93" s="196" t="s">
        <v>103</v>
      </c>
      <c r="C93" s="196" t="s">
        <v>86</v>
      </c>
      <c r="D93" s="335">
        <v>0</v>
      </c>
      <c r="E93" s="335">
        <v>21</v>
      </c>
      <c r="F93" s="335">
        <v>0</v>
      </c>
      <c r="G93" s="335">
        <v>0</v>
      </c>
      <c r="H93" s="335">
        <v>0</v>
      </c>
      <c r="I93" s="335">
        <v>25</v>
      </c>
      <c r="J93" s="335">
        <v>204</v>
      </c>
      <c r="K93" s="335">
        <v>0</v>
      </c>
      <c r="L93" s="335">
        <v>250</v>
      </c>
      <c r="M93" s="335">
        <v>0</v>
      </c>
      <c r="N93" s="335">
        <v>1</v>
      </c>
      <c r="O93" s="335">
        <v>0</v>
      </c>
      <c r="P93" s="335">
        <v>0</v>
      </c>
      <c r="Q93" s="335">
        <v>0</v>
      </c>
      <c r="R93" s="335">
        <v>2</v>
      </c>
      <c r="S93" s="335">
        <v>2</v>
      </c>
      <c r="T93" s="335">
        <v>0</v>
      </c>
      <c r="U93" s="335">
        <v>5</v>
      </c>
      <c r="V93" s="335">
        <v>4.6</v>
      </c>
      <c r="W93" s="335">
        <v>5</v>
      </c>
      <c r="X93" s="335">
        <v>4.6</v>
      </c>
      <c r="Y93" s="381">
        <f t="shared" si="1"/>
        <v>19172.8</v>
      </c>
      <c r="Z93" s="335">
        <v>0</v>
      </c>
      <c r="AA93" s="335">
        <v>0</v>
      </c>
      <c r="AB93" s="335">
        <v>0</v>
      </c>
      <c r="AF93" s="394"/>
      <c r="AH93" s="366"/>
    </row>
    <row r="94" spans="1:34" ht="28.5">
      <c r="A94" s="366" t="s">
        <v>743</v>
      </c>
      <c r="B94" s="196" t="s">
        <v>198</v>
      </c>
      <c r="C94" s="196" t="s">
        <v>86</v>
      </c>
      <c r="D94" s="335">
        <v>32</v>
      </c>
      <c r="E94" s="335">
        <v>0</v>
      </c>
      <c r="F94" s="335">
        <v>0</v>
      </c>
      <c r="G94" s="335">
        <v>0</v>
      </c>
      <c r="H94" s="335">
        <v>0</v>
      </c>
      <c r="I94" s="335">
        <v>24</v>
      </c>
      <c r="J94" s="335">
        <v>167</v>
      </c>
      <c r="K94" s="335">
        <v>0</v>
      </c>
      <c r="L94" s="335">
        <v>223</v>
      </c>
      <c r="M94" s="335">
        <v>12</v>
      </c>
      <c r="N94" s="335">
        <v>0</v>
      </c>
      <c r="O94" s="335">
        <v>0</v>
      </c>
      <c r="P94" s="335">
        <v>0</v>
      </c>
      <c r="Q94" s="335">
        <v>0</v>
      </c>
      <c r="R94" s="335">
        <v>7</v>
      </c>
      <c r="S94" s="335">
        <v>34</v>
      </c>
      <c r="T94" s="335">
        <v>0</v>
      </c>
      <c r="U94" s="335">
        <v>53</v>
      </c>
      <c r="V94" s="335">
        <v>47</v>
      </c>
      <c r="W94" s="335">
        <v>53</v>
      </c>
      <c r="X94" s="335">
        <v>47</v>
      </c>
      <c r="Y94" s="381">
        <f t="shared" si="1"/>
        <v>195896</v>
      </c>
      <c r="Z94" s="335">
        <v>0</v>
      </c>
      <c r="AA94" s="335">
        <v>0</v>
      </c>
      <c r="AB94" s="335">
        <v>0</v>
      </c>
      <c r="AF94" s="394"/>
      <c r="AH94" s="366"/>
    </row>
    <row r="95" spans="1:34" ht="28.5">
      <c r="A95" s="366" t="s">
        <v>744</v>
      </c>
      <c r="B95" s="196" t="s">
        <v>265</v>
      </c>
      <c r="C95" s="196" t="s">
        <v>86</v>
      </c>
      <c r="D95" s="335">
        <v>15</v>
      </c>
      <c r="E95" s="335">
        <v>0</v>
      </c>
      <c r="F95" s="335">
        <v>0</v>
      </c>
      <c r="G95" s="335">
        <v>0</v>
      </c>
      <c r="H95" s="335">
        <v>0</v>
      </c>
      <c r="I95" s="335">
        <v>15</v>
      </c>
      <c r="J95" s="335">
        <v>96</v>
      </c>
      <c r="K95" s="335">
        <v>0</v>
      </c>
      <c r="L95" s="335">
        <v>126</v>
      </c>
      <c r="M95" s="335">
        <v>7</v>
      </c>
      <c r="N95" s="335">
        <v>0</v>
      </c>
      <c r="O95" s="335">
        <v>0</v>
      </c>
      <c r="P95" s="335">
        <v>0</v>
      </c>
      <c r="Q95" s="335">
        <v>0</v>
      </c>
      <c r="R95" s="335">
        <v>7</v>
      </c>
      <c r="S95" s="335">
        <v>45</v>
      </c>
      <c r="T95" s="335">
        <v>0</v>
      </c>
      <c r="U95" s="335">
        <v>59</v>
      </c>
      <c r="V95" s="335">
        <v>55.5</v>
      </c>
      <c r="W95" s="335">
        <v>59</v>
      </c>
      <c r="X95" s="335">
        <v>55.5</v>
      </c>
      <c r="Y95" s="381">
        <f t="shared" si="1"/>
        <v>231324</v>
      </c>
      <c r="Z95" s="335">
        <v>0</v>
      </c>
      <c r="AA95" s="335">
        <v>0</v>
      </c>
      <c r="AB95" s="335">
        <v>0</v>
      </c>
      <c r="AF95" s="394"/>
      <c r="AH95" s="366"/>
    </row>
    <row r="96" spans="1:34" ht="28.5">
      <c r="A96" s="366" t="s">
        <v>745</v>
      </c>
      <c r="B96" s="196" t="s">
        <v>199</v>
      </c>
      <c r="C96" s="196" t="s">
        <v>607</v>
      </c>
      <c r="D96" s="335">
        <v>17</v>
      </c>
      <c r="E96" s="335">
        <v>0</v>
      </c>
      <c r="F96" s="335">
        <v>0</v>
      </c>
      <c r="G96" s="335">
        <v>0</v>
      </c>
      <c r="H96" s="335">
        <v>0</v>
      </c>
      <c r="I96" s="335">
        <v>11</v>
      </c>
      <c r="J96" s="335">
        <v>74</v>
      </c>
      <c r="K96" s="335">
        <v>0</v>
      </c>
      <c r="L96" s="335">
        <v>102</v>
      </c>
      <c r="M96" s="335">
        <v>2</v>
      </c>
      <c r="N96" s="335">
        <v>0</v>
      </c>
      <c r="O96" s="335">
        <v>0</v>
      </c>
      <c r="P96" s="335">
        <v>0</v>
      </c>
      <c r="Q96" s="335">
        <v>0</v>
      </c>
      <c r="R96" s="335">
        <v>4</v>
      </c>
      <c r="S96" s="335">
        <v>20</v>
      </c>
      <c r="T96" s="335">
        <v>0</v>
      </c>
      <c r="U96" s="335">
        <v>26</v>
      </c>
      <c r="V96" s="335">
        <v>25</v>
      </c>
      <c r="W96" s="335">
        <v>26</v>
      </c>
      <c r="X96" s="335">
        <v>25</v>
      </c>
      <c r="Y96" s="381">
        <f t="shared" si="1"/>
        <v>104200</v>
      </c>
      <c r="Z96" s="335">
        <v>0</v>
      </c>
      <c r="AA96" s="335">
        <v>0</v>
      </c>
      <c r="AB96" s="335">
        <v>0</v>
      </c>
      <c r="AF96" s="394"/>
      <c r="AH96" s="366"/>
    </row>
    <row r="97" spans="1:34" ht="28.5">
      <c r="A97" s="366" t="s">
        <v>746</v>
      </c>
      <c r="B97" s="196" t="s">
        <v>199</v>
      </c>
      <c r="C97" s="196" t="s">
        <v>86</v>
      </c>
      <c r="D97" s="335">
        <v>17</v>
      </c>
      <c r="E97" s="335">
        <v>0</v>
      </c>
      <c r="F97" s="335">
        <v>0</v>
      </c>
      <c r="G97" s="335">
        <v>0</v>
      </c>
      <c r="H97" s="335">
        <v>0</v>
      </c>
      <c r="I97" s="335">
        <v>11</v>
      </c>
      <c r="J97" s="335">
        <v>74</v>
      </c>
      <c r="K97" s="335">
        <v>0</v>
      </c>
      <c r="L97" s="335">
        <v>102</v>
      </c>
      <c r="M97" s="335">
        <v>3</v>
      </c>
      <c r="N97" s="335">
        <v>0</v>
      </c>
      <c r="O97" s="335">
        <v>0</v>
      </c>
      <c r="P97" s="335">
        <v>0</v>
      </c>
      <c r="Q97" s="335">
        <v>0</v>
      </c>
      <c r="R97" s="335">
        <v>0</v>
      </c>
      <c r="S97" s="335">
        <v>6</v>
      </c>
      <c r="T97" s="335">
        <v>0</v>
      </c>
      <c r="U97" s="335">
        <v>9</v>
      </c>
      <c r="V97" s="335">
        <v>7.5</v>
      </c>
      <c r="W97" s="335">
        <v>9</v>
      </c>
      <c r="X97" s="335">
        <v>7.5</v>
      </c>
      <c r="Y97" s="381">
        <f t="shared" si="1"/>
        <v>31260</v>
      </c>
      <c r="Z97" s="335">
        <v>0</v>
      </c>
      <c r="AA97" s="335">
        <v>0</v>
      </c>
      <c r="AB97" s="335">
        <v>0</v>
      </c>
      <c r="AF97" s="394"/>
      <c r="AH97" s="366"/>
    </row>
    <row r="98" spans="1:34" ht="28.5">
      <c r="A98" s="366" t="s">
        <v>747</v>
      </c>
      <c r="B98" s="196" t="s">
        <v>442</v>
      </c>
      <c r="C98" s="196" t="s">
        <v>607</v>
      </c>
      <c r="D98" s="335">
        <v>19</v>
      </c>
      <c r="E98" s="335">
        <v>0</v>
      </c>
      <c r="F98" s="335">
        <v>0</v>
      </c>
      <c r="G98" s="335">
        <v>0</v>
      </c>
      <c r="H98" s="335">
        <v>0</v>
      </c>
      <c r="I98" s="335">
        <v>19</v>
      </c>
      <c r="J98" s="335">
        <v>156</v>
      </c>
      <c r="K98" s="335">
        <v>37</v>
      </c>
      <c r="L98" s="335">
        <v>231</v>
      </c>
      <c r="M98" s="335">
        <v>9</v>
      </c>
      <c r="N98" s="335">
        <v>0</v>
      </c>
      <c r="O98" s="335">
        <v>0</v>
      </c>
      <c r="P98" s="335">
        <v>0</v>
      </c>
      <c r="Q98" s="335">
        <v>0</v>
      </c>
      <c r="R98" s="335">
        <v>10</v>
      </c>
      <c r="S98" s="335">
        <v>108</v>
      </c>
      <c r="T98" s="335">
        <v>30</v>
      </c>
      <c r="U98" s="335">
        <v>157</v>
      </c>
      <c r="V98" s="335">
        <v>152.5</v>
      </c>
      <c r="W98" s="335">
        <v>127</v>
      </c>
      <c r="X98" s="335">
        <v>122.5</v>
      </c>
      <c r="Y98" s="381">
        <f t="shared" si="1"/>
        <v>645310</v>
      </c>
      <c r="Z98" s="335">
        <v>0</v>
      </c>
      <c r="AA98" s="335">
        <v>0</v>
      </c>
      <c r="AB98" s="335">
        <v>0</v>
      </c>
      <c r="AF98" s="394"/>
      <c r="AH98" s="366"/>
    </row>
    <row r="99" spans="1:34" ht="14.25">
      <c r="A99" s="366" t="s">
        <v>748</v>
      </c>
      <c r="B99" s="196" t="s">
        <v>442</v>
      </c>
      <c r="C99" s="196" t="s">
        <v>86</v>
      </c>
      <c r="D99" s="335">
        <v>19</v>
      </c>
      <c r="E99" s="335">
        <v>0</v>
      </c>
      <c r="F99" s="335">
        <v>0</v>
      </c>
      <c r="G99" s="335">
        <v>0</v>
      </c>
      <c r="H99" s="335">
        <v>0</v>
      </c>
      <c r="I99" s="335">
        <v>19</v>
      </c>
      <c r="J99" s="335">
        <v>156</v>
      </c>
      <c r="K99" s="335">
        <v>37</v>
      </c>
      <c r="L99" s="335">
        <v>231</v>
      </c>
      <c r="M99" s="335">
        <v>5</v>
      </c>
      <c r="N99" s="335">
        <v>0</v>
      </c>
      <c r="O99" s="335">
        <v>0</v>
      </c>
      <c r="P99" s="335">
        <v>0</v>
      </c>
      <c r="Q99" s="335">
        <v>0</v>
      </c>
      <c r="R99" s="335">
        <v>5</v>
      </c>
      <c r="S99" s="335">
        <v>19</v>
      </c>
      <c r="T99" s="335">
        <v>3</v>
      </c>
      <c r="U99" s="335">
        <v>32</v>
      </c>
      <c r="V99" s="335">
        <v>29.5</v>
      </c>
      <c r="W99" s="335">
        <v>29</v>
      </c>
      <c r="X99" s="335">
        <v>26.5</v>
      </c>
      <c r="Y99" s="381">
        <f t="shared" si="1"/>
        <v>123925</v>
      </c>
      <c r="Z99" s="335">
        <v>0</v>
      </c>
      <c r="AA99" s="335">
        <v>0</v>
      </c>
      <c r="AB99" s="335">
        <v>0</v>
      </c>
      <c r="AF99" s="394"/>
      <c r="AH99" s="366"/>
    </row>
    <row r="100" spans="1:34" ht="28.5">
      <c r="A100" s="366" t="s">
        <v>749</v>
      </c>
      <c r="B100" s="196" t="s">
        <v>318</v>
      </c>
      <c r="C100" s="196" t="s">
        <v>607</v>
      </c>
      <c r="D100" s="335">
        <v>24</v>
      </c>
      <c r="E100" s="335">
        <v>0</v>
      </c>
      <c r="F100" s="335">
        <v>0</v>
      </c>
      <c r="G100" s="335">
        <v>0</v>
      </c>
      <c r="H100" s="335">
        <v>0</v>
      </c>
      <c r="I100" s="335">
        <v>25</v>
      </c>
      <c r="J100" s="335">
        <v>166</v>
      </c>
      <c r="K100" s="335">
        <v>0</v>
      </c>
      <c r="L100" s="335">
        <v>215</v>
      </c>
      <c r="M100" s="335">
        <v>5</v>
      </c>
      <c r="N100" s="335">
        <v>0</v>
      </c>
      <c r="O100" s="335">
        <v>0</v>
      </c>
      <c r="P100" s="335">
        <v>0</v>
      </c>
      <c r="Q100" s="335">
        <v>0</v>
      </c>
      <c r="R100" s="335">
        <v>3</v>
      </c>
      <c r="S100" s="335">
        <v>37</v>
      </c>
      <c r="T100" s="335">
        <v>0</v>
      </c>
      <c r="U100" s="335">
        <v>45</v>
      </c>
      <c r="V100" s="335">
        <v>42.5</v>
      </c>
      <c r="W100" s="335">
        <v>45</v>
      </c>
      <c r="X100" s="335">
        <v>42.5</v>
      </c>
      <c r="Y100" s="381">
        <f t="shared" si="1"/>
        <v>177140</v>
      </c>
      <c r="Z100" s="335">
        <v>0</v>
      </c>
      <c r="AA100" s="335">
        <v>0</v>
      </c>
      <c r="AB100" s="335">
        <v>0</v>
      </c>
      <c r="AF100" s="394"/>
      <c r="AH100" s="366"/>
    </row>
    <row r="101" spans="1:34" ht="28.5">
      <c r="A101" s="366" t="s">
        <v>750</v>
      </c>
      <c r="B101" s="196" t="s">
        <v>318</v>
      </c>
      <c r="C101" s="196" t="s">
        <v>86</v>
      </c>
      <c r="D101" s="335">
        <v>24</v>
      </c>
      <c r="E101" s="335">
        <v>0</v>
      </c>
      <c r="F101" s="335">
        <v>0</v>
      </c>
      <c r="G101" s="335">
        <v>0</v>
      </c>
      <c r="H101" s="335">
        <v>0</v>
      </c>
      <c r="I101" s="335">
        <v>25</v>
      </c>
      <c r="J101" s="335">
        <v>166</v>
      </c>
      <c r="K101" s="335">
        <v>0</v>
      </c>
      <c r="L101" s="335">
        <v>215</v>
      </c>
      <c r="M101" s="335">
        <v>0</v>
      </c>
      <c r="N101" s="335">
        <v>0</v>
      </c>
      <c r="O101" s="335">
        <v>0</v>
      </c>
      <c r="P101" s="335">
        <v>0</v>
      </c>
      <c r="Q101" s="335">
        <v>0</v>
      </c>
      <c r="R101" s="335">
        <v>5</v>
      </c>
      <c r="S101" s="335">
        <v>13</v>
      </c>
      <c r="T101" s="335">
        <v>0</v>
      </c>
      <c r="U101" s="335">
        <v>18</v>
      </c>
      <c r="V101" s="335">
        <v>18</v>
      </c>
      <c r="W101" s="335">
        <v>18</v>
      </c>
      <c r="X101" s="335">
        <v>18</v>
      </c>
      <c r="Y101" s="381">
        <f t="shared" si="1"/>
        <v>75024</v>
      </c>
      <c r="Z101" s="335">
        <v>0</v>
      </c>
      <c r="AA101" s="335">
        <v>0</v>
      </c>
      <c r="AB101" s="335">
        <v>0</v>
      </c>
      <c r="AF101" s="394"/>
      <c r="AH101" s="366"/>
    </row>
    <row r="102" spans="1:34" ht="28.5">
      <c r="A102" s="366" t="s">
        <v>751</v>
      </c>
      <c r="B102" s="196" t="s">
        <v>371</v>
      </c>
      <c r="C102" s="196" t="s">
        <v>607</v>
      </c>
      <c r="D102" s="335">
        <v>14</v>
      </c>
      <c r="E102" s="335">
        <v>0</v>
      </c>
      <c r="F102" s="335">
        <v>0</v>
      </c>
      <c r="G102" s="335">
        <v>0</v>
      </c>
      <c r="H102" s="335">
        <v>0</v>
      </c>
      <c r="I102" s="335">
        <v>19</v>
      </c>
      <c r="J102" s="335">
        <v>53</v>
      </c>
      <c r="K102" s="335">
        <v>0</v>
      </c>
      <c r="L102" s="335">
        <v>86</v>
      </c>
      <c r="M102" s="335">
        <v>1</v>
      </c>
      <c r="N102" s="335">
        <v>0</v>
      </c>
      <c r="O102" s="335">
        <v>0</v>
      </c>
      <c r="P102" s="335">
        <v>0</v>
      </c>
      <c r="Q102" s="335">
        <v>0</v>
      </c>
      <c r="R102" s="335">
        <v>1</v>
      </c>
      <c r="S102" s="335">
        <v>5</v>
      </c>
      <c r="T102" s="335">
        <v>0</v>
      </c>
      <c r="U102" s="335">
        <v>7</v>
      </c>
      <c r="V102" s="335">
        <v>6.5</v>
      </c>
      <c r="W102" s="335">
        <v>7</v>
      </c>
      <c r="X102" s="335">
        <v>6.5</v>
      </c>
      <c r="Y102" s="381">
        <f t="shared" si="1"/>
        <v>27092</v>
      </c>
      <c r="Z102" s="335">
        <v>0</v>
      </c>
      <c r="AA102" s="335">
        <v>0</v>
      </c>
      <c r="AB102" s="335">
        <v>0</v>
      </c>
      <c r="AF102" s="394"/>
      <c r="AH102" s="366"/>
    </row>
    <row r="103" spans="1:34" ht="14.25">
      <c r="A103" s="366" t="s">
        <v>752</v>
      </c>
      <c r="B103" s="196" t="s">
        <v>371</v>
      </c>
      <c r="C103" s="196" t="s">
        <v>608</v>
      </c>
      <c r="D103" s="335">
        <v>14</v>
      </c>
      <c r="E103" s="335">
        <v>0</v>
      </c>
      <c r="F103" s="335">
        <v>0</v>
      </c>
      <c r="G103" s="335">
        <v>0</v>
      </c>
      <c r="H103" s="335">
        <v>0</v>
      </c>
      <c r="I103" s="335">
        <v>19</v>
      </c>
      <c r="J103" s="335">
        <v>53</v>
      </c>
      <c r="K103" s="335">
        <v>0</v>
      </c>
      <c r="L103" s="335">
        <v>86</v>
      </c>
      <c r="M103" s="335">
        <v>3</v>
      </c>
      <c r="N103" s="335">
        <v>0</v>
      </c>
      <c r="O103" s="335">
        <v>0</v>
      </c>
      <c r="P103" s="335">
        <v>0</v>
      </c>
      <c r="Q103" s="335">
        <v>0</v>
      </c>
      <c r="R103" s="335">
        <v>3</v>
      </c>
      <c r="S103" s="335">
        <v>5</v>
      </c>
      <c r="T103" s="335">
        <v>0</v>
      </c>
      <c r="U103" s="335">
        <v>11</v>
      </c>
      <c r="V103" s="335">
        <v>9.5</v>
      </c>
      <c r="W103" s="335">
        <v>11</v>
      </c>
      <c r="X103" s="335">
        <v>9.5</v>
      </c>
      <c r="Y103" s="381">
        <f t="shared" si="1"/>
        <v>39596</v>
      </c>
      <c r="Z103" s="335">
        <v>0</v>
      </c>
      <c r="AA103" s="335">
        <v>0</v>
      </c>
      <c r="AB103" s="335">
        <v>0</v>
      </c>
      <c r="AF103" s="394"/>
      <c r="AH103" s="366"/>
    </row>
    <row r="104" spans="1:34" ht="14.25">
      <c r="A104" s="366" t="s">
        <v>753</v>
      </c>
      <c r="B104" s="196" t="s">
        <v>371</v>
      </c>
      <c r="C104" s="196" t="s">
        <v>86</v>
      </c>
      <c r="D104" s="335">
        <v>14</v>
      </c>
      <c r="E104" s="335">
        <v>0</v>
      </c>
      <c r="F104" s="335">
        <v>0</v>
      </c>
      <c r="G104" s="335">
        <v>0</v>
      </c>
      <c r="H104" s="335">
        <v>0</v>
      </c>
      <c r="I104" s="335">
        <v>19</v>
      </c>
      <c r="J104" s="335">
        <v>53</v>
      </c>
      <c r="K104" s="335">
        <v>0</v>
      </c>
      <c r="L104" s="335">
        <v>86</v>
      </c>
      <c r="M104" s="335">
        <v>3</v>
      </c>
      <c r="N104" s="335">
        <v>0</v>
      </c>
      <c r="O104" s="335">
        <v>0</v>
      </c>
      <c r="P104" s="335">
        <v>0</v>
      </c>
      <c r="Q104" s="335">
        <v>0</v>
      </c>
      <c r="R104" s="335">
        <v>4</v>
      </c>
      <c r="S104" s="335">
        <v>15</v>
      </c>
      <c r="T104" s="335">
        <v>0</v>
      </c>
      <c r="U104" s="335">
        <v>22</v>
      </c>
      <c r="V104" s="335">
        <v>20.5</v>
      </c>
      <c r="W104" s="335">
        <v>22</v>
      </c>
      <c r="X104" s="335">
        <v>20.5</v>
      </c>
      <c r="Y104" s="381">
        <f t="shared" si="1"/>
        <v>85444</v>
      </c>
      <c r="Z104" s="335">
        <v>0</v>
      </c>
      <c r="AA104" s="335">
        <v>0</v>
      </c>
      <c r="AB104" s="335">
        <v>0</v>
      </c>
      <c r="AF104" s="394"/>
      <c r="AH104" s="366"/>
    </row>
    <row r="105" spans="1:34" ht="14.25">
      <c r="A105" s="366" t="s">
        <v>754</v>
      </c>
      <c r="B105" s="196" t="s">
        <v>471</v>
      </c>
      <c r="C105" s="196" t="s">
        <v>86</v>
      </c>
      <c r="D105" s="335">
        <v>17</v>
      </c>
      <c r="E105" s="335">
        <v>0</v>
      </c>
      <c r="F105" s="335">
        <v>0</v>
      </c>
      <c r="G105" s="335">
        <v>0</v>
      </c>
      <c r="H105" s="335">
        <v>0</v>
      </c>
      <c r="I105" s="335">
        <v>23</v>
      </c>
      <c r="J105" s="335">
        <v>122</v>
      </c>
      <c r="K105" s="335">
        <v>0</v>
      </c>
      <c r="L105" s="335">
        <v>162</v>
      </c>
      <c r="M105" s="335">
        <v>7</v>
      </c>
      <c r="N105" s="335">
        <v>0</v>
      </c>
      <c r="O105" s="335">
        <v>0</v>
      </c>
      <c r="P105" s="335">
        <v>0</v>
      </c>
      <c r="Q105" s="335">
        <v>0</v>
      </c>
      <c r="R105" s="335">
        <v>11</v>
      </c>
      <c r="S105" s="335">
        <v>37</v>
      </c>
      <c r="T105" s="335">
        <v>0</v>
      </c>
      <c r="U105" s="335">
        <v>55</v>
      </c>
      <c r="V105" s="335">
        <v>51.5</v>
      </c>
      <c r="W105" s="335">
        <v>55</v>
      </c>
      <c r="X105" s="335">
        <v>51.5</v>
      </c>
      <c r="Y105" s="381">
        <f t="shared" si="1"/>
        <v>214652</v>
      </c>
      <c r="Z105" s="335">
        <v>0</v>
      </c>
      <c r="AA105" s="335">
        <v>0</v>
      </c>
      <c r="AB105" s="335">
        <v>0</v>
      </c>
      <c r="AF105" s="394"/>
      <c r="AH105" s="366"/>
    </row>
    <row r="106" spans="1:34" ht="28.5">
      <c r="A106" s="366" t="s">
        <v>755</v>
      </c>
      <c r="B106" s="196" t="s">
        <v>153</v>
      </c>
      <c r="C106" s="196" t="s">
        <v>607</v>
      </c>
      <c r="D106" s="335">
        <v>0</v>
      </c>
      <c r="E106" s="335">
        <v>17</v>
      </c>
      <c r="F106" s="335">
        <v>0</v>
      </c>
      <c r="G106" s="335">
        <v>0</v>
      </c>
      <c r="H106" s="335">
        <v>0</v>
      </c>
      <c r="I106" s="335">
        <v>24</v>
      </c>
      <c r="J106" s="335">
        <v>206</v>
      </c>
      <c r="K106" s="335">
        <v>0</v>
      </c>
      <c r="L106" s="335">
        <v>247</v>
      </c>
      <c r="M106" s="335">
        <v>0</v>
      </c>
      <c r="N106" s="335">
        <v>16</v>
      </c>
      <c r="O106" s="335">
        <v>0</v>
      </c>
      <c r="P106" s="335">
        <v>0</v>
      </c>
      <c r="Q106" s="335">
        <v>0</v>
      </c>
      <c r="R106" s="335">
        <v>23</v>
      </c>
      <c r="S106" s="335">
        <v>194</v>
      </c>
      <c r="T106" s="335">
        <v>0</v>
      </c>
      <c r="U106" s="335">
        <v>233</v>
      </c>
      <c r="V106" s="335">
        <v>226.6</v>
      </c>
      <c r="W106" s="335">
        <v>233</v>
      </c>
      <c r="X106" s="335">
        <v>226.6</v>
      </c>
      <c r="Y106" s="381">
        <f t="shared" si="1"/>
        <v>944468.7999999999</v>
      </c>
      <c r="Z106" s="335">
        <v>4</v>
      </c>
      <c r="AA106" s="335">
        <v>0</v>
      </c>
      <c r="AB106" s="335">
        <v>0</v>
      </c>
      <c r="AF106" s="394"/>
      <c r="AH106" s="366"/>
    </row>
    <row r="107" spans="1:34" ht="14.25">
      <c r="A107" s="366" t="s">
        <v>756</v>
      </c>
      <c r="B107" s="196" t="s">
        <v>153</v>
      </c>
      <c r="C107" s="196" t="s">
        <v>86</v>
      </c>
      <c r="D107" s="335">
        <v>0</v>
      </c>
      <c r="E107" s="335">
        <v>17</v>
      </c>
      <c r="F107" s="335">
        <v>0</v>
      </c>
      <c r="G107" s="335">
        <v>0</v>
      </c>
      <c r="H107" s="335">
        <v>0</v>
      </c>
      <c r="I107" s="335">
        <v>24</v>
      </c>
      <c r="J107" s="335">
        <v>206</v>
      </c>
      <c r="K107" s="335">
        <v>0</v>
      </c>
      <c r="L107" s="335">
        <v>247</v>
      </c>
      <c r="M107" s="335">
        <v>0</v>
      </c>
      <c r="N107" s="335">
        <v>0</v>
      </c>
      <c r="O107" s="335">
        <v>0</v>
      </c>
      <c r="P107" s="335">
        <v>0</v>
      </c>
      <c r="Q107" s="335">
        <v>0</v>
      </c>
      <c r="R107" s="335">
        <v>1</v>
      </c>
      <c r="S107" s="335">
        <v>4</v>
      </c>
      <c r="T107" s="335">
        <v>0</v>
      </c>
      <c r="U107" s="335">
        <v>5</v>
      </c>
      <c r="V107" s="335">
        <v>5</v>
      </c>
      <c r="W107" s="335">
        <v>5</v>
      </c>
      <c r="X107" s="335">
        <v>5</v>
      </c>
      <c r="Y107" s="381">
        <f t="shared" si="1"/>
        <v>20840</v>
      </c>
      <c r="Z107" s="335">
        <v>0</v>
      </c>
      <c r="AA107" s="335">
        <v>0</v>
      </c>
      <c r="AB107" s="335">
        <v>0</v>
      </c>
      <c r="AF107" s="394"/>
      <c r="AH107" s="366"/>
    </row>
    <row r="108" spans="1:34" ht="28.5">
      <c r="A108" s="366" t="s">
        <v>757</v>
      </c>
      <c r="B108" s="196" t="s">
        <v>104</v>
      </c>
      <c r="C108" s="196" t="s">
        <v>607</v>
      </c>
      <c r="D108" s="335">
        <v>0</v>
      </c>
      <c r="E108" s="335">
        <v>44</v>
      </c>
      <c r="F108" s="335">
        <v>0</v>
      </c>
      <c r="G108" s="335">
        <v>0</v>
      </c>
      <c r="H108" s="335">
        <v>0</v>
      </c>
      <c r="I108" s="335">
        <v>56</v>
      </c>
      <c r="J108" s="335">
        <v>377</v>
      </c>
      <c r="K108" s="335">
        <v>0</v>
      </c>
      <c r="L108" s="335">
        <v>477</v>
      </c>
      <c r="M108" s="335">
        <v>0</v>
      </c>
      <c r="N108" s="335">
        <v>44</v>
      </c>
      <c r="O108" s="335">
        <v>0</v>
      </c>
      <c r="P108" s="335">
        <v>0</v>
      </c>
      <c r="Q108" s="335">
        <v>0</v>
      </c>
      <c r="R108" s="335">
        <v>56</v>
      </c>
      <c r="S108" s="335">
        <v>377</v>
      </c>
      <c r="T108" s="335">
        <v>0</v>
      </c>
      <c r="U108" s="335">
        <v>477</v>
      </c>
      <c r="V108" s="335">
        <v>459.4</v>
      </c>
      <c r="W108" s="335">
        <v>477</v>
      </c>
      <c r="X108" s="335">
        <v>459.4</v>
      </c>
      <c r="Y108" s="381">
        <f t="shared" si="1"/>
        <v>1914779.2</v>
      </c>
      <c r="Z108" s="335">
        <v>0</v>
      </c>
      <c r="AA108" s="335">
        <v>0</v>
      </c>
      <c r="AB108" s="335">
        <v>0</v>
      </c>
      <c r="AF108" s="394"/>
      <c r="AH108" s="366"/>
    </row>
    <row r="109" spans="1:34" ht="14.25">
      <c r="A109" s="366" t="s">
        <v>758</v>
      </c>
      <c r="B109" s="196" t="s">
        <v>292</v>
      </c>
      <c r="C109" s="196" t="s">
        <v>86</v>
      </c>
      <c r="D109" s="335">
        <v>0</v>
      </c>
      <c r="E109" s="335">
        <v>0</v>
      </c>
      <c r="F109" s="335">
        <v>0</v>
      </c>
      <c r="G109" s="335">
        <v>0</v>
      </c>
      <c r="H109" s="335">
        <v>0</v>
      </c>
      <c r="I109" s="335">
        <v>2</v>
      </c>
      <c r="J109" s="335">
        <v>25</v>
      </c>
      <c r="K109" s="335">
        <v>3</v>
      </c>
      <c r="L109" s="335">
        <v>30</v>
      </c>
      <c r="M109" s="335">
        <v>0</v>
      </c>
      <c r="N109" s="335">
        <v>0</v>
      </c>
      <c r="O109" s="335">
        <v>0</v>
      </c>
      <c r="P109" s="335">
        <v>0</v>
      </c>
      <c r="Q109" s="335">
        <v>0</v>
      </c>
      <c r="R109" s="335">
        <v>2</v>
      </c>
      <c r="S109" s="335">
        <v>15</v>
      </c>
      <c r="T109" s="335">
        <v>1</v>
      </c>
      <c r="U109" s="335">
        <v>18</v>
      </c>
      <c r="V109" s="335">
        <v>18</v>
      </c>
      <c r="W109" s="335">
        <v>17</v>
      </c>
      <c r="X109" s="335">
        <v>17</v>
      </c>
      <c r="Y109" s="381">
        <f t="shared" si="1"/>
        <v>75347</v>
      </c>
      <c r="Z109" s="335">
        <v>0</v>
      </c>
      <c r="AA109" s="335">
        <v>0</v>
      </c>
      <c r="AB109" s="335">
        <v>0</v>
      </c>
      <c r="AF109" s="394"/>
      <c r="AH109" s="366"/>
    </row>
    <row r="110" spans="1:34" ht="28.5">
      <c r="A110" s="366" t="s">
        <v>759</v>
      </c>
      <c r="B110" s="196" t="s">
        <v>200</v>
      </c>
      <c r="C110" s="196" t="s">
        <v>86</v>
      </c>
      <c r="D110" s="335">
        <v>0</v>
      </c>
      <c r="E110" s="335">
        <v>56</v>
      </c>
      <c r="F110" s="335">
        <v>0</v>
      </c>
      <c r="G110" s="335">
        <v>0</v>
      </c>
      <c r="H110" s="335">
        <v>0</v>
      </c>
      <c r="I110" s="335">
        <v>60</v>
      </c>
      <c r="J110" s="335">
        <v>634</v>
      </c>
      <c r="K110" s="335">
        <v>0</v>
      </c>
      <c r="L110" s="335">
        <v>750</v>
      </c>
      <c r="M110" s="335">
        <v>0</v>
      </c>
      <c r="N110" s="335">
        <v>22</v>
      </c>
      <c r="O110" s="335">
        <v>0</v>
      </c>
      <c r="P110" s="335">
        <v>0</v>
      </c>
      <c r="Q110" s="335">
        <v>0</v>
      </c>
      <c r="R110" s="335">
        <v>27</v>
      </c>
      <c r="S110" s="335">
        <v>339</v>
      </c>
      <c r="T110" s="335">
        <v>0</v>
      </c>
      <c r="U110" s="335">
        <v>388</v>
      </c>
      <c r="V110" s="335">
        <v>379.2</v>
      </c>
      <c r="W110" s="335">
        <v>388</v>
      </c>
      <c r="X110" s="335">
        <v>379.2</v>
      </c>
      <c r="Y110" s="381">
        <f t="shared" si="1"/>
        <v>1580505.5999999999</v>
      </c>
      <c r="Z110" s="335">
        <v>0</v>
      </c>
      <c r="AA110" s="335">
        <v>0</v>
      </c>
      <c r="AB110" s="335">
        <v>0</v>
      </c>
      <c r="AF110" s="394"/>
      <c r="AH110" s="366"/>
    </row>
    <row r="111" spans="1:34" ht="28.5">
      <c r="A111" s="366" t="s">
        <v>760</v>
      </c>
      <c r="B111" s="196" t="s">
        <v>201</v>
      </c>
      <c r="C111" s="196" t="s">
        <v>86</v>
      </c>
      <c r="D111" s="335">
        <v>0</v>
      </c>
      <c r="E111" s="335">
        <v>0</v>
      </c>
      <c r="F111" s="335">
        <v>0</v>
      </c>
      <c r="G111" s="335">
        <v>0</v>
      </c>
      <c r="H111" s="335">
        <v>0</v>
      </c>
      <c r="I111" s="335">
        <v>83</v>
      </c>
      <c r="J111" s="335">
        <v>621</v>
      </c>
      <c r="K111" s="335">
        <v>0</v>
      </c>
      <c r="L111" s="335">
        <v>704</v>
      </c>
      <c r="M111" s="335">
        <v>0</v>
      </c>
      <c r="N111" s="335">
        <v>0</v>
      </c>
      <c r="O111" s="335">
        <v>0</v>
      </c>
      <c r="P111" s="335">
        <v>0</v>
      </c>
      <c r="Q111" s="335">
        <v>0</v>
      </c>
      <c r="R111" s="335">
        <v>5</v>
      </c>
      <c r="S111" s="335">
        <v>65</v>
      </c>
      <c r="T111" s="335">
        <v>0</v>
      </c>
      <c r="U111" s="335">
        <v>70</v>
      </c>
      <c r="V111" s="335">
        <v>70</v>
      </c>
      <c r="W111" s="335">
        <v>70</v>
      </c>
      <c r="X111" s="335">
        <v>70</v>
      </c>
      <c r="Y111" s="381">
        <f t="shared" si="1"/>
        <v>291760</v>
      </c>
      <c r="Z111" s="335">
        <v>0</v>
      </c>
      <c r="AA111" s="335">
        <v>0</v>
      </c>
      <c r="AB111" s="335">
        <v>0</v>
      </c>
      <c r="AF111" s="394"/>
      <c r="AH111" s="366"/>
    </row>
    <row r="112" spans="1:34" ht="28.5">
      <c r="A112" s="366" t="s">
        <v>761</v>
      </c>
      <c r="B112" s="196" t="s">
        <v>202</v>
      </c>
      <c r="C112" s="196" t="s">
        <v>86</v>
      </c>
      <c r="D112" s="335">
        <v>0</v>
      </c>
      <c r="E112" s="335">
        <v>58</v>
      </c>
      <c r="F112" s="335">
        <v>0</v>
      </c>
      <c r="G112" s="335">
        <v>0</v>
      </c>
      <c r="H112" s="335">
        <v>0</v>
      </c>
      <c r="I112" s="335">
        <v>50</v>
      </c>
      <c r="J112" s="335">
        <v>407</v>
      </c>
      <c r="K112" s="335">
        <v>0</v>
      </c>
      <c r="L112" s="335">
        <v>515</v>
      </c>
      <c r="M112" s="335">
        <v>0</v>
      </c>
      <c r="N112" s="335">
        <v>8</v>
      </c>
      <c r="O112" s="335">
        <v>0</v>
      </c>
      <c r="P112" s="335">
        <v>0</v>
      </c>
      <c r="Q112" s="335">
        <v>0</v>
      </c>
      <c r="R112" s="335">
        <v>12</v>
      </c>
      <c r="S112" s="335">
        <v>76</v>
      </c>
      <c r="T112" s="335">
        <v>0</v>
      </c>
      <c r="U112" s="335">
        <v>96</v>
      </c>
      <c r="V112" s="335">
        <v>92.8</v>
      </c>
      <c r="W112" s="335">
        <v>96</v>
      </c>
      <c r="X112" s="335">
        <v>92.8</v>
      </c>
      <c r="Y112" s="381">
        <f t="shared" si="1"/>
        <v>386790.39999999997</v>
      </c>
      <c r="Z112" s="335">
        <v>0</v>
      </c>
      <c r="AA112" s="335">
        <v>0</v>
      </c>
      <c r="AB112" s="335">
        <v>0</v>
      </c>
      <c r="AF112" s="394"/>
      <c r="AH112" s="366"/>
    </row>
    <row r="113" spans="1:34" ht="14.25">
      <c r="A113" s="366" t="s">
        <v>762</v>
      </c>
      <c r="B113" s="196" t="s">
        <v>372</v>
      </c>
      <c r="C113" s="196" t="s">
        <v>86</v>
      </c>
      <c r="D113" s="335">
        <v>0</v>
      </c>
      <c r="E113" s="335">
        <v>0</v>
      </c>
      <c r="F113" s="335">
        <v>0</v>
      </c>
      <c r="G113" s="335">
        <v>0</v>
      </c>
      <c r="H113" s="335">
        <v>0</v>
      </c>
      <c r="I113" s="335">
        <v>20</v>
      </c>
      <c r="J113" s="335">
        <v>100</v>
      </c>
      <c r="K113" s="335">
        <v>0</v>
      </c>
      <c r="L113" s="335">
        <v>120</v>
      </c>
      <c r="M113" s="335">
        <v>0</v>
      </c>
      <c r="N113" s="335">
        <v>0</v>
      </c>
      <c r="O113" s="335">
        <v>0</v>
      </c>
      <c r="P113" s="335">
        <v>0</v>
      </c>
      <c r="Q113" s="335">
        <v>0</v>
      </c>
      <c r="R113" s="335">
        <v>8</v>
      </c>
      <c r="S113" s="335">
        <v>35</v>
      </c>
      <c r="T113" s="335">
        <v>0</v>
      </c>
      <c r="U113" s="335">
        <v>43</v>
      </c>
      <c r="V113" s="335">
        <v>43</v>
      </c>
      <c r="W113" s="335">
        <v>43</v>
      </c>
      <c r="X113" s="335">
        <v>43</v>
      </c>
      <c r="Y113" s="381">
        <f t="shared" si="1"/>
        <v>179224</v>
      </c>
      <c r="Z113" s="335">
        <v>0</v>
      </c>
      <c r="AA113" s="335">
        <v>0</v>
      </c>
      <c r="AB113" s="335">
        <v>0</v>
      </c>
      <c r="AF113" s="394"/>
      <c r="AH113" s="366"/>
    </row>
    <row r="114" spans="1:34" ht="28.5">
      <c r="A114" s="366" t="s">
        <v>763</v>
      </c>
      <c r="B114" s="196" t="s">
        <v>373</v>
      </c>
      <c r="C114" s="196" t="s">
        <v>607</v>
      </c>
      <c r="D114" s="335">
        <v>23</v>
      </c>
      <c r="E114" s="335">
        <v>0</v>
      </c>
      <c r="F114" s="335">
        <v>0</v>
      </c>
      <c r="G114" s="335">
        <v>0</v>
      </c>
      <c r="H114" s="335">
        <v>0</v>
      </c>
      <c r="I114" s="335">
        <v>21</v>
      </c>
      <c r="J114" s="335">
        <v>181</v>
      </c>
      <c r="K114" s="335">
        <v>28</v>
      </c>
      <c r="L114" s="335">
        <v>253</v>
      </c>
      <c r="M114" s="335">
        <v>10</v>
      </c>
      <c r="N114" s="335">
        <v>0</v>
      </c>
      <c r="O114" s="335">
        <v>0</v>
      </c>
      <c r="P114" s="335">
        <v>0</v>
      </c>
      <c r="Q114" s="335">
        <v>0</v>
      </c>
      <c r="R114" s="335">
        <v>13</v>
      </c>
      <c r="S114" s="335">
        <v>142</v>
      </c>
      <c r="T114" s="335">
        <v>21</v>
      </c>
      <c r="U114" s="335">
        <v>186</v>
      </c>
      <c r="V114" s="335">
        <v>181</v>
      </c>
      <c r="W114" s="335">
        <v>165</v>
      </c>
      <c r="X114" s="335">
        <v>160</v>
      </c>
      <c r="Y114" s="381">
        <f t="shared" si="1"/>
        <v>761191</v>
      </c>
      <c r="Z114" s="335">
        <v>1</v>
      </c>
      <c r="AA114" s="335">
        <v>0</v>
      </c>
      <c r="AB114" s="335">
        <v>0</v>
      </c>
      <c r="AF114" s="394"/>
      <c r="AH114" s="366"/>
    </row>
    <row r="115" spans="1:34" ht="14.25">
      <c r="A115" s="366" t="s">
        <v>764</v>
      </c>
      <c r="B115" s="196" t="s">
        <v>373</v>
      </c>
      <c r="C115" s="196" t="s">
        <v>608</v>
      </c>
      <c r="D115" s="335">
        <v>23</v>
      </c>
      <c r="E115" s="335">
        <v>0</v>
      </c>
      <c r="F115" s="335">
        <v>0</v>
      </c>
      <c r="G115" s="335">
        <v>0</v>
      </c>
      <c r="H115" s="335">
        <v>0</v>
      </c>
      <c r="I115" s="335">
        <v>21</v>
      </c>
      <c r="J115" s="335">
        <v>181</v>
      </c>
      <c r="K115" s="335">
        <v>28</v>
      </c>
      <c r="L115" s="335">
        <v>253</v>
      </c>
      <c r="M115" s="335"/>
      <c r="N115" s="335"/>
      <c r="O115" s="335"/>
      <c r="P115" s="335"/>
      <c r="Q115" s="335"/>
      <c r="R115" s="335"/>
      <c r="S115" s="335"/>
      <c r="T115" s="335"/>
      <c r="U115" s="335"/>
      <c r="V115" s="335"/>
      <c r="W115" s="335"/>
      <c r="X115" s="335"/>
      <c r="Y115" s="381">
        <f t="shared" si="1"/>
        <v>0</v>
      </c>
      <c r="Z115" s="335">
        <v>0</v>
      </c>
      <c r="AA115" s="335">
        <v>0</v>
      </c>
      <c r="AB115" s="335">
        <v>0</v>
      </c>
      <c r="AF115" s="394"/>
      <c r="AH115" s="366"/>
    </row>
    <row r="116" spans="1:34" ht="14.25">
      <c r="A116" s="366" t="s">
        <v>765</v>
      </c>
      <c r="B116" s="196" t="s">
        <v>373</v>
      </c>
      <c r="C116" s="196" t="s">
        <v>86</v>
      </c>
      <c r="D116" s="335">
        <v>23</v>
      </c>
      <c r="E116" s="335">
        <v>0</v>
      </c>
      <c r="F116" s="335">
        <v>0</v>
      </c>
      <c r="G116" s="335">
        <v>0</v>
      </c>
      <c r="H116" s="335">
        <v>0</v>
      </c>
      <c r="I116" s="335">
        <v>21</v>
      </c>
      <c r="J116" s="335">
        <v>181</v>
      </c>
      <c r="K116" s="335">
        <v>28</v>
      </c>
      <c r="L116" s="335">
        <v>253</v>
      </c>
      <c r="M116" s="335">
        <v>5</v>
      </c>
      <c r="N116" s="335">
        <v>0</v>
      </c>
      <c r="O116" s="335">
        <v>0</v>
      </c>
      <c r="P116" s="335">
        <v>0</v>
      </c>
      <c r="Q116" s="335">
        <v>0</v>
      </c>
      <c r="R116" s="335">
        <v>3</v>
      </c>
      <c r="S116" s="335">
        <v>25</v>
      </c>
      <c r="T116" s="335">
        <v>3</v>
      </c>
      <c r="U116" s="335">
        <v>36</v>
      </c>
      <c r="V116" s="335">
        <v>33.5</v>
      </c>
      <c r="W116" s="335">
        <v>33</v>
      </c>
      <c r="X116" s="335">
        <v>30.5</v>
      </c>
      <c r="Y116" s="381">
        <f t="shared" si="1"/>
        <v>140597</v>
      </c>
      <c r="Z116" s="335">
        <v>0</v>
      </c>
      <c r="AA116" s="335">
        <v>0</v>
      </c>
      <c r="AB116" s="335">
        <v>0</v>
      </c>
      <c r="AF116" s="394"/>
      <c r="AH116" s="366"/>
    </row>
    <row r="117" spans="1:34" ht="28.5">
      <c r="A117" s="366" t="s">
        <v>766</v>
      </c>
      <c r="B117" s="196" t="s">
        <v>203</v>
      </c>
      <c r="C117" s="196" t="s">
        <v>607</v>
      </c>
      <c r="D117" s="335">
        <v>39</v>
      </c>
      <c r="E117" s="335">
        <v>0</v>
      </c>
      <c r="F117" s="335">
        <v>0</v>
      </c>
      <c r="G117" s="335">
        <v>0</v>
      </c>
      <c r="H117" s="335">
        <v>0</v>
      </c>
      <c r="I117" s="335">
        <v>43</v>
      </c>
      <c r="J117" s="335">
        <v>341</v>
      </c>
      <c r="K117" s="335">
        <v>0</v>
      </c>
      <c r="L117" s="335">
        <v>423</v>
      </c>
      <c r="M117" s="335">
        <v>7</v>
      </c>
      <c r="N117" s="335">
        <v>0</v>
      </c>
      <c r="O117" s="335">
        <v>0</v>
      </c>
      <c r="P117" s="335">
        <v>0</v>
      </c>
      <c r="Q117" s="335">
        <v>0</v>
      </c>
      <c r="R117" s="335">
        <v>11</v>
      </c>
      <c r="S117" s="335">
        <v>67</v>
      </c>
      <c r="T117" s="335">
        <v>0</v>
      </c>
      <c r="U117" s="335">
        <v>85</v>
      </c>
      <c r="V117" s="335">
        <v>81.5</v>
      </c>
      <c r="W117" s="335">
        <v>85</v>
      </c>
      <c r="X117" s="335">
        <v>81.5</v>
      </c>
      <c r="Y117" s="381">
        <f t="shared" si="1"/>
        <v>339692</v>
      </c>
      <c r="Z117" s="335">
        <v>0</v>
      </c>
      <c r="AA117" s="335">
        <v>0</v>
      </c>
      <c r="AB117" s="335">
        <v>0</v>
      </c>
      <c r="AF117" s="394"/>
      <c r="AH117" s="366"/>
    </row>
    <row r="118" spans="1:34" ht="14.25">
      <c r="A118" s="366" t="s">
        <v>767</v>
      </c>
      <c r="B118" s="196" t="s">
        <v>203</v>
      </c>
      <c r="C118" s="196" t="s">
        <v>608</v>
      </c>
      <c r="D118" s="335">
        <v>39</v>
      </c>
      <c r="E118" s="335">
        <v>0</v>
      </c>
      <c r="F118" s="335">
        <v>0</v>
      </c>
      <c r="G118" s="335">
        <v>0</v>
      </c>
      <c r="H118" s="335">
        <v>0</v>
      </c>
      <c r="I118" s="335">
        <v>43</v>
      </c>
      <c r="J118" s="335">
        <v>341</v>
      </c>
      <c r="K118" s="335">
        <v>0</v>
      </c>
      <c r="L118" s="335">
        <v>423</v>
      </c>
      <c r="M118" s="335">
        <v>0</v>
      </c>
      <c r="N118" s="335">
        <v>0</v>
      </c>
      <c r="O118" s="335">
        <v>0</v>
      </c>
      <c r="P118" s="335">
        <v>0</v>
      </c>
      <c r="Q118" s="335">
        <v>0</v>
      </c>
      <c r="R118" s="335">
        <v>0</v>
      </c>
      <c r="S118" s="335">
        <v>3</v>
      </c>
      <c r="T118" s="335">
        <v>0</v>
      </c>
      <c r="U118" s="335">
        <v>3</v>
      </c>
      <c r="V118" s="335">
        <v>3</v>
      </c>
      <c r="W118" s="335">
        <v>3</v>
      </c>
      <c r="X118" s="335">
        <v>3</v>
      </c>
      <c r="Y118" s="381">
        <f t="shared" si="1"/>
        <v>12504</v>
      </c>
      <c r="Z118" s="335">
        <v>0</v>
      </c>
      <c r="AA118" s="335">
        <v>0</v>
      </c>
      <c r="AB118" s="335">
        <v>0</v>
      </c>
      <c r="AF118" s="394"/>
      <c r="AH118" s="366"/>
    </row>
    <row r="119" spans="1:34" ht="14.25">
      <c r="A119" s="366" t="s">
        <v>768</v>
      </c>
      <c r="B119" s="196" t="s">
        <v>203</v>
      </c>
      <c r="C119" s="196" t="s">
        <v>86</v>
      </c>
      <c r="D119" s="335">
        <v>39</v>
      </c>
      <c r="E119" s="335">
        <v>0</v>
      </c>
      <c r="F119" s="335">
        <v>0</v>
      </c>
      <c r="G119" s="335">
        <v>0</v>
      </c>
      <c r="H119" s="335">
        <v>0</v>
      </c>
      <c r="I119" s="335">
        <v>43</v>
      </c>
      <c r="J119" s="335">
        <v>341</v>
      </c>
      <c r="K119" s="335">
        <v>0</v>
      </c>
      <c r="L119" s="335">
        <v>423</v>
      </c>
      <c r="M119" s="335">
        <v>3</v>
      </c>
      <c r="N119" s="335">
        <v>0</v>
      </c>
      <c r="O119" s="335">
        <v>0</v>
      </c>
      <c r="P119" s="335">
        <v>0</v>
      </c>
      <c r="Q119" s="335">
        <v>0</v>
      </c>
      <c r="R119" s="335">
        <v>8</v>
      </c>
      <c r="S119" s="335">
        <v>55</v>
      </c>
      <c r="T119" s="335">
        <v>0</v>
      </c>
      <c r="U119" s="335">
        <v>66</v>
      </c>
      <c r="V119" s="335">
        <v>64.5</v>
      </c>
      <c r="W119" s="335">
        <v>66</v>
      </c>
      <c r="X119" s="335">
        <v>64.5</v>
      </c>
      <c r="Y119" s="381">
        <f t="shared" si="1"/>
        <v>268836</v>
      </c>
      <c r="Z119" s="335">
        <v>0</v>
      </c>
      <c r="AA119" s="335">
        <v>0</v>
      </c>
      <c r="AB119" s="335">
        <v>0</v>
      </c>
      <c r="AF119" s="394"/>
      <c r="AH119" s="366"/>
    </row>
    <row r="120" spans="1:34" ht="28.5">
      <c r="A120" s="366" t="s">
        <v>769</v>
      </c>
      <c r="B120" s="196" t="s">
        <v>105</v>
      </c>
      <c r="C120" s="196" t="s">
        <v>607</v>
      </c>
      <c r="D120" s="335">
        <v>0</v>
      </c>
      <c r="E120" s="335">
        <v>0</v>
      </c>
      <c r="F120" s="335">
        <v>0</v>
      </c>
      <c r="G120" s="335">
        <v>0</v>
      </c>
      <c r="H120" s="335">
        <v>0</v>
      </c>
      <c r="I120" s="335">
        <v>51</v>
      </c>
      <c r="J120" s="335">
        <v>350</v>
      </c>
      <c r="K120" s="335">
        <v>176</v>
      </c>
      <c r="L120" s="335">
        <v>577</v>
      </c>
      <c r="M120" s="335">
        <v>0</v>
      </c>
      <c r="N120" s="335">
        <v>0</v>
      </c>
      <c r="O120" s="335">
        <v>0</v>
      </c>
      <c r="P120" s="335">
        <v>0</v>
      </c>
      <c r="Q120" s="335">
        <v>0</v>
      </c>
      <c r="R120" s="335">
        <v>13</v>
      </c>
      <c r="S120" s="335">
        <v>97</v>
      </c>
      <c r="T120" s="335">
        <v>50</v>
      </c>
      <c r="U120" s="335">
        <v>160</v>
      </c>
      <c r="V120" s="335">
        <v>160</v>
      </c>
      <c r="W120" s="335">
        <v>110</v>
      </c>
      <c r="X120" s="335">
        <v>110</v>
      </c>
      <c r="Y120" s="381">
        <f t="shared" si="1"/>
        <v>683030</v>
      </c>
      <c r="Z120" s="335">
        <v>1</v>
      </c>
      <c r="AA120" s="335">
        <v>0</v>
      </c>
      <c r="AB120" s="335">
        <v>0</v>
      </c>
      <c r="AF120" s="394"/>
      <c r="AH120" s="366"/>
    </row>
    <row r="121" spans="1:34" ht="14.25">
      <c r="A121" s="366" t="s">
        <v>770</v>
      </c>
      <c r="B121" s="196" t="s">
        <v>105</v>
      </c>
      <c r="C121" s="196" t="s">
        <v>86</v>
      </c>
      <c r="D121" s="335">
        <v>0</v>
      </c>
      <c r="E121" s="335">
        <v>0</v>
      </c>
      <c r="F121" s="335">
        <v>0</v>
      </c>
      <c r="G121" s="335">
        <v>0</v>
      </c>
      <c r="H121" s="335">
        <v>0</v>
      </c>
      <c r="I121" s="335">
        <v>51</v>
      </c>
      <c r="J121" s="335">
        <v>350</v>
      </c>
      <c r="K121" s="335">
        <v>176</v>
      </c>
      <c r="L121" s="335">
        <v>577</v>
      </c>
      <c r="M121" s="335">
        <v>0</v>
      </c>
      <c r="N121" s="335">
        <v>0</v>
      </c>
      <c r="O121" s="335">
        <v>0</v>
      </c>
      <c r="P121" s="335">
        <v>0</v>
      </c>
      <c r="Q121" s="335">
        <v>0</v>
      </c>
      <c r="R121" s="335">
        <v>21</v>
      </c>
      <c r="S121" s="335">
        <v>152</v>
      </c>
      <c r="T121" s="335">
        <v>58</v>
      </c>
      <c r="U121" s="335">
        <v>231</v>
      </c>
      <c r="V121" s="335">
        <v>231</v>
      </c>
      <c r="W121" s="335">
        <v>173</v>
      </c>
      <c r="X121" s="335">
        <v>173</v>
      </c>
      <c r="Y121" s="381">
        <f t="shared" si="1"/>
        <v>981542</v>
      </c>
      <c r="Z121" s="335">
        <v>0</v>
      </c>
      <c r="AA121" s="335">
        <v>0</v>
      </c>
      <c r="AB121" s="335">
        <v>0</v>
      </c>
      <c r="AF121" s="394"/>
      <c r="AH121" s="366"/>
    </row>
    <row r="122" spans="1:34" ht="14.25">
      <c r="A122" s="366" t="s">
        <v>771</v>
      </c>
      <c r="B122" s="196" t="s">
        <v>472</v>
      </c>
      <c r="C122" s="196" t="s">
        <v>86</v>
      </c>
      <c r="D122" s="335">
        <v>0</v>
      </c>
      <c r="E122" s="335">
        <v>25</v>
      </c>
      <c r="F122" s="335">
        <v>0</v>
      </c>
      <c r="G122" s="335">
        <v>0</v>
      </c>
      <c r="H122" s="335">
        <v>0</v>
      </c>
      <c r="I122" s="335">
        <v>30</v>
      </c>
      <c r="J122" s="335">
        <v>219</v>
      </c>
      <c r="K122" s="335">
        <v>0</v>
      </c>
      <c r="L122" s="335">
        <v>274</v>
      </c>
      <c r="M122" s="335">
        <v>0</v>
      </c>
      <c r="N122" s="335">
        <v>6</v>
      </c>
      <c r="O122" s="335">
        <v>0</v>
      </c>
      <c r="P122" s="335">
        <v>0</v>
      </c>
      <c r="Q122" s="335">
        <v>0</v>
      </c>
      <c r="R122" s="335">
        <v>12</v>
      </c>
      <c r="S122" s="335">
        <v>62</v>
      </c>
      <c r="T122" s="335">
        <v>0</v>
      </c>
      <c r="U122" s="335">
        <v>80</v>
      </c>
      <c r="V122" s="335">
        <v>77.6</v>
      </c>
      <c r="W122" s="335">
        <v>80</v>
      </c>
      <c r="X122" s="335">
        <v>77.6</v>
      </c>
      <c r="Y122" s="381">
        <f t="shared" si="1"/>
        <v>323436.8</v>
      </c>
      <c r="Z122" s="335">
        <v>0</v>
      </c>
      <c r="AA122" s="335">
        <v>0</v>
      </c>
      <c r="AB122" s="335">
        <v>0</v>
      </c>
      <c r="AF122" s="394"/>
      <c r="AH122" s="366"/>
    </row>
    <row r="123" spans="1:34" ht="28.5">
      <c r="A123" s="366" t="s">
        <v>772</v>
      </c>
      <c r="B123" s="196" t="s">
        <v>106</v>
      </c>
      <c r="C123" s="196" t="s">
        <v>607</v>
      </c>
      <c r="D123" s="335">
        <v>4</v>
      </c>
      <c r="E123" s="335">
        <v>0</v>
      </c>
      <c r="F123" s="335">
        <v>0</v>
      </c>
      <c r="G123" s="335">
        <v>0</v>
      </c>
      <c r="H123" s="335">
        <v>0</v>
      </c>
      <c r="I123" s="335">
        <v>15</v>
      </c>
      <c r="J123" s="335">
        <v>140</v>
      </c>
      <c r="K123" s="335">
        <v>0</v>
      </c>
      <c r="L123" s="335">
        <v>159</v>
      </c>
      <c r="M123" s="335">
        <v>4</v>
      </c>
      <c r="N123" s="335">
        <v>0</v>
      </c>
      <c r="O123" s="335">
        <v>0</v>
      </c>
      <c r="P123" s="335">
        <v>0</v>
      </c>
      <c r="Q123" s="335">
        <v>0</v>
      </c>
      <c r="R123" s="335">
        <v>5</v>
      </c>
      <c r="S123" s="335">
        <v>62</v>
      </c>
      <c r="T123" s="335">
        <v>0</v>
      </c>
      <c r="U123" s="335">
        <v>71</v>
      </c>
      <c r="V123" s="335">
        <v>69</v>
      </c>
      <c r="W123" s="335">
        <v>71</v>
      </c>
      <c r="X123" s="335">
        <v>69</v>
      </c>
      <c r="Y123" s="381">
        <f t="shared" si="1"/>
        <v>287592</v>
      </c>
      <c r="Z123" s="335">
        <v>0</v>
      </c>
      <c r="AA123" s="335">
        <v>0</v>
      </c>
      <c r="AB123" s="335">
        <v>0</v>
      </c>
      <c r="AF123" s="394"/>
      <c r="AH123" s="366"/>
    </row>
    <row r="124" spans="1:34" ht="14.25">
      <c r="A124" s="366" t="s">
        <v>773</v>
      </c>
      <c r="B124" s="196" t="s">
        <v>106</v>
      </c>
      <c r="C124" s="196" t="s">
        <v>86</v>
      </c>
      <c r="D124" s="335">
        <v>4</v>
      </c>
      <c r="E124" s="335">
        <v>0</v>
      </c>
      <c r="F124" s="335">
        <v>0</v>
      </c>
      <c r="G124" s="335">
        <v>0</v>
      </c>
      <c r="H124" s="335">
        <v>0</v>
      </c>
      <c r="I124" s="335">
        <v>15</v>
      </c>
      <c r="J124" s="335">
        <v>140</v>
      </c>
      <c r="K124" s="335">
        <v>0</v>
      </c>
      <c r="L124" s="335">
        <v>159</v>
      </c>
      <c r="M124" s="335">
        <v>0</v>
      </c>
      <c r="N124" s="335">
        <v>0</v>
      </c>
      <c r="O124" s="335">
        <v>0</v>
      </c>
      <c r="P124" s="335">
        <v>0</v>
      </c>
      <c r="Q124" s="335">
        <v>0</v>
      </c>
      <c r="R124" s="335">
        <v>5</v>
      </c>
      <c r="S124" s="335">
        <v>46</v>
      </c>
      <c r="T124" s="335">
        <v>0</v>
      </c>
      <c r="U124" s="335">
        <v>51</v>
      </c>
      <c r="V124" s="335">
        <v>51</v>
      </c>
      <c r="W124" s="335">
        <v>51</v>
      </c>
      <c r="X124" s="335">
        <v>51</v>
      </c>
      <c r="Y124" s="381">
        <f t="shared" si="1"/>
        <v>212568</v>
      </c>
      <c r="Z124" s="335">
        <v>0</v>
      </c>
      <c r="AA124" s="335">
        <v>0</v>
      </c>
      <c r="AB124" s="335">
        <v>0</v>
      </c>
      <c r="AF124" s="394"/>
      <c r="AH124" s="366"/>
    </row>
    <row r="125" spans="1:34" ht="14.25">
      <c r="A125" s="366" t="s">
        <v>774</v>
      </c>
      <c r="B125" s="196" t="s">
        <v>523</v>
      </c>
      <c r="C125" s="196" t="s">
        <v>86</v>
      </c>
      <c r="D125" s="335">
        <v>0</v>
      </c>
      <c r="E125" s="335">
        <v>0</v>
      </c>
      <c r="F125" s="335">
        <v>0</v>
      </c>
      <c r="G125" s="335">
        <v>0</v>
      </c>
      <c r="H125" s="335">
        <v>0</v>
      </c>
      <c r="I125" s="335">
        <v>25</v>
      </c>
      <c r="J125" s="335">
        <v>142</v>
      </c>
      <c r="K125" s="335">
        <v>0</v>
      </c>
      <c r="L125" s="335">
        <v>167</v>
      </c>
      <c r="M125" s="335">
        <v>0</v>
      </c>
      <c r="N125" s="335">
        <v>0</v>
      </c>
      <c r="O125" s="335">
        <v>0</v>
      </c>
      <c r="P125" s="335">
        <v>0</v>
      </c>
      <c r="Q125" s="335">
        <v>0</v>
      </c>
      <c r="R125" s="335">
        <v>5</v>
      </c>
      <c r="S125" s="335">
        <v>40</v>
      </c>
      <c r="T125" s="335">
        <v>0</v>
      </c>
      <c r="U125" s="335">
        <v>45</v>
      </c>
      <c r="V125" s="335">
        <v>45</v>
      </c>
      <c r="W125" s="335">
        <v>45</v>
      </c>
      <c r="X125" s="335">
        <v>45</v>
      </c>
      <c r="Y125" s="381">
        <f t="shared" si="1"/>
        <v>187560</v>
      </c>
      <c r="Z125" s="335">
        <v>0</v>
      </c>
      <c r="AA125" s="335">
        <v>0</v>
      </c>
      <c r="AB125" s="335">
        <v>0</v>
      </c>
      <c r="AF125" s="394"/>
      <c r="AH125" s="366"/>
    </row>
    <row r="126" spans="1:34" ht="14.25">
      <c r="A126" s="366" t="s">
        <v>775</v>
      </c>
      <c r="B126" s="196" t="s">
        <v>499</v>
      </c>
      <c r="C126" s="196" t="s">
        <v>86</v>
      </c>
      <c r="D126" s="335">
        <v>9</v>
      </c>
      <c r="E126" s="335">
        <v>0</v>
      </c>
      <c r="F126" s="335">
        <v>0</v>
      </c>
      <c r="G126" s="335">
        <v>0</v>
      </c>
      <c r="H126" s="335">
        <v>0</v>
      </c>
      <c r="I126" s="335">
        <v>7</v>
      </c>
      <c r="J126" s="335">
        <v>45</v>
      </c>
      <c r="K126" s="335">
        <v>0</v>
      </c>
      <c r="L126" s="335">
        <v>61</v>
      </c>
      <c r="M126" s="335">
        <v>0</v>
      </c>
      <c r="N126" s="335">
        <v>0</v>
      </c>
      <c r="O126" s="335">
        <v>0</v>
      </c>
      <c r="P126" s="335">
        <v>0</v>
      </c>
      <c r="Q126" s="335">
        <v>0</v>
      </c>
      <c r="R126" s="335">
        <v>2</v>
      </c>
      <c r="S126" s="335">
        <v>11</v>
      </c>
      <c r="T126" s="335">
        <v>0</v>
      </c>
      <c r="U126" s="335">
        <v>13</v>
      </c>
      <c r="V126" s="335">
        <v>13</v>
      </c>
      <c r="W126" s="335">
        <v>13</v>
      </c>
      <c r="X126" s="335">
        <v>13</v>
      </c>
      <c r="Y126" s="381">
        <f t="shared" si="1"/>
        <v>54184</v>
      </c>
      <c r="Z126" s="335">
        <v>0</v>
      </c>
      <c r="AA126" s="335">
        <v>0</v>
      </c>
      <c r="AB126" s="335">
        <v>0</v>
      </c>
      <c r="AF126" s="394"/>
      <c r="AH126" s="366"/>
    </row>
    <row r="127" spans="1:34" ht="28.5">
      <c r="A127" s="366" t="s">
        <v>776</v>
      </c>
      <c r="B127" s="196" t="s">
        <v>107</v>
      </c>
      <c r="C127" s="196" t="s">
        <v>607</v>
      </c>
      <c r="D127" s="335">
        <v>0</v>
      </c>
      <c r="E127" s="335">
        <v>24</v>
      </c>
      <c r="F127" s="335">
        <v>0</v>
      </c>
      <c r="G127" s="335">
        <v>0</v>
      </c>
      <c r="H127" s="335">
        <v>0</v>
      </c>
      <c r="I127" s="335">
        <v>23</v>
      </c>
      <c r="J127" s="335">
        <v>187</v>
      </c>
      <c r="K127" s="335">
        <v>140</v>
      </c>
      <c r="L127" s="335">
        <v>374</v>
      </c>
      <c r="M127" s="335">
        <v>0</v>
      </c>
      <c r="N127" s="335">
        <v>24</v>
      </c>
      <c r="O127" s="335">
        <v>0</v>
      </c>
      <c r="P127" s="335">
        <v>0</v>
      </c>
      <c r="Q127" s="335">
        <v>0</v>
      </c>
      <c r="R127" s="335">
        <v>21</v>
      </c>
      <c r="S127" s="335">
        <v>186</v>
      </c>
      <c r="T127" s="335">
        <v>139</v>
      </c>
      <c r="U127" s="335">
        <v>370</v>
      </c>
      <c r="V127" s="335">
        <v>360.4</v>
      </c>
      <c r="W127" s="335">
        <v>231</v>
      </c>
      <c r="X127" s="335">
        <v>221.4</v>
      </c>
      <c r="Y127" s="381">
        <f t="shared" si="1"/>
        <v>1547044.2000000002</v>
      </c>
      <c r="Z127" s="335">
        <v>0</v>
      </c>
      <c r="AA127" s="335">
        <v>0</v>
      </c>
      <c r="AB127" s="335">
        <v>0</v>
      </c>
      <c r="AF127" s="394"/>
      <c r="AH127" s="366"/>
    </row>
    <row r="128" spans="1:34" ht="28.5">
      <c r="A128" s="366" t="s">
        <v>777</v>
      </c>
      <c r="B128" s="196" t="s">
        <v>374</v>
      </c>
      <c r="C128" s="196" t="s">
        <v>86</v>
      </c>
      <c r="D128" s="335">
        <v>12</v>
      </c>
      <c r="E128" s="335">
        <v>0</v>
      </c>
      <c r="F128" s="335">
        <v>0</v>
      </c>
      <c r="G128" s="335">
        <v>0</v>
      </c>
      <c r="H128" s="335">
        <v>0</v>
      </c>
      <c r="I128" s="335">
        <v>10</v>
      </c>
      <c r="J128" s="335">
        <v>67</v>
      </c>
      <c r="K128" s="335">
        <v>0</v>
      </c>
      <c r="L128" s="335">
        <v>89</v>
      </c>
      <c r="M128" s="335">
        <v>0</v>
      </c>
      <c r="N128" s="335">
        <v>0</v>
      </c>
      <c r="O128" s="335">
        <v>0</v>
      </c>
      <c r="P128" s="335">
        <v>0</v>
      </c>
      <c r="Q128" s="335">
        <v>0</v>
      </c>
      <c r="R128" s="335">
        <v>1</v>
      </c>
      <c r="S128" s="335">
        <v>12</v>
      </c>
      <c r="T128" s="335">
        <v>0</v>
      </c>
      <c r="U128" s="335">
        <v>13</v>
      </c>
      <c r="V128" s="335">
        <v>13</v>
      </c>
      <c r="W128" s="335">
        <v>13</v>
      </c>
      <c r="X128" s="335">
        <v>13</v>
      </c>
      <c r="Y128" s="381">
        <f t="shared" si="1"/>
        <v>54184</v>
      </c>
      <c r="Z128" s="335">
        <v>0</v>
      </c>
      <c r="AA128" s="335">
        <v>0</v>
      </c>
      <c r="AB128" s="335">
        <v>0</v>
      </c>
      <c r="AF128" s="394"/>
      <c r="AH128" s="366"/>
    </row>
    <row r="129" spans="1:34" ht="14.25">
      <c r="A129" s="366" t="s">
        <v>778</v>
      </c>
      <c r="B129" s="196" t="s">
        <v>319</v>
      </c>
      <c r="C129" s="196" t="s">
        <v>86</v>
      </c>
      <c r="D129" s="335">
        <v>31</v>
      </c>
      <c r="E129" s="335">
        <v>0</v>
      </c>
      <c r="F129" s="335">
        <v>0</v>
      </c>
      <c r="G129" s="335">
        <v>0</v>
      </c>
      <c r="H129" s="335">
        <v>0</v>
      </c>
      <c r="I129" s="335">
        <v>13</v>
      </c>
      <c r="J129" s="335">
        <v>58</v>
      </c>
      <c r="K129" s="335">
        <v>0</v>
      </c>
      <c r="L129" s="335">
        <v>102</v>
      </c>
      <c r="M129" s="335">
        <v>7</v>
      </c>
      <c r="N129" s="335">
        <v>0</v>
      </c>
      <c r="O129" s="335">
        <v>0</v>
      </c>
      <c r="P129" s="335">
        <v>0</v>
      </c>
      <c r="Q129" s="335">
        <v>0</v>
      </c>
      <c r="R129" s="335">
        <v>1</v>
      </c>
      <c r="S129" s="335">
        <v>16</v>
      </c>
      <c r="T129" s="335">
        <v>0</v>
      </c>
      <c r="U129" s="335">
        <v>24</v>
      </c>
      <c r="V129" s="335">
        <v>20.5</v>
      </c>
      <c r="W129" s="335">
        <v>24</v>
      </c>
      <c r="X129" s="335">
        <v>20.5</v>
      </c>
      <c r="Y129" s="381">
        <f t="shared" si="1"/>
        <v>85444</v>
      </c>
      <c r="Z129" s="335">
        <v>0</v>
      </c>
      <c r="AA129" s="335">
        <v>0</v>
      </c>
      <c r="AB129" s="335">
        <v>0</v>
      </c>
      <c r="AF129" s="394"/>
      <c r="AH129" s="366"/>
    </row>
    <row r="130" spans="1:34" ht="14.25">
      <c r="A130" s="366" t="s">
        <v>779</v>
      </c>
      <c r="B130" s="196" t="s">
        <v>524</v>
      </c>
      <c r="C130" s="196" t="s">
        <v>86</v>
      </c>
      <c r="D130" s="335">
        <v>25</v>
      </c>
      <c r="E130" s="335">
        <v>0</v>
      </c>
      <c r="F130" s="335">
        <v>0</v>
      </c>
      <c r="G130" s="335">
        <v>0</v>
      </c>
      <c r="H130" s="335">
        <v>0</v>
      </c>
      <c r="I130" s="335">
        <v>24</v>
      </c>
      <c r="J130" s="335">
        <v>155</v>
      </c>
      <c r="K130" s="335">
        <v>0</v>
      </c>
      <c r="L130" s="335">
        <v>204</v>
      </c>
      <c r="M130" s="335">
        <v>7</v>
      </c>
      <c r="N130" s="335">
        <v>0</v>
      </c>
      <c r="O130" s="335">
        <v>0</v>
      </c>
      <c r="P130" s="335">
        <v>0</v>
      </c>
      <c r="Q130" s="335">
        <v>0</v>
      </c>
      <c r="R130" s="335">
        <v>5</v>
      </c>
      <c r="S130" s="335">
        <v>45</v>
      </c>
      <c r="T130" s="335">
        <v>0</v>
      </c>
      <c r="U130" s="335">
        <v>57</v>
      </c>
      <c r="V130" s="335">
        <v>53.5</v>
      </c>
      <c r="W130" s="335">
        <v>57</v>
      </c>
      <c r="X130" s="335">
        <v>53.5</v>
      </c>
      <c r="Y130" s="381">
        <f t="shared" si="1"/>
        <v>222988</v>
      </c>
      <c r="Z130" s="335">
        <v>0</v>
      </c>
      <c r="AA130" s="335">
        <v>0</v>
      </c>
      <c r="AB130" s="335">
        <v>0</v>
      </c>
      <c r="AF130" s="394"/>
      <c r="AH130" s="366"/>
    </row>
    <row r="131" spans="1:34" ht="14.25">
      <c r="A131" s="366" t="s">
        <v>780</v>
      </c>
      <c r="B131" s="196" t="s">
        <v>507</v>
      </c>
      <c r="C131" s="196" t="s">
        <v>86</v>
      </c>
      <c r="D131" s="335">
        <v>6</v>
      </c>
      <c r="E131" s="335">
        <v>0</v>
      </c>
      <c r="F131" s="335">
        <v>0</v>
      </c>
      <c r="G131" s="335">
        <v>0</v>
      </c>
      <c r="H131" s="335">
        <v>0</v>
      </c>
      <c r="I131" s="335">
        <v>2</v>
      </c>
      <c r="J131" s="335">
        <v>21</v>
      </c>
      <c r="K131" s="335">
        <v>0</v>
      </c>
      <c r="L131" s="335">
        <v>29</v>
      </c>
      <c r="M131" s="335">
        <v>1</v>
      </c>
      <c r="N131" s="335">
        <v>0</v>
      </c>
      <c r="O131" s="335">
        <v>0</v>
      </c>
      <c r="P131" s="335">
        <v>0</v>
      </c>
      <c r="Q131" s="335">
        <v>0</v>
      </c>
      <c r="R131" s="335">
        <v>0</v>
      </c>
      <c r="S131" s="335">
        <v>5</v>
      </c>
      <c r="T131" s="335">
        <v>0</v>
      </c>
      <c r="U131" s="335">
        <v>6</v>
      </c>
      <c r="V131" s="335">
        <v>5.5</v>
      </c>
      <c r="W131" s="335">
        <v>6</v>
      </c>
      <c r="X131" s="335">
        <v>5.5</v>
      </c>
      <c r="Y131" s="381">
        <f t="shared" si="1"/>
        <v>22924</v>
      </c>
      <c r="Z131" s="335">
        <v>0</v>
      </c>
      <c r="AA131" s="335">
        <v>0</v>
      </c>
      <c r="AB131" s="335">
        <v>0</v>
      </c>
      <c r="AF131" s="394"/>
      <c r="AH131" s="366"/>
    </row>
    <row r="132" spans="1:34" ht="14.25">
      <c r="A132" s="366" t="s">
        <v>781</v>
      </c>
      <c r="B132" s="196" t="s">
        <v>508</v>
      </c>
      <c r="C132" s="196" t="s">
        <v>86</v>
      </c>
      <c r="D132" s="335">
        <v>5</v>
      </c>
      <c r="E132" s="335">
        <v>0</v>
      </c>
      <c r="F132" s="335">
        <v>0</v>
      </c>
      <c r="G132" s="335">
        <v>0</v>
      </c>
      <c r="H132" s="335">
        <v>0</v>
      </c>
      <c r="I132" s="335">
        <v>12</v>
      </c>
      <c r="J132" s="335">
        <v>47</v>
      </c>
      <c r="K132" s="335">
        <v>0</v>
      </c>
      <c r="L132" s="335">
        <v>64</v>
      </c>
      <c r="M132" s="335">
        <v>0</v>
      </c>
      <c r="N132" s="335">
        <v>0</v>
      </c>
      <c r="O132" s="335">
        <v>0</v>
      </c>
      <c r="P132" s="335">
        <v>0</v>
      </c>
      <c r="Q132" s="335">
        <v>0</v>
      </c>
      <c r="R132" s="335">
        <v>1</v>
      </c>
      <c r="S132" s="335">
        <v>8</v>
      </c>
      <c r="T132" s="335">
        <v>0</v>
      </c>
      <c r="U132" s="335">
        <v>9</v>
      </c>
      <c r="V132" s="335">
        <v>9</v>
      </c>
      <c r="W132" s="335">
        <v>9</v>
      </c>
      <c r="X132" s="335">
        <v>9</v>
      </c>
      <c r="Y132" s="381">
        <f t="shared" si="1"/>
        <v>37512</v>
      </c>
      <c r="Z132" s="335">
        <v>0</v>
      </c>
      <c r="AA132" s="335">
        <v>0</v>
      </c>
      <c r="AB132" s="335">
        <v>0</v>
      </c>
      <c r="AF132" s="394"/>
      <c r="AH132" s="366"/>
    </row>
    <row r="133" spans="1:34" ht="28.5">
      <c r="A133" s="366" t="s">
        <v>782</v>
      </c>
      <c r="B133" s="196" t="s">
        <v>108</v>
      </c>
      <c r="C133" s="196" t="s">
        <v>607</v>
      </c>
      <c r="D133" s="335">
        <v>0</v>
      </c>
      <c r="E133" s="335">
        <v>0</v>
      </c>
      <c r="F133" s="335">
        <v>0</v>
      </c>
      <c r="G133" s="335">
        <v>0</v>
      </c>
      <c r="H133" s="335">
        <v>0</v>
      </c>
      <c r="I133" s="335">
        <v>0</v>
      </c>
      <c r="J133" s="335">
        <v>0</v>
      </c>
      <c r="K133" s="335">
        <v>199</v>
      </c>
      <c r="L133" s="335">
        <v>199</v>
      </c>
      <c r="M133" s="335">
        <v>0</v>
      </c>
      <c r="N133" s="335">
        <v>0</v>
      </c>
      <c r="O133" s="335">
        <v>0</v>
      </c>
      <c r="P133" s="335">
        <v>0</v>
      </c>
      <c r="Q133" s="335">
        <v>0</v>
      </c>
      <c r="R133" s="335">
        <v>0</v>
      </c>
      <c r="S133" s="335">
        <v>0</v>
      </c>
      <c r="T133" s="335">
        <v>199</v>
      </c>
      <c r="U133" s="335">
        <v>199</v>
      </c>
      <c r="V133" s="335">
        <v>199</v>
      </c>
      <c r="W133" s="335">
        <v>0</v>
      </c>
      <c r="X133" s="335">
        <v>0</v>
      </c>
      <c r="Y133" s="381">
        <f aca="true" t="shared" si="2" ref="Y133:Y196">((T133*CY_9_12_Pmt)+(X133*CY_K_8_Pmt))/2</f>
        <v>893709</v>
      </c>
      <c r="Z133" s="335">
        <v>0</v>
      </c>
      <c r="AA133" s="335">
        <v>0</v>
      </c>
      <c r="AB133" s="335">
        <v>0</v>
      </c>
      <c r="AF133" s="394"/>
      <c r="AH133" s="366"/>
    </row>
    <row r="134" spans="1:34" ht="28.5">
      <c r="A134" s="366" t="s">
        <v>783</v>
      </c>
      <c r="B134" s="196" t="s">
        <v>109</v>
      </c>
      <c r="C134" s="196" t="s">
        <v>607</v>
      </c>
      <c r="D134" s="335">
        <v>0</v>
      </c>
      <c r="E134" s="335">
        <v>49</v>
      </c>
      <c r="F134" s="335">
        <v>0</v>
      </c>
      <c r="G134" s="335">
        <v>0</v>
      </c>
      <c r="H134" s="335">
        <v>0</v>
      </c>
      <c r="I134" s="335">
        <v>62</v>
      </c>
      <c r="J134" s="335">
        <v>471</v>
      </c>
      <c r="K134" s="335">
        <v>0</v>
      </c>
      <c r="L134" s="335">
        <v>582</v>
      </c>
      <c r="M134" s="335">
        <v>0</v>
      </c>
      <c r="N134" s="335">
        <v>49</v>
      </c>
      <c r="O134" s="335">
        <v>0</v>
      </c>
      <c r="P134" s="335">
        <v>0</v>
      </c>
      <c r="Q134" s="335">
        <v>0</v>
      </c>
      <c r="R134" s="335">
        <v>62</v>
      </c>
      <c r="S134" s="335">
        <v>470</v>
      </c>
      <c r="T134" s="335">
        <v>0</v>
      </c>
      <c r="U134" s="335">
        <v>581</v>
      </c>
      <c r="V134" s="335">
        <v>561.4</v>
      </c>
      <c r="W134" s="335">
        <v>581</v>
      </c>
      <c r="X134" s="335">
        <v>561.4</v>
      </c>
      <c r="Y134" s="381">
        <f t="shared" si="2"/>
        <v>2339915.1999999997</v>
      </c>
      <c r="Z134" s="335">
        <v>0</v>
      </c>
      <c r="AA134" s="335">
        <v>0</v>
      </c>
      <c r="AB134" s="335">
        <v>0</v>
      </c>
      <c r="AF134" s="394"/>
      <c r="AH134" s="366"/>
    </row>
    <row r="135" spans="1:34" ht="28.5">
      <c r="A135" s="366" t="s">
        <v>784</v>
      </c>
      <c r="B135" s="196" t="s">
        <v>266</v>
      </c>
      <c r="C135" s="196" t="s">
        <v>607</v>
      </c>
      <c r="D135" s="335">
        <v>0</v>
      </c>
      <c r="E135" s="335">
        <v>60</v>
      </c>
      <c r="F135" s="335">
        <v>0</v>
      </c>
      <c r="G135" s="335">
        <v>0</v>
      </c>
      <c r="H135" s="335">
        <v>0</v>
      </c>
      <c r="I135" s="335">
        <v>66</v>
      </c>
      <c r="J135" s="335">
        <v>424</v>
      </c>
      <c r="K135" s="335">
        <v>0</v>
      </c>
      <c r="L135" s="335">
        <v>550</v>
      </c>
      <c r="M135" s="335">
        <v>0</v>
      </c>
      <c r="N135" s="335">
        <v>59</v>
      </c>
      <c r="O135" s="335">
        <v>0</v>
      </c>
      <c r="P135" s="335">
        <v>0</v>
      </c>
      <c r="Q135" s="335">
        <v>0</v>
      </c>
      <c r="R135" s="335">
        <v>66</v>
      </c>
      <c r="S135" s="335">
        <v>424</v>
      </c>
      <c r="T135" s="335">
        <v>0</v>
      </c>
      <c r="U135" s="335">
        <v>549</v>
      </c>
      <c r="V135" s="335">
        <v>525.4</v>
      </c>
      <c r="W135" s="335">
        <v>549</v>
      </c>
      <c r="X135" s="335">
        <v>525.4</v>
      </c>
      <c r="Y135" s="381">
        <f t="shared" si="2"/>
        <v>2189867.1999999997</v>
      </c>
      <c r="Z135" s="335">
        <v>0</v>
      </c>
      <c r="AA135" s="335">
        <v>0</v>
      </c>
      <c r="AB135" s="335">
        <v>0</v>
      </c>
      <c r="AF135" s="394"/>
      <c r="AH135" s="366"/>
    </row>
    <row r="136" spans="1:34" ht="28.5">
      <c r="A136" s="366" t="s">
        <v>785</v>
      </c>
      <c r="B136" s="196" t="s">
        <v>110</v>
      </c>
      <c r="C136" s="196" t="s">
        <v>607</v>
      </c>
      <c r="D136" s="335">
        <v>0</v>
      </c>
      <c r="E136" s="335">
        <v>36</v>
      </c>
      <c r="F136" s="335">
        <v>0</v>
      </c>
      <c r="G136" s="335">
        <v>0</v>
      </c>
      <c r="H136" s="335">
        <v>0</v>
      </c>
      <c r="I136" s="335">
        <v>35</v>
      </c>
      <c r="J136" s="335">
        <v>370</v>
      </c>
      <c r="K136" s="335">
        <v>0</v>
      </c>
      <c r="L136" s="335">
        <v>441</v>
      </c>
      <c r="M136" s="335">
        <v>0</v>
      </c>
      <c r="N136" s="335">
        <v>36</v>
      </c>
      <c r="O136" s="335">
        <v>0</v>
      </c>
      <c r="P136" s="335">
        <v>0</v>
      </c>
      <c r="Q136" s="335">
        <v>0</v>
      </c>
      <c r="R136" s="335">
        <v>35</v>
      </c>
      <c r="S136" s="335">
        <v>370</v>
      </c>
      <c r="T136" s="335">
        <v>0</v>
      </c>
      <c r="U136" s="335">
        <v>441</v>
      </c>
      <c r="V136" s="335">
        <v>426.6</v>
      </c>
      <c r="W136" s="335">
        <v>441</v>
      </c>
      <c r="X136" s="335">
        <v>426.6</v>
      </c>
      <c r="Y136" s="381">
        <f t="shared" si="2"/>
        <v>1778068.8</v>
      </c>
      <c r="Z136" s="335">
        <v>0</v>
      </c>
      <c r="AA136" s="335">
        <v>0</v>
      </c>
      <c r="AB136" s="335">
        <v>0</v>
      </c>
      <c r="AF136" s="394"/>
      <c r="AH136" s="366"/>
    </row>
    <row r="137" spans="1:34" ht="28.5">
      <c r="A137" s="366" t="s">
        <v>786</v>
      </c>
      <c r="B137" s="196" t="s">
        <v>111</v>
      </c>
      <c r="C137" s="196" t="s">
        <v>607</v>
      </c>
      <c r="D137" s="335">
        <v>0</v>
      </c>
      <c r="E137" s="335">
        <v>55</v>
      </c>
      <c r="F137" s="335">
        <v>0</v>
      </c>
      <c r="G137" s="335">
        <v>0</v>
      </c>
      <c r="H137" s="335">
        <v>0</v>
      </c>
      <c r="I137" s="335">
        <v>62</v>
      </c>
      <c r="J137" s="335">
        <v>462</v>
      </c>
      <c r="K137" s="335">
        <v>0</v>
      </c>
      <c r="L137" s="335">
        <v>579</v>
      </c>
      <c r="M137" s="335">
        <v>0</v>
      </c>
      <c r="N137" s="335">
        <v>55</v>
      </c>
      <c r="O137" s="335">
        <v>0</v>
      </c>
      <c r="P137" s="335">
        <v>0</v>
      </c>
      <c r="Q137" s="335">
        <v>0</v>
      </c>
      <c r="R137" s="335">
        <v>62</v>
      </c>
      <c r="S137" s="335">
        <v>461</v>
      </c>
      <c r="T137" s="335">
        <v>0</v>
      </c>
      <c r="U137" s="335">
        <v>578</v>
      </c>
      <c r="V137" s="335">
        <v>556</v>
      </c>
      <c r="W137" s="335">
        <v>578</v>
      </c>
      <c r="X137" s="335">
        <v>556</v>
      </c>
      <c r="Y137" s="381">
        <f t="shared" si="2"/>
        <v>2317408</v>
      </c>
      <c r="Z137" s="335">
        <v>0</v>
      </c>
      <c r="AA137" s="335">
        <v>0</v>
      </c>
      <c r="AB137" s="335">
        <v>0</v>
      </c>
      <c r="AF137" s="394"/>
      <c r="AH137" s="366"/>
    </row>
    <row r="138" spans="1:34" ht="28.5">
      <c r="A138" s="366" t="s">
        <v>787</v>
      </c>
      <c r="B138" s="196" t="s">
        <v>112</v>
      </c>
      <c r="C138" s="196" t="s">
        <v>607</v>
      </c>
      <c r="D138" s="335">
        <v>0</v>
      </c>
      <c r="E138" s="335">
        <v>61</v>
      </c>
      <c r="F138" s="335">
        <v>0</v>
      </c>
      <c r="G138" s="335">
        <v>0</v>
      </c>
      <c r="H138" s="335">
        <v>0</v>
      </c>
      <c r="I138" s="335">
        <v>61</v>
      </c>
      <c r="J138" s="335">
        <v>448</v>
      </c>
      <c r="K138" s="335">
        <v>0</v>
      </c>
      <c r="L138" s="335">
        <v>570</v>
      </c>
      <c r="M138" s="335">
        <v>0</v>
      </c>
      <c r="N138" s="335">
        <v>61</v>
      </c>
      <c r="O138" s="335">
        <v>0</v>
      </c>
      <c r="P138" s="335">
        <v>0</v>
      </c>
      <c r="Q138" s="335">
        <v>0</v>
      </c>
      <c r="R138" s="335">
        <v>61</v>
      </c>
      <c r="S138" s="335">
        <v>447</v>
      </c>
      <c r="T138" s="335">
        <v>0</v>
      </c>
      <c r="U138" s="335">
        <v>569</v>
      </c>
      <c r="V138" s="335">
        <v>544.6</v>
      </c>
      <c r="W138" s="335">
        <v>569</v>
      </c>
      <c r="X138" s="335">
        <v>544.6</v>
      </c>
      <c r="Y138" s="381">
        <f t="shared" si="2"/>
        <v>2269892.8000000003</v>
      </c>
      <c r="Z138" s="335">
        <v>0</v>
      </c>
      <c r="AA138" s="335">
        <v>0</v>
      </c>
      <c r="AB138" s="335">
        <v>0</v>
      </c>
      <c r="AF138" s="394"/>
      <c r="AH138" s="366"/>
    </row>
    <row r="139" spans="1:34" ht="14.25">
      <c r="A139" s="366" t="s">
        <v>788</v>
      </c>
      <c r="B139" s="196" t="s">
        <v>154</v>
      </c>
      <c r="C139" s="196" t="s">
        <v>608</v>
      </c>
      <c r="D139" s="335">
        <v>0</v>
      </c>
      <c r="E139" s="335">
        <v>0</v>
      </c>
      <c r="F139" s="335">
        <v>0</v>
      </c>
      <c r="G139" s="335">
        <v>0</v>
      </c>
      <c r="H139" s="335">
        <v>0</v>
      </c>
      <c r="I139" s="335">
        <v>35</v>
      </c>
      <c r="J139" s="335">
        <v>305</v>
      </c>
      <c r="K139" s="335">
        <v>0</v>
      </c>
      <c r="L139" s="335">
        <v>340</v>
      </c>
      <c r="M139" s="335">
        <v>0</v>
      </c>
      <c r="N139" s="335">
        <v>0</v>
      </c>
      <c r="O139" s="335">
        <v>0</v>
      </c>
      <c r="P139" s="335">
        <v>0</v>
      </c>
      <c r="Q139" s="335">
        <v>0</v>
      </c>
      <c r="R139" s="335">
        <v>35</v>
      </c>
      <c r="S139" s="335">
        <v>305</v>
      </c>
      <c r="T139" s="335">
        <v>0</v>
      </c>
      <c r="U139" s="335">
        <v>340</v>
      </c>
      <c r="V139" s="335">
        <v>340</v>
      </c>
      <c r="W139" s="335">
        <v>340</v>
      </c>
      <c r="X139" s="335">
        <v>340</v>
      </c>
      <c r="Y139" s="381">
        <f t="shared" si="2"/>
        <v>1417120</v>
      </c>
      <c r="Z139" s="335">
        <v>0</v>
      </c>
      <c r="AA139" s="335">
        <v>0</v>
      </c>
      <c r="AB139" s="335">
        <v>0</v>
      </c>
      <c r="AF139" s="394"/>
      <c r="AH139" s="366"/>
    </row>
    <row r="140" spans="1:34" ht="28.5">
      <c r="A140" s="366" t="s">
        <v>789</v>
      </c>
      <c r="B140" s="196" t="s">
        <v>525</v>
      </c>
      <c r="C140" s="196" t="s">
        <v>86</v>
      </c>
      <c r="D140" s="335">
        <v>17</v>
      </c>
      <c r="E140" s="335">
        <v>0</v>
      </c>
      <c r="F140" s="335">
        <v>0</v>
      </c>
      <c r="G140" s="335">
        <v>0</v>
      </c>
      <c r="H140" s="335">
        <v>0</v>
      </c>
      <c r="I140" s="335">
        <v>51</v>
      </c>
      <c r="J140" s="335">
        <v>240</v>
      </c>
      <c r="K140" s="335">
        <v>0</v>
      </c>
      <c r="L140" s="335">
        <v>308</v>
      </c>
      <c r="M140" s="335">
        <v>7</v>
      </c>
      <c r="N140" s="335">
        <v>0</v>
      </c>
      <c r="O140" s="335">
        <v>0</v>
      </c>
      <c r="P140" s="335">
        <v>0</v>
      </c>
      <c r="Q140" s="335">
        <v>0</v>
      </c>
      <c r="R140" s="335">
        <v>11</v>
      </c>
      <c r="S140" s="335">
        <v>52</v>
      </c>
      <c r="T140" s="335">
        <v>0</v>
      </c>
      <c r="U140" s="335">
        <v>70</v>
      </c>
      <c r="V140" s="335">
        <v>66.5</v>
      </c>
      <c r="W140" s="335">
        <v>70</v>
      </c>
      <c r="X140" s="335">
        <v>66.5</v>
      </c>
      <c r="Y140" s="381">
        <f t="shared" si="2"/>
        <v>277172</v>
      </c>
      <c r="Z140" s="335">
        <v>0</v>
      </c>
      <c r="AA140" s="335">
        <v>0</v>
      </c>
      <c r="AB140" s="335">
        <v>0</v>
      </c>
      <c r="AF140" s="394"/>
      <c r="AH140" s="366"/>
    </row>
    <row r="141" spans="1:34" ht="28.5">
      <c r="A141" s="366" t="s">
        <v>790</v>
      </c>
      <c r="B141" s="196" t="s">
        <v>113</v>
      </c>
      <c r="C141" s="196" t="s">
        <v>607</v>
      </c>
      <c r="D141" s="335">
        <v>49</v>
      </c>
      <c r="E141" s="335">
        <v>0</v>
      </c>
      <c r="F141" s="335">
        <v>0</v>
      </c>
      <c r="G141" s="335">
        <v>0</v>
      </c>
      <c r="H141" s="335">
        <v>0</v>
      </c>
      <c r="I141" s="335">
        <v>34</v>
      </c>
      <c r="J141" s="335">
        <v>288</v>
      </c>
      <c r="K141" s="335">
        <v>0</v>
      </c>
      <c r="L141" s="335">
        <v>371</v>
      </c>
      <c r="M141" s="335">
        <v>17</v>
      </c>
      <c r="N141" s="335">
        <v>0</v>
      </c>
      <c r="O141" s="335">
        <v>0</v>
      </c>
      <c r="P141" s="335">
        <v>0</v>
      </c>
      <c r="Q141" s="335">
        <v>0</v>
      </c>
      <c r="R141" s="335">
        <v>19</v>
      </c>
      <c r="S141" s="335">
        <v>134</v>
      </c>
      <c r="T141" s="335">
        <v>0</v>
      </c>
      <c r="U141" s="335">
        <v>170</v>
      </c>
      <c r="V141" s="335">
        <v>161.5</v>
      </c>
      <c r="W141" s="335">
        <v>170</v>
      </c>
      <c r="X141" s="335">
        <v>161.5</v>
      </c>
      <c r="Y141" s="381">
        <f t="shared" si="2"/>
        <v>673132</v>
      </c>
      <c r="Z141" s="335">
        <v>0</v>
      </c>
      <c r="AA141" s="335">
        <v>0</v>
      </c>
      <c r="AB141" s="335">
        <v>0</v>
      </c>
      <c r="AF141" s="394"/>
      <c r="AH141" s="366"/>
    </row>
    <row r="142" spans="1:34" ht="28.5">
      <c r="A142" s="366" t="s">
        <v>791</v>
      </c>
      <c r="B142" s="196" t="s">
        <v>113</v>
      </c>
      <c r="C142" s="196" t="s">
        <v>86</v>
      </c>
      <c r="D142" s="335">
        <v>49</v>
      </c>
      <c r="E142" s="335">
        <v>0</v>
      </c>
      <c r="F142" s="335">
        <v>0</v>
      </c>
      <c r="G142" s="335">
        <v>0</v>
      </c>
      <c r="H142" s="335">
        <v>0</v>
      </c>
      <c r="I142" s="335">
        <v>34</v>
      </c>
      <c r="J142" s="335">
        <v>288</v>
      </c>
      <c r="K142" s="335">
        <v>0</v>
      </c>
      <c r="L142" s="335">
        <v>371</v>
      </c>
      <c r="M142" s="335">
        <v>7</v>
      </c>
      <c r="N142" s="335">
        <v>0</v>
      </c>
      <c r="O142" s="335">
        <v>0</v>
      </c>
      <c r="P142" s="335">
        <v>0</v>
      </c>
      <c r="Q142" s="335">
        <v>0</v>
      </c>
      <c r="R142" s="335">
        <v>7</v>
      </c>
      <c r="S142" s="335">
        <v>38</v>
      </c>
      <c r="T142" s="335">
        <v>0</v>
      </c>
      <c r="U142" s="335">
        <v>52</v>
      </c>
      <c r="V142" s="335">
        <v>48.5</v>
      </c>
      <c r="W142" s="335">
        <v>52</v>
      </c>
      <c r="X142" s="335">
        <v>48.5</v>
      </c>
      <c r="Y142" s="381">
        <f t="shared" si="2"/>
        <v>202148</v>
      </c>
      <c r="Z142" s="335">
        <v>0</v>
      </c>
      <c r="AA142" s="335">
        <v>0</v>
      </c>
      <c r="AB142" s="335">
        <v>0</v>
      </c>
      <c r="AF142" s="394"/>
      <c r="AH142" s="366"/>
    </row>
    <row r="143" spans="1:34" ht="28.5">
      <c r="A143" s="366" t="s">
        <v>792</v>
      </c>
      <c r="B143" s="196" t="s">
        <v>375</v>
      </c>
      <c r="C143" s="196" t="s">
        <v>86</v>
      </c>
      <c r="D143" s="335">
        <v>17</v>
      </c>
      <c r="E143" s="335">
        <v>0</v>
      </c>
      <c r="F143" s="335">
        <v>0</v>
      </c>
      <c r="G143" s="335">
        <v>0</v>
      </c>
      <c r="H143" s="335">
        <v>0</v>
      </c>
      <c r="I143" s="335">
        <v>18</v>
      </c>
      <c r="J143" s="335">
        <v>145</v>
      </c>
      <c r="K143" s="335">
        <v>0</v>
      </c>
      <c r="L143" s="335">
        <v>180</v>
      </c>
      <c r="M143" s="335">
        <v>6</v>
      </c>
      <c r="N143" s="335">
        <v>0</v>
      </c>
      <c r="O143" s="335">
        <v>0</v>
      </c>
      <c r="P143" s="335">
        <v>0</v>
      </c>
      <c r="Q143" s="335">
        <v>0</v>
      </c>
      <c r="R143" s="335">
        <v>10</v>
      </c>
      <c r="S143" s="335">
        <v>75</v>
      </c>
      <c r="T143" s="335">
        <v>0</v>
      </c>
      <c r="U143" s="335">
        <v>91</v>
      </c>
      <c r="V143" s="335">
        <v>88</v>
      </c>
      <c r="W143" s="335">
        <v>91</v>
      </c>
      <c r="X143" s="335">
        <v>88</v>
      </c>
      <c r="Y143" s="381">
        <f t="shared" si="2"/>
        <v>366784</v>
      </c>
      <c r="Z143" s="335">
        <v>0</v>
      </c>
      <c r="AA143" s="335">
        <v>0</v>
      </c>
      <c r="AB143" s="335">
        <v>0</v>
      </c>
      <c r="AF143" s="394"/>
      <c r="AH143" s="366"/>
    </row>
    <row r="144" spans="1:34" ht="28.5">
      <c r="A144" s="366" t="s">
        <v>793</v>
      </c>
      <c r="B144" s="196" t="s">
        <v>204</v>
      </c>
      <c r="C144" s="196" t="s">
        <v>607</v>
      </c>
      <c r="D144" s="335">
        <v>0</v>
      </c>
      <c r="E144" s="335">
        <v>34</v>
      </c>
      <c r="F144" s="335">
        <v>0</v>
      </c>
      <c r="G144" s="335">
        <v>0</v>
      </c>
      <c r="H144" s="335">
        <v>0</v>
      </c>
      <c r="I144" s="335">
        <v>33</v>
      </c>
      <c r="J144" s="335">
        <v>236</v>
      </c>
      <c r="K144" s="335">
        <v>0</v>
      </c>
      <c r="L144" s="335">
        <v>303</v>
      </c>
      <c r="M144" s="335">
        <v>0</v>
      </c>
      <c r="N144" s="335">
        <v>33</v>
      </c>
      <c r="O144" s="335">
        <v>0</v>
      </c>
      <c r="P144" s="335">
        <v>0</v>
      </c>
      <c r="Q144" s="335">
        <v>0</v>
      </c>
      <c r="R144" s="335">
        <v>32</v>
      </c>
      <c r="S144" s="335">
        <v>234</v>
      </c>
      <c r="T144" s="335">
        <v>0</v>
      </c>
      <c r="U144" s="335">
        <v>299</v>
      </c>
      <c r="V144" s="335">
        <v>285.8</v>
      </c>
      <c r="W144" s="335">
        <v>299</v>
      </c>
      <c r="X144" s="335">
        <v>285.8</v>
      </c>
      <c r="Y144" s="381">
        <f t="shared" si="2"/>
        <v>1191214.4000000001</v>
      </c>
      <c r="Z144" s="335">
        <v>0</v>
      </c>
      <c r="AA144" s="335">
        <v>0</v>
      </c>
      <c r="AB144" s="335">
        <v>0</v>
      </c>
      <c r="AF144" s="394"/>
      <c r="AH144" s="366"/>
    </row>
    <row r="145" spans="1:34" ht="28.5">
      <c r="A145" s="366" t="s">
        <v>794</v>
      </c>
      <c r="B145" s="196" t="s">
        <v>114</v>
      </c>
      <c r="C145" s="196" t="s">
        <v>607</v>
      </c>
      <c r="D145" s="335">
        <v>0</v>
      </c>
      <c r="E145" s="335">
        <v>20</v>
      </c>
      <c r="F145" s="335">
        <v>0</v>
      </c>
      <c r="G145" s="335">
        <v>0</v>
      </c>
      <c r="H145" s="335">
        <v>0</v>
      </c>
      <c r="I145" s="335">
        <v>11</v>
      </c>
      <c r="J145" s="335">
        <v>26</v>
      </c>
      <c r="K145" s="335">
        <v>0</v>
      </c>
      <c r="L145" s="335">
        <v>57</v>
      </c>
      <c r="M145" s="335">
        <v>0</v>
      </c>
      <c r="N145" s="335">
        <v>20</v>
      </c>
      <c r="O145" s="335">
        <v>0</v>
      </c>
      <c r="P145" s="335">
        <v>0</v>
      </c>
      <c r="Q145" s="335">
        <v>0</v>
      </c>
      <c r="R145" s="335">
        <v>11</v>
      </c>
      <c r="S145" s="335">
        <v>26</v>
      </c>
      <c r="T145" s="335">
        <v>0</v>
      </c>
      <c r="U145" s="335">
        <v>57</v>
      </c>
      <c r="V145" s="335">
        <v>49</v>
      </c>
      <c r="W145" s="335">
        <v>57</v>
      </c>
      <c r="X145" s="335">
        <v>49</v>
      </c>
      <c r="Y145" s="381">
        <f t="shared" si="2"/>
        <v>204232</v>
      </c>
      <c r="Z145" s="335">
        <v>0</v>
      </c>
      <c r="AA145" s="335">
        <v>0</v>
      </c>
      <c r="AB145" s="335">
        <v>0</v>
      </c>
      <c r="AF145" s="394"/>
      <c r="AH145" s="366"/>
    </row>
    <row r="146" spans="1:34" ht="28.5">
      <c r="A146" s="366" t="s">
        <v>795</v>
      </c>
      <c r="B146" s="196" t="s">
        <v>526</v>
      </c>
      <c r="C146" s="196" t="s">
        <v>607</v>
      </c>
      <c r="D146" s="335">
        <v>0</v>
      </c>
      <c r="E146" s="335">
        <v>0</v>
      </c>
      <c r="F146" s="335">
        <v>0</v>
      </c>
      <c r="G146" s="335">
        <v>0</v>
      </c>
      <c r="H146" s="335">
        <v>0</v>
      </c>
      <c r="I146" s="335">
        <v>0</v>
      </c>
      <c r="J146" s="335">
        <v>32</v>
      </c>
      <c r="K146" s="335">
        <v>41</v>
      </c>
      <c r="L146" s="335">
        <v>73</v>
      </c>
      <c r="M146" s="335">
        <v>0</v>
      </c>
      <c r="N146" s="335">
        <v>0</v>
      </c>
      <c r="O146" s="335">
        <v>0</v>
      </c>
      <c r="P146" s="335">
        <v>0</v>
      </c>
      <c r="Q146" s="335">
        <v>0</v>
      </c>
      <c r="R146" s="335">
        <v>0</v>
      </c>
      <c r="S146" s="335">
        <v>7</v>
      </c>
      <c r="T146" s="335">
        <v>5</v>
      </c>
      <c r="U146" s="335">
        <v>12</v>
      </c>
      <c r="V146" s="335">
        <v>12</v>
      </c>
      <c r="W146" s="335">
        <v>7</v>
      </c>
      <c r="X146" s="335">
        <v>7</v>
      </c>
      <c r="Y146" s="381">
        <f t="shared" si="2"/>
        <v>51631</v>
      </c>
      <c r="Z146" s="335">
        <v>0</v>
      </c>
      <c r="AA146" s="335">
        <v>0</v>
      </c>
      <c r="AB146" s="335">
        <v>0</v>
      </c>
      <c r="AF146" s="394"/>
      <c r="AH146" s="366"/>
    </row>
    <row r="147" spans="1:34" ht="14.25">
      <c r="A147" s="366" t="s">
        <v>796</v>
      </c>
      <c r="B147" s="196" t="s">
        <v>526</v>
      </c>
      <c r="C147" s="196" t="s">
        <v>86</v>
      </c>
      <c r="D147" s="335">
        <v>0</v>
      </c>
      <c r="E147" s="335">
        <v>0</v>
      </c>
      <c r="F147" s="335">
        <v>0</v>
      </c>
      <c r="G147" s="335">
        <v>0</v>
      </c>
      <c r="H147" s="335">
        <v>0</v>
      </c>
      <c r="I147" s="335">
        <v>0</v>
      </c>
      <c r="J147" s="335">
        <v>32</v>
      </c>
      <c r="K147" s="335">
        <v>41</v>
      </c>
      <c r="L147" s="335">
        <v>73</v>
      </c>
      <c r="M147" s="335">
        <v>0</v>
      </c>
      <c r="N147" s="335">
        <v>0</v>
      </c>
      <c r="O147" s="335">
        <v>0</v>
      </c>
      <c r="P147" s="335">
        <v>0</v>
      </c>
      <c r="Q147" s="335">
        <v>0</v>
      </c>
      <c r="R147" s="335">
        <v>0</v>
      </c>
      <c r="S147" s="335">
        <v>1</v>
      </c>
      <c r="T147" s="335">
        <v>0</v>
      </c>
      <c r="U147" s="335">
        <v>1</v>
      </c>
      <c r="V147" s="335">
        <v>1</v>
      </c>
      <c r="W147" s="335">
        <v>1</v>
      </c>
      <c r="X147" s="335">
        <v>1</v>
      </c>
      <c r="Y147" s="381">
        <f t="shared" si="2"/>
        <v>4168</v>
      </c>
      <c r="Z147" s="335">
        <v>0</v>
      </c>
      <c r="AA147" s="335">
        <v>0</v>
      </c>
      <c r="AB147" s="335">
        <v>0</v>
      </c>
      <c r="AF147" s="394"/>
      <c r="AH147" s="366"/>
    </row>
    <row r="148" spans="1:34" ht="14.25">
      <c r="A148" s="366" t="s">
        <v>797</v>
      </c>
      <c r="B148" s="196" t="s">
        <v>583</v>
      </c>
      <c r="C148" s="196" t="s">
        <v>608</v>
      </c>
      <c r="D148" s="335">
        <v>6</v>
      </c>
      <c r="E148" s="335">
        <v>0</v>
      </c>
      <c r="F148" s="335">
        <v>0</v>
      </c>
      <c r="G148" s="335">
        <v>0</v>
      </c>
      <c r="H148" s="335">
        <v>0</v>
      </c>
      <c r="I148" s="335">
        <v>16</v>
      </c>
      <c r="J148" s="335">
        <v>171</v>
      </c>
      <c r="K148" s="335">
        <v>0</v>
      </c>
      <c r="L148" s="335">
        <v>193</v>
      </c>
      <c r="M148" s="335">
        <v>0</v>
      </c>
      <c r="N148" s="335">
        <v>0</v>
      </c>
      <c r="O148" s="335">
        <v>0</v>
      </c>
      <c r="P148" s="335">
        <v>0</v>
      </c>
      <c r="Q148" s="335">
        <v>0</v>
      </c>
      <c r="R148" s="335">
        <v>0</v>
      </c>
      <c r="S148" s="335">
        <v>7</v>
      </c>
      <c r="T148" s="335">
        <v>0</v>
      </c>
      <c r="U148" s="335">
        <v>7</v>
      </c>
      <c r="V148" s="335">
        <v>7</v>
      </c>
      <c r="W148" s="335">
        <v>7</v>
      </c>
      <c r="X148" s="335">
        <v>7</v>
      </c>
      <c r="Y148" s="381">
        <f t="shared" si="2"/>
        <v>29176</v>
      </c>
      <c r="Z148" s="335">
        <v>0</v>
      </c>
      <c r="AA148" s="335">
        <v>0</v>
      </c>
      <c r="AB148" s="335">
        <v>0</v>
      </c>
      <c r="AF148" s="394"/>
      <c r="AH148" s="366"/>
    </row>
    <row r="149" spans="1:34" ht="14.25">
      <c r="A149" s="366" t="s">
        <v>798</v>
      </c>
      <c r="B149" s="196" t="s">
        <v>583</v>
      </c>
      <c r="C149" s="196" t="s">
        <v>86</v>
      </c>
      <c r="D149" s="335">
        <v>6</v>
      </c>
      <c r="E149" s="335">
        <v>0</v>
      </c>
      <c r="F149" s="335">
        <v>0</v>
      </c>
      <c r="G149" s="335">
        <v>0</v>
      </c>
      <c r="H149" s="335">
        <v>0</v>
      </c>
      <c r="I149" s="335">
        <v>16</v>
      </c>
      <c r="J149" s="335">
        <v>171</v>
      </c>
      <c r="K149" s="335">
        <v>0</v>
      </c>
      <c r="L149" s="335">
        <v>193</v>
      </c>
      <c r="M149" s="335">
        <v>3</v>
      </c>
      <c r="N149" s="335">
        <v>0</v>
      </c>
      <c r="O149" s="335">
        <v>0</v>
      </c>
      <c r="P149" s="335">
        <v>0</v>
      </c>
      <c r="Q149" s="335">
        <v>0</v>
      </c>
      <c r="R149" s="335">
        <v>7</v>
      </c>
      <c r="S149" s="335">
        <v>91</v>
      </c>
      <c r="T149" s="335">
        <v>0</v>
      </c>
      <c r="U149" s="335">
        <v>101</v>
      </c>
      <c r="V149" s="335">
        <v>99.5</v>
      </c>
      <c r="W149" s="335">
        <v>101</v>
      </c>
      <c r="X149" s="335">
        <v>99.5</v>
      </c>
      <c r="Y149" s="381">
        <f t="shared" si="2"/>
        <v>414716</v>
      </c>
      <c r="Z149" s="335">
        <v>0</v>
      </c>
      <c r="AA149" s="335">
        <v>0</v>
      </c>
      <c r="AB149" s="335">
        <v>0</v>
      </c>
      <c r="AF149" s="394"/>
      <c r="AH149" s="366"/>
    </row>
    <row r="150" spans="1:34" ht="28.5">
      <c r="A150" s="366" t="s">
        <v>799</v>
      </c>
      <c r="B150" s="196" t="s">
        <v>205</v>
      </c>
      <c r="C150" s="196" t="s">
        <v>607</v>
      </c>
      <c r="D150" s="335">
        <v>0</v>
      </c>
      <c r="E150" s="335">
        <v>0</v>
      </c>
      <c r="F150" s="335">
        <v>0</v>
      </c>
      <c r="G150" s="335">
        <v>0</v>
      </c>
      <c r="H150" s="335">
        <v>0</v>
      </c>
      <c r="I150" s="335">
        <v>0</v>
      </c>
      <c r="J150" s="335">
        <v>0</v>
      </c>
      <c r="K150" s="335">
        <v>533</v>
      </c>
      <c r="L150" s="335">
        <v>533</v>
      </c>
      <c r="M150" s="335">
        <v>0</v>
      </c>
      <c r="N150" s="335">
        <v>0</v>
      </c>
      <c r="O150" s="335">
        <v>0</v>
      </c>
      <c r="P150" s="335">
        <v>0</v>
      </c>
      <c r="Q150" s="335">
        <v>0</v>
      </c>
      <c r="R150" s="335">
        <v>0</v>
      </c>
      <c r="S150" s="335">
        <v>0</v>
      </c>
      <c r="T150" s="335">
        <v>13</v>
      </c>
      <c r="U150" s="335">
        <v>13</v>
      </c>
      <c r="V150" s="335">
        <v>13</v>
      </c>
      <c r="W150" s="335">
        <v>0</v>
      </c>
      <c r="X150" s="335">
        <v>0</v>
      </c>
      <c r="Y150" s="381">
        <f t="shared" si="2"/>
        <v>58383</v>
      </c>
      <c r="Z150" s="335">
        <v>0</v>
      </c>
      <c r="AA150" s="335">
        <v>0</v>
      </c>
      <c r="AB150" s="335">
        <v>0</v>
      </c>
      <c r="AF150" s="394"/>
      <c r="AH150" s="366"/>
    </row>
    <row r="151" spans="1:34" ht="14.25">
      <c r="A151" s="366" t="s">
        <v>800</v>
      </c>
      <c r="B151" s="196" t="s">
        <v>205</v>
      </c>
      <c r="C151" s="196" t="s">
        <v>86</v>
      </c>
      <c r="D151" s="335">
        <v>0</v>
      </c>
      <c r="E151" s="335">
        <v>0</v>
      </c>
      <c r="F151" s="335">
        <v>0</v>
      </c>
      <c r="G151" s="335">
        <v>0</v>
      </c>
      <c r="H151" s="335">
        <v>0</v>
      </c>
      <c r="I151" s="335">
        <v>0</v>
      </c>
      <c r="J151" s="335">
        <v>0</v>
      </c>
      <c r="K151" s="335">
        <v>533</v>
      </c>
      <c r="L151" s="335">
        <v>533</v>
      </c>
      <c r="M151" s="335">
        <v>0</v>
      </c>
      <c r="N151" s="335">
        <v>0</v>
      </c>
      <c r="O151" s="335">
        <v>0</v>
      </c>
      <c r="P151" s="335">
        <v>0</v>
      </c>
      <c r="Q151" s="335">
        <v>0</v>
      </c>
      <c r="R151" s="335">
        <v>0</v>
      </c>
      <c r="S151" s="335">
        <v>0</v>
      </c>
      <c r="T151" s="335">
        <v>122</v>
      </c>
      <c r="U151" s="335">
        <v>122</v>
      </c>
      <c r="V151" s="335">
        <v>122</v>
      </c>
      <c r="W151" s="335">
        <v>0</v>
      </c>
      <c r="X151" s="335">
        <v>0</v>
      </c>
      <c r="Y151" s="381">
        <f t="shared" si="2"/>
        <v>547902</v>
      </c>
      <c r="Z151" s="335">
        <v>0</v>
      </c>
      <c r="AA151" s="335">
        <v>0</v>
      </c>
      <c r="AB151" s="335">
        <v>0</v>
      </c>
      <c r="AF151" s="394"/>
      <c r="AH151" s="366"/>
    </row>
    <row r="152" spans="1:34" ht="28.5">
      <c r="A152" s="366" t="s">
        <v>801</v>
      </c>
      <c r="B152" s="196" t="s">
        <v>527</v>
      </c>
      <c r="C152" s="196" t="s">
        <v>607</v>
      </c>
      <c r="D152" s="335">
        <v>0</v>
      </c>
      <c r="E152" s="335">
        <v>18</v>
      </c>
      <c r="F152" s="335">
        <v>0</v>
      </c>
      <c r="G152" s="335">
        <v>0</v>
      </c>
      <c r="H152" s="335">
        <v>0</v>
      </c>
      <c r="I152" s="335">
        <v>19</v>
      </c>
      <c r="J152" s="335">
        <v>157</v>
      </c>
      <c r="K152" s="335">
        <v>0</v>
      </c>
      <c r="L152" s="335">
        <v>194</v>
      </c>
      <c r="M152" s="335">
        <v>0</v>
      </c>
      <c r="N152" s="335">
        <v>18</v>
      </c>
      <c r="O152" s="335">
        <v>0</v>
      </c>
      <c r="P152" s="335">
        <v>0</v>
      </c>
      <c r="Q152" s="335">
        <v>0</v>
      </c>
      <c r="R152" s="335">
        <v>19</v>
      </c>
      <c r="S152" s="335">
        <v>157</v>
      </c>
      <c r="T152" s="335">
        <v>0</v>
      </c>
      <c r="U152" s="335">
        <v>194</v>
      </c>
      <c r="V152" s="335">
        <v>186.8</v>
      </c>
      <c r="W152" s="335">
        <v>194</v>
      </c>
      <c r="X152" s="335">
        <v>186.8</v>
      </c>
      <c r="Y152" s="381">
        <f t="shared" si="2"/>
        <v>778582.4</v>
      </c>
      <c r="Z152" s="335">
        <v>0</v>
      </c>
      <c r="AA152" s="335">
        <v>0</v>
      </c>
      <c r="AB152" s="335">
        <v>0</v>
      </c>
      <c r="AF152" s="394"/>
      <c r="AH152" s="366"/>
    </row>
    <row r="153" spans="1:34" ht="28.5">
      <c r="A153" s="366" t="s">
        <v>802</v>
      </c>
      <c r="B153" s="196" t="s">
        <v>376</v>
      </c>
      <c r="C153" s="196" t="s">
        <v>607</v>
      </c>
      <c r="D153" s="335">
        <v>0</v>
      </c>
      <c r="E153" s="335">
        <v>0</v>
      </c>
      <c r="F153" s="335">
        <v>0</v>
      </c>
      <c r="G153" s="335">
        <v>0</v>
      </c>
      <c r="H153" s="335">
        <v>0</v>
      </c>
      <c r="I153" s="335">
        <v>0</v>
      </c>
      <c r="J153" s="335">
        <v>0</v>
      </c>
      <c r="K153" s="335">
        <v>188</v>
      </c>
      <c r="L153" s="335">
        <v>188</v>
      </c>
      <c r="M153" s="335">
        <v>0</v>
      </c>
      <c r="N153" s="335">
        <v>0</v>
      </c>
      <c r="O153" s="335">
        <v>0</v>
      </c>
      <c r="P153" s="335">
        <v>0</v>
      </c>
      <c r="Q153" s="335">
        <v>0</v>
      </c>
      <c r="R153" s="335">
        <v>0</v>
      </c>
      <c r="S153" s="335">
        <v>0</v>
      </c>
      <c r="T153" s="335">
        <v>185</v>
      </c>
      <c r="U153" s="335">
        <v>185</v>
      </c>
      <c r="V153" s="335">
        <v>185</v>
      </c>
      <c r="W153" s="335">
        <v>0</v>
      </c>
      <c r="X153" s="335">
        <v>0</v>
      </c>
      <c r="Y153" s="381">
        <f t="shared" si="2"/>
        <v>830835</v>
      </c>
      <c r="Z153" s="335">
        <v>0</v>
      </c>
      <c r="AA153" s="335">
        <v>0</v>
      </c>
      <c r="AB153" s="335">
        <v>0</v>
      </c>
      <c r="AF153" s="394"/>
      <c r="AH153" s="366"/>
    </row>
    <row r="154" spans="1:34" ht="14.25">
      <c r="A154" s="366" t="s">
        <v>803</v>
      </c>
      <c r="B154" s="196" t="s">
        <v>376</v>
      </c>
      <c r="C154" s="196" t="s">
        <v>86</v>
      </c>
      <c r="D154" s="335">
        <v>0</v>
      </c>
      <c r="E154" s="335">
        <v>0</v>
      </c>
      <c r="F154" s="335">
        <v>0</v>
      </c>
      <c r="G154" s="335">
        <v>0</v>
      </c>
      <c r="H154" s="335">
        <v>0</v>
      </c>
      <c r="I154" s="335">
        <v>0</v>
      </c>
      <c r="J154" s="335">
        <v>0</v>
      </c>
      <c r="K154" s="335">
        <v>188</v>
      </c>
      <c r="L154" s="335">
        <v>188</v>
      </c>
      <c r="M154" s="335">
        <v>0</v>
      </c>
      <c r="N154" s="335">
        <v>0</v>
      </c>
      <c r="O154" s="335">
        <v>0</v>
      </c>
      <c r="P154" s="335">
        <v>0</v>
      </c>
      <c r="Q154" s="335">
        <v>0</v>
      </c>
      <c r="R154" s="335">
        <v>0</v>
      </c>
      <c r="S154" s="335">
        <v>0</v>
      </c>
      <c r="T154" s="335">
        <v>0</v>
      </c>
      <c r="U154" s="335">
        <v>0</v>
      </c>
      <c r="V154" s="335">
        <v>0</v>
      </c>
      <c r="W154" s="335">
        <v>0</v>
      </c>
      <c r="X154" s="335">
        <v>0</v>
      </c>
      <c r="Y154" s="381">
        <f t="shared" si="2"/>
        <v>0</v>
      </c>
      <c r="Z154" s="335">
        <v>0</v>
      </c>
      <c r="AA154" s="335">
        <v>0</v>
      </c>
      <c r="AB154" s="335">
        <v>0</v>
      </c>
      <c r="AF154" s="394"/>
      <c r="AH154" s="366"/>
    </row>
    <row r="155" spans="1:34" ht="14.25">
      <c r="A155" s="366" t="s">
        <v>804</v>
      </c>
      <c r="B155" s="196" t="s">
        <v>267</v>
      </c>
      <c r="C155" s="196" t="s">
        <v>86</v>
      </c>
      <c r="D155" s="335">
        <v>0</v>
      </c>
      <c r="E155" s="335">
        <v>0</v>
      </c>
      <c r="F155" s="335">
        <v>0</v>
      </c>
      <c r="G155" s="335">
        <v>0</v>
      </c>
      <c r="H155" s="335">
        <v>0</v>
      </c>
      <c r="I155" s="335">
        <v>0</v>
      </c>
      <c r="J155" s="335">
        <v>0</v>
      </c>
      <c r="K155" s="335">
        <v>348</v>
      </c>
      <c r="L155" s="335">
        <v>348</v>
      </c>
      <c r="M155" s="335">
        <v>0</v>
      </c>
      <c r="N155" s="335">
        <v>0</v>
      </c>
      <c r="O155" s="335">
        <v>0</v>
      </c>
      <c r="P155" s="335">
        <v>0</v>
      </c>
      <c r="Q155" s="335">
        <v>0</v>
      </c>
      <c r="R155" s="335">
        <v>0</v>
      </c>
      <c r="S155" s="335">
        <v>0</v>
      </c>
      <c r="T155" s="335">
        <v>55</v>
      </c>
      <c r="U155" s="335">
        <v>55</v>
      </c>
      <c r="V155" s="335">
        <v>55</v>
      </c>
      <c r="W155" s="335">
        <v>0</v>
      </c>
      <c r="X155" s="335">
        <v>0</v>
      </c>
      <c r="Y155" s="381">
        <f t="shared" si="2"/>
        <v>247005</v>
      </c>
      <c r="Z155" s="335">
        <v>0</v>
      </c>
      <c r="AA155" s="335">
        <v>0</v>
      </c>
      <c r="AB155" s="335">
        <v>0</v>
      </c>
      <c r="AF155" s="394"/>
      <c r="AH155" s="366"/>
    </row>
    <row r="156" spans="1:34" ht="14.25">
      <c r="A156" s="366" t="s">
        <v>805</v>
      </c>
      <c r="B156" s="196" t="s">
        <v>268</v>
      </c>
      <c r="C156" s="196" t="s">
        <v>86</v>
      </c>
      <c r="D156" s="335">
        <v>0</v>
      </c>
      <c r="E156" s="335">
        <v>0</v>
      </c>
      <c r="F156" s="335">
        <v>0</v>
      </c>
      <c r="G156" s="335">
        <v>0</v>
      </c>
      <c r="H156" s="335">
        <v>0</v>
      </c>
      <c r="I156" s="335">
        <v>0</v>
      </c>
      <c r="J156" s="335">
        <v>0</v>
      </c>
      <c r="K156" s="335">
        <v>454</v>
      </c>
      <c r="L156" s="335">
        <v>454</v>
      </c>
      <c r="M156" s="335">
        <v>0</v>
      </c>
      <c r="N156" s="335">
        <v>0</v>
      </c>
      <c r="O156" s="335">
        <v>0</v>
      </c>
      <c r="P156" s="335">
        <v>0</v>
      </c>
      <c r="Q156" s="335">
        <v>0</v>
      </c>
      <c r="R156" s="335">
        <v>0</v>
      </c>
      <c r="S156" s="335">
        <v>0</v>
      </c>
      <c r="T156" s="335">
        <v>130</v>
      </c>
      <c r="U156" s="335">
        <v>130</v>
      </c>
      <c r="V156" s="335">
        <v>130</v>
      </c>
      <c r="W156" s="335">
        <v>0</v>
      </c>
      <c r="X156" s="335">
        <v>0</v>
      </c>
      <c r="Y156" s="381">
        <f t="shared" si="2"/>
        <v>583830</v>
      </c>
      <c r="Z156" s="335">
        <v>0</v>
      </c>
      <c r="AA156" s="335">
        <v>0</v>
      </c>
      <c r="AB156" s="335">
        <v>0</v>
      </c>
      <c r="AF156" s="394"/>
      <c r="AH156" s="366"/>
    </row>
    <row r="157" spans="1:34" ht="28.5">
      <c r="A157" s="366" t="s">
        <v>806</v>
      </c>
      <c r="B157" s="196" t="s">
        <v>473</v>
      </c>
      <c r="C157" s="196" t="s">
        <v>607</v>
      </c>
      <c r="D157" s="335">
        <v>10</v>
      </c>
      <c r="E157" s="335">
        <v>0</v>
      </c>
      <c r="F157" s="335">
        <v>0</v>
      </c>
      <c r="G157" s="335">
        <v>0</v>
      </c>
      <c r="H157" s="335">
        <v>0</v>
      </c>
      <c r="I157" s="335">
        <v>4</v>
      </c>
      <c r="J157" s="335">
        <v>43</v>
      </c>
      <c r="K157" s="335">
        <v>0</v>
      </c>
      <c r="L157" s="335">
        <v>57</v>
      </c>
      <c r="M157" s="335">
        <v>1</v>
      </c>
      <c r="N157" s="335">
        <v>0</v>
      </c>
      <c r="O157" s="335">
        <v>0</v>
      </c>
      <c r="P157" s="335">
        <v>0</v>
      </c>
      <c r="Q157" s="335">
        <v>0</v>
      </c>
      <c r="R157" s="335">
        <v>1</v>
      </c>
      <c r="S157" s="335">
        <v>4</v>
      </c>
      <c r="T157" s="335">
        <v>0</v>
      </c>
      <c r="U157" s="335">
        <v>6</v>
      </c>
      <c r="V157" s="335">
        <v>5.5</v>
      </c>
      <c r="W157" s="335">
        <v>6</v>
      </c>
      <c r="X157" s="335">
        <v>5.5</v>
      </c>
      <c r="Y157" s="381">
        <f t="shared" si="2"/>
        <v>22924</v>
      </c>
      <c r="Z157" s="335">
        <v>0</v>
      </c>
      <c r="AA157" s="335">
        <v>0</v>
      </c>
      <c r="AB157" s="335">
        <v>0</v>
      </c>
      <c r="AF157" s="394"/>
      <c r="AH157" s="366"/>
    </row>
    <row r="158" spans="1:34" ht="14.25">
      <c r="A158" s="366" t="s">
        <v>807</v>
      </c>
      <c r="B158" s="196" t="s">
        <v>473</v>
      </c>
      <c r="C158" s="196" t="s">
        <v>86</v>
      </c>
      <c r="D158" s="335">
        <v>10</v>
      </c>
      <c r="E158" s="335">
        <v>0</v>
      </c>
      <c r="F158" s="335">
        <v>0</v>
      </c>
      <c r="G158" s="335">
        <v>0</v>
      </c>
      <c r="H158" s="335">
        <v>0</v>
      </c>
      <c r="I158" s="335">
        <v>4</v>
      </c>
      <c r="J158" s="335">
        <v>43</v>
      </c>
      <c r="K158" s="335">
        <v>0</v>
      </c>
      <c r="L158" s="335">
        <v>57</v>
      </c>
      <c r="M158" s="335">
        <v>3</v>
      </c>
      <c r="N158" s="335">
        <v>0</v>
      </c>
      <c r="O158" s="335">
        <v>0</v>
      </c>
      <c r="P158" s="335">
        <v>0</v>
      </c>
      <c r="Q158" s="335">
        <v>0</v>
      </c>
      <c r="R158" s="335">
        <v>0</v>
      </c>
      <c r="S158" s="335">
        <v>15</v>
      </c>
      <c r="T158" s="335">
        <v>0</v>
      </c>
      <c r="U158" s="335">
        <v>18</v>
      </c>
      <c r="V158" s="335">
        <v>16.5</v>
      </c>
      <c r="W158" s="335">
        <v>18</v>
      </c>
      <c r="X158" s="335">
        <v>16.5</v>
      </c>
      <c r="Y158" s="381">
        <f t="shared" si="2"/>
        <v>68772</v>
      </c>
      <c r="Z158" s="335">
        <v>0</v>
      </c>
      <c r="AA158" s="335">
        <v>0</v>
      </c>
      <c r="AB158" s="335">
        <v>0</v>
      </c>
      <c r="AF158" s="394"/>
      <c r="AH158" s="366"/>
    </row>
    <row r="159" spans="1:34" ht="14.25">
      <c r="A159" s="366" t="s">
        <v>808</v>
      </c>
      <c r="B159" s="196" t="s">
        <v>620</v>
      </c>
      <c r="C159" s="196" t="s">
        <v>86</v>
      </c>
      <c r="D159" s="335">
        <v>0</v>
      </c>
      <c r="E159" s="335">
        <v>0</v>
      </c>
      <c r="F159" s="335">
        <v>0</v>
      </c>
      <c r="G159" s="335">
        <v>0</v>
      </c>
      <c r="H159" s="335">
        <v>0</v>
      </c>
      <c r="I159" s="335">
        <v>0</v>
      </c>
      <c r="J159" s="335">
        <v>9</v>
      </c>
      <c r="K159" s="335">
        <v>12</v>
      </c>
      <c r="L159" s="335">
        <v>21</v>
      </c>
      <c r="M159" s="335">
        <v>0</v>
      </c>
      <c r="N159" s="335">
        <v>0</v>
      </c>
      <c r="O159" s="335">
        <v>0</v>
      </c>
      <c r="P159" s="335">
        <v>0</v>
      </c>
      <c r="Q159" s="335">
        <v>0</v>
      </c>
      <c r="R159" s="335">
        <v>0</v>
      </c>
      <c r="S159" s="335">
        <v>4</v>
      </c>
      <c r="T159" s="335">
        <v>2</v>
      </c>
      <c r="U159" s="335">
        <v>6</v>
      </c>
      <c r="V159" s="335">
        <v>6</v>
      </c>
      <c r="W159" s="335">
        <v>4</v>
      </c>
      <c r="X159" s="335">
        <v>4</v>
      </c>
      <c r="Y159" s="381">
        <f t="shared" si="2"/>
        <v>25654</v>
      </c>
      <c r="Z159" s="335">
        <v>0</v>
      </c>
      <c r="AA159" s="335">
        <v>0</v>
      </c>
      <c r="AB159" s="335">
        <v>0</v>
      </c>
      <c r="AF159" s="394"/>
      <c r="AH159" s="366"/>
    </row>
    <row r="160" spans="1:34" ht="14.25">
      <c r="A160" s="366" t="s">
        <v>809</v>
      </c>
      <c r="B160" s="196" t="s">
        <v>115</v>
      </c>
      <c r="C160" s="196" t="s">
        <v>86</v>
      </c>
      <c r="D160" s="335">
        <v>0</v>
      </c>
      <c r="E160" s="335">
        <v>31</v>
      </c>
      <c r="F160" s="335">
        <v>0</v>
      </c>
      <c r="G160" s="335">
        <v>0</v>
      </c>
      <c r="H160" s="335">
        <v>0</v>
      </c>
      <c r="I160" s="335">
        <v>28</v>
      </c>
      <c r="J160" s="335">
        <v>174</v>
      </c>
      <c r="K160" s="335">
        <v>0</v>
      </c>
      <c r="L160" s="335">
        <v>233</v>
      </c>
      <c r="M160" s="335">
        <v>0</v>
      </c>
      <c r="N160" s="335">
        <v>12</v>
      </c>
      <c r="O160" s="335">
        <v>0</v>
      </c>
      <c r="P160" s="335">
        <v>0</v>
      </c>
      <c r="Q160" s="335">
        <v>0</v>
      </c>
      <c r="R160" s="335">
        <v>15</v>
      </c>
      <c r="S160" s="335">
        <v>108</v>
      </c>
      <c r="T160" s="335">
        <v>0</v>
      </c>
      <c r="U160" s="335">
        <v>135</v>
      </c>
      <c r="V160" s="335">
        <v>130.2</v>
      </c>
      <c r="W160" s="335">
        <v>135</v>
      </c>
      <c r="X160" s="335">
        <v>130.2</v>
      </c>
      <c r="Y160" s="381">
        <f t="shared" si="2"/>
        <v>542673.6</v>
      </c>
      <c r="Z160" s="335">
        <v>0</v>
      </c>
      <c r="AA160" s="335">
        <v>0</v>
      </c>
      <c r="AB160" s="335">
        <v>0</v>
      </c>
      <c r="AF160" s="394"/>
      <c r="AH160" s="366"/>
    </row>
    <row r="161" spans="1:34" ht="28.5">
      <c r="A161" s="366" t="s">
        <v>810</v>
      </c>
      <c r="B161" s="196" t="s">
        <v>377</v>
      </c>
      <c r="C161" s="196" t="s">
        <v>607</v>
      </c>
      <c r="D161" s="335">
        <v>0</v>
      </c>
      <c r="E161" s="335">
        <v>0</v>
      </c>
      <c r="F161" s="335">
        <v>0</v>
      </c>
      <c r="G161" s="335">
        <v>0</v>
      </c>
      <c r="H161" s="335">
        <v>0</v>
      </c>
      <c r="I161" s="335">
        <v>0</v>
      </c>
      <c r="J161" s="335">
        <v>0</v>
      </c>
      <c r="K161" s="335">
        <v>216</v>
      </c>
      <c r="L161" s="335">
        <v>216</v>
      </c>
      <c r="M161" s="335">
        <v>0</v>
      </c>
      <c r="N161" s="335">
        <v>0</v>
      </c>
      <c r="O161" s="335">
        <v>0</v>
      </c>
      <c r="P161" s="335">
        <v>0</v>
      </c>
      <c r="Q161" s="335">
        <v>0</v>
      </c>
      <c r="R161" s="335">
        <v>0</v>
      </c>
      <c r="S161" s="335">
        <v>0</v>
      </c>
      <c r="T161" s="335">
        <v>42</v>
      </c>
      <c r="U161" s="335">
        <v>42</v>
      </c>
      <c r="V161" s="335">
        <v>42</v>
      </c>
      <c r="W161" s="335">
        <v>0</v>
      </c>
      <c r="X161" s="335">
        <v>0</v>
      </c>
      <c r="Y161" s="381">
        <f t="shared" si="2"/>
        <v>188622</v>
      </c>
      <c r="Z161" s="335">
        <v>0</v>
      </c>
      <c r="AA161" s="335">
        <v>0</v>
      </c>
      <c r="AB161" s="335">
        <v>0</v>
      </c>
      <c r="AF161" s="394"/>
      <c r="AH161" s="366"/>
    </row>
    <row r="162" spans="1:34" ht="14.25">
      <c r="A162" s="366" t="s">
        <v>811</v>
      </c>
      <c r="B162" s="196" t="s">
        <v>377</v>
      </c>
      <c r="C162" s="196" t="s">
        <v>86</v>
      </c>
      <c r="D162" s="335">
        <v>0</v>
      </c>
      <c r="E162" s="335">
        <v>0</v>
      </c>
      <c r="F162" s="335">
        <v>0</v>
      </c>
      <c r="G162" s="335">
        <v>0</v>
      </c>
      <c r="H162" s="335">
        <v>0</v>
      </c>
      <c r="I162" s="335">
        <v>0</v>
      </c>
      <c r="J162" s="335">
        <v>0</v>
      </c>
      <c r="K162" s="335">
        <v>216</v>
      </c>
      <c r="L162" s="335">
        <v>216</v>
      </c>
      <c r="M162" s="335">
        <v>0</v>
      </c>
      <c r="N162" s="335">
        <v>0</v>
      </c>
      <c r="O162" s="335">
        <v>0</v>
      </c>
      <c r="P162" s="335">
        <v>0</v>
      </c>
      <c r="Q162" s="335">
        <v>0</v>
      </c>
      <c r="R162" s="335">
        <v>0</v>
      </c>
      <c r="S162" s="335">
        <v>0</v>
      </c>
      <c r="T162" s="335">
        <v>33</v>
      </c>
      <c r="U162" s="335">
        <v>33</v>
      </c>
      <c r="V162" s="335">
        <v>33</v>
      </c>
      <c r="W162" s="335">
        <v>0</v>
      </c>
      <c r="X162" s="335">
        <v>0</v>
      </c>
      <c r="Y162" s="381">
        <f t="shared" si="2"/>
        <v>148203</v>
      </c>
      <c r="Z162" s="335">
        <v>0</v>
      </c>
      <c r="AA162" s="335">
        <v>0</v>
      </c>
      <c r="AB162" s="335">
        <v>0</v>
      </c>
      <c r="AF162" s="394"/>
      <c r="AH162" s="366"/>
    </row>
    <row r="163" spans="1:34" ht="14.25">
      <c r="A163" s="366" t="s">
        <v>812</v>
      </c>
      <c r="B163" s="196" t="s">
        <v>116</v>
      </c>
      <c r="C163" s="196" t="s">
        <v>86</v>
      </c>
      <c r="D163" s="335">
        <v>18</v>
      </c>
      <c r="E163" s="335">
        <v>0</v>
      </c>
      <c r="F163" s="335">
        <v>0</v>
      </c>
      <c r="G163" s="335">
        <v>0</v>
      </c>
      <c r="H163" s="335">
        <v>0</v>
      </c>
      <c r="I163" s="335">
        <v>30</v>
      </c>
      <c r="J163" s="335">
        <v>344</v>
      </c>
      <c r="K163" s="335">
        <v>163</v>
      </c>
      <c r="L163" s="335">
        <v>555</v>
      </c>
      <c r="M163" s="335">
        <v>0</v>
      </c>
      <c r="N163" s="335">
        <v>0</v>
      </c>
      <c r="O163" s="335">
        <v>0</v>
      </c>
      <c r="P163" s="335">
        <v>0</v>
      </c>
      <c r="Q163" s="335">
        <v>0</v>
      </c>
      <c r="R163" s="335">
        <v>11</v>
      </c>
      <c r="S163" s="335">
        <v>99</v>
      </c>
      <c r="T163" s="335">
        <v>54</v>
      </c>
      <c r="U163" s="335">
        <v>164</v>
      </c>
      <c r="V163" s="335">
        <v>164</v>
      </c>
      <c r="W163" s="335">
        <v>110</v>
      </c>
      <c r="X163" s="335">
        <v>110</v>
      </c>
      <c r="Y163" s="381">
        <f t="shared" si="2"/>
        <v>700994</v>
      </c>
      <c r="Z163" s="335">
        <v>0</v>
      </c>
      <c r="AA163" s="335">
        <v>0</v>
      </c>
      <c r="AB163" s="335">
        <v>0</v>
      </c>
      <c r="AF163" s="394"/>
      <c r="AH163" s="366"/>
    </row>
    <row r="164" spans="1:34" ht="14.25">
      <c r="A164" s="366" t="s">
        <v>813</v>
      </c>
      <c r="B164" s="196" t="s">
        <v>378</v>
      </c>
      <c r="C164" s="196" t="s">
        <v>86</v>
      </c>
      <c r="D164" s="335">
        <v>0</v>
      </c>
      <c r="E164" s="335">
        <v>0</v>
      </c>
      <c r="F164" s="335">
        <v>0</v>
      </c>
      <c r="G164" s="335">
        <v>0</v>
      </c>
      <c r="H164" s="335">
        <v>0</v>
      </c>
      <c r="I164" s="335">
        <v>0</v>
      </c>
      <c r="J164" s="335">
        <v>0</v>
      </c>
      <c r="K164" s="335">
        <v>227</v>
      </c>
      <c r="L164" s="335">
        <v>227</v>
      </c>
      <c r="M164" s="335">
        <v>0</v>
      </c>
      <c r="N164" s="335">
        <v>0</v>
      </c>
      <c r="O164" s="335">
        <v>0</v>
      </c>
      <c r="P164" s="335">
        <v>0</v>
      </c>
      <c r="Q164" s="335">
        <v>0</v>
      </c>
      <c r="R164" s="335">
        <v>0</v>
      </c>
      <c r="S164" s="335">
        <v>0</v>
      </c>
      <c r="T164" s="335">
        <v>59</v>
      </c>
      <c r="U164" s="335">
        <v>59</v>
      </c>
      <c r="V164" s="335">
        <v>59</v>
      </c>
      <c r="W164" s="335">
        <v>0</v>
      </c>
      <c r="X164" s="335">
        <v>0</v>
      </c>
      <c r="Y164" s="381">
        <f t="shared" si="2"/>
        <v>264969</v>
      </c>
      <c r="Z164" s="335">
        <v>0</v>
      </c>
      <c r="AA164" s="335">
        <v>0</v>
      </c>
      <c r="AB164" s="335">
        <v>0</v>
      </c>
      <c r="AF164" s="394"/>
      <c r="AH164" s="366"/>
    </row>
    <row r="165" spans="1:34" ht="28.5">
      <c r="A165" s="366" t="s">
        <v>814</v>
      </c>
      <c r="B165" s="196" t="s">
        <v>293</v>
      </c>
      <c r="C165" s="196" t="s">
        <v>607</v>
      </c>
      <c r="D165" s="335">
        <v>0</v>
      </c>
      <c r="E165" s="335">
        <v>0</v>
      </c>
      <c r="F165" s="335">
        <v>0</v>
      </c>
      <c r="G165" s="335">
        <v>0</v>
      </c>
      <c r="H165" s="335">
        <v>0</v>
      </c>
      <c r="I165" s="335">
        <v>0</v>
      </c>
      <c r="J165" s="335">
        <v>0</v>
      </c>
      <c r="K165" s="335">
        <v>419</v>
      </c>
      <c r="L165" s="335">
        <v>419</v>
      </c>
      <c r="M165" s="335">
        <v>0</v>
      </c>
      <c r="N165" s="335">
        <v>0</v>
      </c>
      <c r="O165" s="335">
        <v>0</v>
      </c>
      <c r="P165" s="335">
        <v>0</v>
      </c>
      <c r="Q165" s="335">
        <v>0</v>
      </c>
      <c r="R165" s="335">
        <v>0</v>
      </c>
      <c r="S165" s="335">
        <v>0</v>
      </c>
      <c r="T165" s="335">
        <v>32</v>
      </c>
      <c r="U165" s="335">
        <v>32</v>
      </c>
      <c r="V165" s="335">
        <v>32</v>
      </c>
      <c r="W165" s="335">
        <v>0</v>
      </c>
      <c r="X165" s="335">
        <v>0</v>
      </c>
      <c r="Y165" s="381">
        <f t="shared" si="2"/>
        <v>143712</v>
      </c>
      <c r="Z165" s="335">
        <v>0</v>
      </c>
      <c r="AA165" s="335">
        <v>0</v>
      </c>
      <c r="AB165" s="335">
        <v>0</v>
      </c>
      <c r="AF165" s="394"/>
      <c r="AH165" s="366"/>
    </row>
    <row r="166" spans="1:34" ht="14.25">
      <c r="A166" s="366" t="s">
        <v>815</v>
      </c>
      <c r="B166" s="196" t="s">
        <v>293</v>
      </c>
      <c r="C166" s="196" t="s">
        <v>608</v>
      </c>
      <c r="D166" s="335">
        <v>0</v>
      </c>
      <c r="E166" s="335">
        <v>0</v>
      </c>
      <c r="F166" s="335">
        <v>0</v>
      </c>
      <c r="G166" s="335">
        <v>0</v>
      </c>
      <c r="H166" s="335">
        <v>0</v>
      </c>
      <c r="I166" s="335">
        <v>0</v>
      </c>
      <c r="J166" s="335">
        <v>0</v>
      </c>
      <c r="K166" s="335">
        <v>419</v>
      </c>
      <c r="L166" s="335">
        <v>419</v>
      </c>
      <c r="M166" s="335">
        <v>0</v>
      </c>
      <c r="N166" s="335">
        <v>0</v>
      </c>
      <c r="O166" s="335">
        <v>0</v>
      </c>
      <c r="P166" s="335">
        <v>0</v>
      </c>
      <c r="Q166" s="335">
        <v>0</v>
      </c>
      <c r="R166" s="335">
        <v>0</v>
      </c>
      <c r="S166" s="335">
        <v>0</v>
      </c>
      <c r="T166" s="335">
        <v>2</v>
      </c>
      <c r="U166" s="335">
        <v>2</v>
      </c>
      <c r="V166" s="335">
        <v>2</v>
      </c>
      <c r="W166" s="335">
        <v>0</v>
      </c>
      <c r="X166" s="335">
        <v>0</v>
      </c>
      <c r="Y166" s="381">
        <f t="shared" si="2"/>
        <v>8982</v>
      </c>
      <c r="Z166" s="335">
        <v>0</v>
      </c>
      <c r="AA166" s="335">
        <v>0</v>
      </c>
      <c r="AB166" s="335">
        <v>0</v>
      </c>
      <c r="AF166" s="394"/>
      <c r="AH166" s="366"/>
    </row>
    <row r="167" spans="1:34" ht="14.25">
      <c r="A167" s="366" t="s">
        <v>816</v>
      </c>
      <c r="B167" s="196" t="s">
        <v>293</v>
      </c>
      <c r="C167" s="196" t="s">
        <v>86</v>
      </c>
      <c r="D167" s="335">
        <v>0</v>
      </c>
      <c r="E167" s="335">
        <v>0</v>
      </c>
      <c r="F167" s="335">
        <v>0</v>
      </c>
      <c r="G167" s="335">
        <v>0</v>
      </c>
      <c r="H167" s="335">
        <v>0</v>
      </c>
      <c r="I167" s="335">
        <v>0</v>
      </c>
      <c r="J167" s="335">
        <v>0</v>
      </c>
      <c r="K167" s="335">
        <v>419</v>
      </c>
      <c r="L167" s="335">
        <v>419</v>
      </c>
      <c r="M167" s="335">
        <v>0</v>
      </c>
      <c r="N167" s="335">
        <v>0</v>
      </c>
      <c r="O167" s="335">
        <v>0</v>
      </c>
      <c r="P167" s="335">
        <v>0</v>
      </c>
      <c r="Q167" s="335">
        <v>0</v>
      </c>
      <c r="R167" s="335">
        <v>0</v>
      </c>
      <c r="S167" s="335">
        <v>0</v>
      </c>
      <c r="T167" s="335">
        <v>128</v>
      </c>
      <c r="U167" s="335">
        <v>128</v>
      </c>
      <c r="V167" s="335">
        <v>128</v>
      </c>
      <c r="W167" s="335">
        <v>0</v>
      </c>
      <c r="X167" s="335">
        <v>0</v>
      </c>
      <c r="Y167" s="381">
        <f t="shared" si="2"/>
        <v>574848</v>
      </c>
      <c r="Z167" s="335">
        <v>0</v>
      </c>
      <c r="AA167" s="335">
        <v>0</v>
      </c>
      <c r="AB167" s="335">
        <v>0</v>
      </c>
      <c r="AF167" s="394"/>
      <c r="AH167" s="366"/>
    </row>
    <row r="168" spans="1:34" ht="28.5">
      <c r="A168" s="366" t="s">
        <v>817</v>
      </c>
      <c r="B168" s="196" t="s">
        <v>206</v>
      </c>
      <c r="C168" s="196" t="s">
        <v>608</v>
      </c>
      <c r="D168" s="335">
        <v>0</v>
      </c>
      <c r="E168" s="335">
        <v>0</v>
      </c>
      <c r="F168" s="335">
        <v>0</v>
      </c>
      <c r="G168" s="335">
        <v>0</v>
      </c>
      <c r="H168" s="335">
        <v>0</v>
      </c>
      <c r="I168" s="335">
        <v>0</v>
      </c>
      <c r="J168" s="335">
        <v>0</v>
      </c>
      <c r="K168" s="335">
        <v>315</v>
      </c>
      <c r="L168" s="335">
        <v>315</v>
      </c>
      <c r="M168" s="335">
        <v>0</v>
      </c>
      <c r="N168" s="335">
        <v>0</v>
      </c>
      <c r="O168" s="335">
        <v>0</v>
      </c>
      <c r="P168" s="335">
        <v>0</v>
      </c>
      <c r="Q168" s="335">
        <v>0</v>
      </c>
      <c r="R168" s="335">
        <v>0</v>
      </c>
      <c r="S168" s="335">
        <v>0</v>
      </c>
      <c r="T168" s="335">
        <v>234</v>
      </c>
      <c r="U168" s="335">
        <v>234</v>
      </c>
      <c r="V168" s="335">
        <v>234</v>
      </c>
      <c r="W168" s="335">
        <v>0</v>
      </c>
      <c r="X168" s="335">
        <v>0</v>
      </c>
      <c r="Y168" s="381">
        <f t="shared" si="2"/>
        <v>1050894</v>
      </c>
      <c r="Z168" s="335">
        <v>0</v>
      </c>
      <c r="AA168" s="335">
        <v>28</v>
      </c>
      <c r="AB168" s="335">
        <v>0</v>
      </c>
      <c r="AF168" s="394"/>
      <c r="AH168" s="366"/>
    </row>
    <row r="169" spans="1:34" ht="14.25">
      <c r="A169" s="366" t="s">
        <v>818</v>
      </c>
      <c r="B169" s="196" t="s">
        <v>528</v>
      </c>
      <c r="C169" s="196" t="s">
        <v>86</v>
      </c>
      <c r="D169" s="335">
        <v>0</v>
      </c>
      <c r="E169" s="335">
        <v>18</v>
      </c>
      <c r="F169" s="335">
        <v>0</v>
      </c>
      <c r="G169" s="335">
        <v>0</v>
      </c>
      <c r="H169" s="335">
        <v>0</v>
      </c>
      <c r="I169" s="335">
        <v>10</v>
      </c>
      <c r="J169" s="335">
        <v>80</v>
      </c>
      <c r="K169" s="335">
        <v>0</v>
      </c>
      <c r="L169" s="335">
        <v>108</v>
      </c>
      <c r="M169" s="335">
        <v>0</v>
      </c>
      <c r="N169" s="335">
        <v>12</v>
      </c>
      <c r="O169" s="335">
        <v>0</v>
      </c>
      <c r="P169" s="335">
        <v>0</v>
      </c>
      <c r="Q169" s="335">
        <v>0</v>
      </c>
      <c r="R169" s="335">
        <v>3</v>
      </c>
      <c r="S169" s="335">
        <v>52</v>
      </c>
      <c r="T169" s="335">
        <v>0</v>
      </c>
      <c r="U169" s="335">
        <v>67</v>
      </c>
      <c r="V169" s="335">
        <v>62.2</v>
      </c>
      <c r="W169" s="335">
        <v>67</v>
      </c>
      <c r="X169" s="335">
        <v>62.2</v>
      </c>
      <c r="Y169" s="381">
        <f t="shared" si="2"/>
        <v>259249.6</v>
      </c>
      <c r="Z169" s="335">
        <v>0</v>
      </c>
      <c r="AA169" s="335">
        <v>0</v>
      </c>
      <c r="AB169" s="335">
        <v>0</v>
      </c>
      <c r="AF169" s="394"/>
      <c r="AH169" s="366"/>
    </row>
    <row r="170" spans="1:34" ht="28.5">
      <c r="A170" s="366" t="s">
        <v>819</v>
      </c>
      <c r="B170" s="196" t="s">
        <v>117</v>
      </c>
      <c r="C170" s="196" t="s">
        <v>607</v>
      </c>
      <c r="D170" s="335">
        <v>0</v>
      </c>
      <c r="E170" s="335">
        <v>21</v>
      </c>
      <c r="F170" s="335">
        <v>0</v>
      </c>
      <c r="G170" s="335">
        <v>0</v>
      </c>
      <c r="H170" s="335">
        <v>0</v>
      </c>
      <c r="I170" s="335">
        <v>20</v>
      </c>
      <c r="J170" s="335">
        <v>37</v>
      </c>
      <c r="K170" s="335">
        <v>0</v>
      </c>
      <c r="L170" s="335">
        <v>78</v>
      </c>
      <c r="M170" s="335">
        <v>0</v>
      </c>
      <c r="N170" s="335">
        <v>21</v>
      </c>
      <c r="O170" s="335">
        <v>0</v>
      </c>
      <c r="P170" s="335">
        <v>0</v>
      </c>
      <c r="Q170" s="335">
        <v>0</v>
      </c>
      <c r="R170" s="335">
        <v>20</v>
      </c>
      <c r="S170" s="335">
        <v>37</v>
      </c>
      <c r="T170" s="335">
        <v>0</v>
      </c>
      <c r="U170" s="335">
        <v>78</v>
      </c>
      <c r="V170" s="335">
        <v>69.6</v>
      </c>
      <c r="W170" s="335">
        <v>78</v>
      </c>
      <c r="X170" s="335">
        <v>69.6</v>
      </c>
      <c r="Y170" s="381">
        <f t="shared" si="2"/>
        <v>290092.8</v>
      </c>
      <c r="Z170" s="335">
        <v>0</v>
      </c>
      <c r="AA170" s="335">
        <v>0</v>
      </c>
      <c r="AB170" s="335">
        <v>0</v>
      </c>
      <c r="AF170" s="394"/>
      <c r="AH170" s="366"/>
    </row>
    <row r="171" spans="1:34" ht="14.25">
      <c r="A171" s="366" t="s">
        <v>820</v>
      </c>
      <c r="B171" s="196" t="s">
        <v>207</v>
      </c>
      <c r="C171" s="196" t="s">
        <v>86</v>
      </c>
      <c r="D171" s="335">
        <v>0</v>
      </c>
      <c r="E171" s="335">
        <v>0</v>
      </c>
      <c r="F171" s="335">
        <v>0</v>
      </c>
      <c r="G171" s="335">
        <v>0</v>
      </c>
      <c r="H171" s="335">
        <v>0</v>
      </c>
      <c r="I171" s="335">
        <v>0</v>
      </c>
      <c r="J171" s="335">
        <v>0</v>
      </c>
      <c r="K171" s="335">
        <v>217</v>
      </c>
      <c r="L171" s="335">
        <v>217</v>
      </c>
      <c r="M171" s="335">
        <v>0</v>
      </c>
      <c r="N171" s="335">
        <v>0</v>
      </c>
      <c r="O171" s="335">
        <v>0</v>
      </c>
      <c r="P171" s="335">
        <v>0</v>
      </c>
      <c r="Q171" s="335">
        <v>0</v>
      </c>
      <c r="R171" s="335">
        <v>0</v>
      </c>
      <c r="S171" s="335">
        <v>0</v>
      </c>
      <c r="T171" s="335">
        <v>95</v>
      </c>
      <c r="U171" s="335">
        <v>95</v>
      </c>
      <c r="V171" s="335">
        <v>95</v>
      </c>
      <c r="W171" s="335">
        <v>0</v>
      </c>
      <c r="X171" s="335">
        <v>0</v>
      </c>
      <c r="Y171" s="381">
        <f t="shared" si="2"/>
        <v>426645</v>
      </c>
      <c r="Z171" s="335">
        <v>0</v>
      </c>
      <c r="AA171" s="335">
        <v>0</v>
      </c>
      <c r="AB171" s="335">
        <v>0</v>
      </c>
      <c r="AF171" s="394"/>
      <c r="AH171" s="366"/>
    </row>
    <row r="172" spans="1:34" ht="14.25">
      <c r="A172" s="366" t="s">
        <v>821</v>
      </c>
      <c r="B172" s="196" t="s">
        <v>474</v>
      </c>
      <c r="C172" s="196" t="s">
        <v>86</v>
      </c>
      <c r="D172" s="335">
        <v>0</v>
      </c>
      <c r="E172" s="335">
        <v>0</v>
      </c>
      <c r="F172" s="335">
        <v>0</v>
      </c>
      <c r="G172" s="335">
        <v>0</v>
      </c>
      <c r="H172" s="335">
        <v>0</v>
      </c>
      <c r="I172" s="335">
        <v>0</v>
      </c>
      <c r="J172" s="335">
        <v>0</v>
      </c>
      <c r="K172" s="335">
        <v>65</v>
      </c>
      <c r="L172" s="335">
        <v>65</v>
      </c>
      <c r="M172" s="335">
        <v>0</v>
      </c>
      <c r="N172" s="335">
        <v>0</v>
      </c>
      <c r="O172" s="335">
        <v>0</v>
      </c>
      <c r="P172" s="335">
        <v>0</v>
      </c>
      <c r="Q172" s="335">
        <v>0</v>
      </c>
      <c r="R172" s="335">
        <v>0</v>
      </c>
      <c r="S172" s="335">
        <v>0</v>
      </c>
      <c r="T172" s="335">
        <v>20</v>
      </c>
      <c r="U172" s="335">
        <v>20</v>
      </c>
      <c r="V172" s="335">
        <v>20</v>
      </c>
      <c r="W172" s="335">
        <v>0</v>
      </c>
      <c r="X172" s="335">
        <v>0</v>
      </c>
      <c r="Y172" s="381">
        <f t="shared" si="2"/>
        <v>89820</v>
      </c>
      <c r="Z172" s="335">
        <v>0</v>
      </c>
      <c r="AA172" s="335">
        <v>0</v>
      </c>
      <c r="AB172" s="335">
        <v>0</v>
      </c>
      <c r="AF172" s="394"/>
      <c r="AH172" s="366"/>
    </row>
    <row r="173" spans="1:34" ht="28.5">
      <c r="A173" s="366" t="s">
        <v>822</v>
      </c>
      <c r="B173" s="196" t="s">
        <v>208</v>
      </c>
      <c r="C173" s="196" t="s">
        <v>607</v>
      </c>
      <c r="D173" s="335">
        <v>0</v>
      </c>
      <c r="E173" s="335">
        <v>0</v>
      </c>
      <c r="F173" s="335">
        <v>0</v>
      </c>
      <c r="G173" s="335">
        <v>0</v>
      </c>
      <c r="H173" s="335">
        <v>0</v>
      </c>
      <c r="I173" s="335">
        <v>0</v>
      </c>
      <c r="J173" s="335">
        <v>0</v>
      </c>
      <c r="K173" s="335">
        <v>889</v>
      </c>
      <c r="L173" s="335">
        <v>889</v>
      </c>
      <c r="M173" s="335">
        <v>0</v>
      </c>
      <c r="N173" s="335">
        <v>0</v>
      </c>
      <c r="O173" s="335">
        <v>0</v>
      </c>
      <c r="P173" s="335">
        <v>0</v>
      </c>
      <c r="Q173" s="335">
        <v>0</v>
      </c>
      <c r="R173" s="335">
        <v>0</v>
      </c>
      <c r="S173" s="335">
        <v>0</v>
      </c>
      <c r="T173" s="335">
        <v>97</v>
      </c>
      <c r="U173" s="335">
        <v>97</v>
      </c>
      <c r="V173" s="335">
        <v>97</v>
      </c>
      <c r="W173" s="335">
        <v>0</v>
      </c>
      <c r="X173" s="335">
        <v>0</v>
      </c>
      <c r="Y173" s="381">
        <f t="shared" si="2"/>
        <v>435627</v>
      </c>
      <c r="Z173" s="335">
        <v>51</v>
      </c>
      <c r="AA173" s="335">
        <v>0</v>
      </c>
      <c r="AB173" s="335">
        <v>0</v>
      </c>
      <c r="AF173" s="394"/>
      <c r="AH173" s="366"/>
    </row>
    <row r="174" spans="1:34" ht="28.5">
      <c r="A174" s="366" t="s">
        <v>823</v>
      </c>
      <c r="B174" s="196" t="s">
        <v>443</v>
      </c>
      <c r="C174" s="196" t="s">
        <v>607</v>
      </c>
      <c r="D174" s="335">
        <v>0</v>
      </c>
      <c r="E174" s="335">
        <v>0</v>
      </c>
      <c r="F174" s="335">
        <v>0</v>
      </c>
      <c r="G174" s="335">
        <v>0</v>
      </c>
      <c r="H174" s="335">
        <v>0</v>
      </c>
      <c r="I174" s="335">
        <v>0</v>
      </c>
      <c r="J174" s="335">
        <v>0</v>
      </c>
      <c r="K174" s="335">
        <v>623</v>
      </c>
      <c r="L174" s="335">
        <v>623</v>
      </c>
      <c r="M174" s="335">
        <v>0</v>
      </c>
      <c r="N174" s="335">
        <v>0</v>
      </c>
      <c r="O174" s="335">
        <v>0</v>
      </c>
      <c r="P174" s="335">
        <v>0</v>
      </c>
      <c r="Q174" s="335">
        <v>0</v>
      </c>
      <c r="R174" s="335">
        <v>0</v>
      </c>
      <c r="S174" s="335">
        <v>0</v>
      </c>
      <c r="T174" s="335">
        <v>425</v>
      </c>
      <c r="U174" s="335">
        <v>425</v>
      </c>
      <c r="V174" s="335">
        <v>425</v>
      </c>
      <c r="W174" s="335">
        <v>0</v>
      </c>
      <c r="X174" s="335">
        <v>0</v>
      </c>
      <c r="Y174" s="381">
        <f t="shared" si="2"/>
        <v>1908675</v>
      </c>
      <c r="Z174" s="335">
        <v>0</v>
      </c>
      <c r="AA174" s="335">
        <v>0</v>
      </c>
      <c r="AB174" s="335">
        <v>0</v>
      </c>
      <c r="AF174" s="394"/>
      <c r="AH174" s="366"/>
    </row>
    <row r="175" spans="1:34" ht="28.5">
      <c r="A175" s="366" t="s">
        <v>824</v>
      </c>
      <c r="B175" s="196" t="s">
        <v>443</v>
      </c>
      <c r="C175" s="196" t="s">
        <v>608</v>
      </c>
      <c r="D175" s="335">
        <v>0</v>
      </c>
      <c r="E175" s="335">
        <v>0</v>
      </c>
      <c r="F175" s="335">
        <v>0</v>
      </c>
      <c r="G175" s="335">
        <v>0</v>
      </c>
      <c r="H175" s="335">
        <v>0</v>
      </c>
      <c r="I175" s="335">
        <v>0</v>
      </c>
      <c r="J175" s="335">
        <v>0</v>
      </c>
      <c r="K175" s="335">
        <v>623</v>
      </c>
      <c r="L175" s="335">
        <v>623</v>
      </c>
      <c r="M175" s="335">
        <v>0</v>
      </c>
      <c r="N175" s="335">
        <v>0</v>
      </c>
      <c r="O175" s="335">
        <v>0</v>
      </c>
      <c r="P175" s="335">
        <v>0</v>
      </c>
      <c r="Q175" s="335">
        <v>0</v>
      </c>
      <c r="R175" s="335">
        <v>0</v>
      </c>
      <c r="S175" s="335">
        <v>0</v>
      </c>
      <c r="T175" s="335">
        <v>1</v>
      </c>
      <c r="U175" s="335">
        <v>1</v>
      </c>
      <c r="V175" s="335">
        <v>1</v>
      </c>
      <c r="W175" s="335">
        <v>0</v>
      </c>
      <c r="X175" s="335">
        <v>0</v>
      </c>
      <c r="Y175" s="381">
        <f t="shared" si="2"/>
        <v>4491</v>
      </c>
      <c r="Z175" s="335">
        <v>0</v>
      </c>
      <c r="AA175" s="335">
        <v>0</v>
      </c>
      <c r="AB175" s="335">
        <v>0</v>
      </c>
      <c r="AF175" s="394"/>
      <c r="AH175" s="366"/>
    </row>
    <row r="176" spans="1:34" ht="14.25">
      <c r="A176" s="366" t="s">
        <v>825</v>
      </c>
      <c r="B176" s="196" t="s">
        <v>443</v>
      </c>
      <c r="C176" s="196" t="s">
        <v>86</v>
      </c>
      <c r="D176" s="335">
        <v>0</v>
      </c>
      <c r="E176" s="335">
        <v>0</v>
      </c>
      <c r="F176" s="335">
        <v>0</v>
      </c>
      <c r="G176" s="335">
        <v>0</v>
      </c>
      <c r="H176" s="335">
        <v>0</v>
      </c>
      <c r="I176" s="335">
        <v>0</v>
      </c>
      <c r="J176" s="335">
        <v>0</v>
      </c>
      <c r="K176" s="335">
        <v>623</v>
      </c>
      <c r="L176" s="335">
        <v>623</v>
      </c>
      <c r="M176" s="335">
        <v>0</v>
      </c>
      <c r="N176" s="335">
        <v>0</v>
      </c>
      <c r="O176" s="335">
        <v>0</v>
      </c>
      <c r="P176" s="335">
        <v>0</v>
      </c>
      <c r="Q176" s="335">
        <v>0</v>
      </c>
      <c r="R176" s="335">
        <v>0</v>
      </c>
      <c r="S176" s="335">
        <v>0</v>
      </c>
      <c r="T176" s="335">
        <v>47</v>
      </c>
      <c r="U176" s="335">
        <v>47</v>
      </c>
      <c r="V176" s="335">
        <v>47</v>
      </c>
      <c r="W176" s="335">
        <v>0</v>
      </c>
      <c r="X176" s="335">
        <v>0</v>
      </c>
      <c r="Y176" s="381">
        <f t="shared" si="2"/>
        <v>211077</v>
      </c>
      <c r="Z176" s="335">
        <v>0</v>
      </c>
      <c r="AA176" s="335">
        <v>0</v>
      </c>
      <c r="AB176" s="335">
        <v>0</v>
      </c>
      <c r="AF176" s="394"/>
      <c r="AH176" s="366"/>
    </row>
    <row r="177" spans="1:34" ht="14.25">
      <c r="A177" s="366" t="s">
        <v>826</v>
      </c>
      <c r="B177" s="196" t="s">
        <v>444</v>
      </c>
      <c r="C177" s="196" t="s">
        <v>86</v>
      </c>
      <c r="D177" s="335">
        <v>0</v>
      </c>
      <c r="E177" s="335">
        <v>0</v>
      </c>
      <c r="F177" s="335">
        <v>0</v>
      </c>
      <c r="G177" s="335">
        <v>0</v>
      </c>
      <c r="H177" s="335">
        <v>0</v>
      </c>
      <c r="I177" s="335">
        <v>9</v>
      </c>
      <c r="J177" s="335">
        <v>89</v>
      </c>
      <c r="K177" s="335">
        <v>0</v>
      </c>
      <c r="L177" s="335">
        <v>98</v>
      </c>
      <c r="M177" s="335">
        <v>0</v>
      </c>
      <c r="N177" s="335">
        <v>0</v>
      </c>
      <c r="O177" s="335">
        <v>0</v>
      </c>
      <c r="P177" s="335">
        <v>0</v>
      </c>
      <c r="Q177" s="335">
        <v>0</v>
      </c>
      <c r="R177" s="335">
        <v>6</v>
      </c>
      <c r="S177" s="335">
        <v>29</v>
      </c>
      <c r="T177" s="335">
        <v>0</v>
      </c>
      <c r="U177" s="335">
        <v>35</v>
      </c>
      <c r="V177" s="335">
        <v>35</v>
      </c>
      <c r="W177" s="335">
        <v>35</v>
      </c>
      <c r="X177" s="335">
        <v>35</v>
      </c>
      <c r="Y177" s="381">
        <f t="shared" si="2"/>
        <v>145880</v>
      </c>
      <c r="Z177" s="335">
        <v>0</v>
      </c>
      <c r="AA177" s="335">
        <v>0</v>
      </c>
      <c r="AB177" s="335">
        <v>0</v>
      </c>
      <c r="AF177" s="394"/>
      <c r="AH177" s="366"/>
    </row>
    <row r="178" spans="1:34" ht="28.5">
      <c r="A178" s="366" t="s">
        <v>827</v>
      </c>
      <c r="B178" s="196" t="s">
        <v>118</v>
      </c>
      <c r="C178" s="196" t="s">
        <v>607</v>
      </c>
      <c r="D178" s="335">
        <v>0</v>
      </c>
      <c r="E178" s="335">
        <v>10</v>
      </c>
      <c r="F178" s="335">
        <v>0</v>
      </c>
      <c r="G178" s="335">
        <v>0</v>
      </c>
      <c r="H178" s="335">
        <v>0</v>
      </c>
      <c r="I178" s="335">
        <v>13</v>
      </c>
      <c r="J178" s="335">
        <v>121</v>
      </c>
      <c r="K178" s="335">
        <v>0</v>
      </c>
      <c r="L178" s="335">
        <v>144</v>
      </c>
      <c r="M178" s="335">
        <v>0</v>
      </c>
      <c r="N178" s="335">
        <v>1</v>
      </c>
      <c r="O178" s="335">
        <v>0</v>
      </c>
      <c r="P178" s="335">
        <v>0</v>
      </c>
      <c r="Q178" s="335">
        <v>0</v>
      </c>
      <c r="R178" s="335">
        <v>2</v>
      </c>
      <c r="S178" s="335">
        <v>44</v>
      </c>
      <c r="T178" s="335">
        <v>0</v>
      </c>
      <c r="U178" s="335">
        <v>47</v>
      </c>
      <c r="V178" s="335">
        <v>46.6</v>
      </c>
      <c r="W178" s="335">
        <v>47</v>
      </c>
      <c r="X178" s="335">
        <v>46.6</v>
      </c>
      <c r="Y178" s="381">
        <f t="shared" si="2"/>
        <v>194228.80000000002</v>
      </c>
      <c r="Z178" s="335">
        <v>0</v>
      </c>
      <c r="AA178" s="335">
        <v>0</v>
      </c>
      <c r="AB178" s="335">
        <v>0</v>
      </c>
      <c r="AF178" s="394"/>
      <c r="AH178" s="366"/>
    </row>
    <row r="179" spans="1:34" ht="28.5">
      <c r="A179" s="366" t="s">
        <v>828</v>
      </c>
      <c r="B179" s="196" t="s">
        <v>118</v>
      </c>
      <c r="C179" s="196" t="s">
        <v>86</v>
      </c>
      <c r="D179" s="335">
        <v>0</v>
      </c>
      <c r="E179" s="335">
        <v>10</v>
      </c>
      <c r="F179" s="335">
        <v>0</v>
      </c>
      <c r="G179" s="335">
        <v>0</v>
      </c>
      <c r="H179" s="335">
        <v>0</v>
      </c>
      <c r="I179" s="335">
        <v>13</v>
      </c>
      <c r="J179" s="335">
        <v>121</v>
      </c>
      <c r="K179" s="335">
        <v>0</v>
      </c>
      <c r="L179" s="335">
        <v>144</v>
      </c>
      <c r="M179" s="335">
        <v>0</v>
      </c>
      <c r="N179" s="335">
        <v>6</v>
      </c>
      <c r="O179" s="335">
        <v>0</v>
      </c>
      <c r="P179" s="335">
        <v>0</v>
      </c>
      <c r="Q179" s="335">
        <v>0</v>
      </c>
      <c r="R179" s="335">
        <v>5</v>
      </c>
      <c r="S179" s="335">
        <v>35</v>
      </c>
      <c r="T179" s="335">
        <v>0</v>
      </c>
      <c r="U179" s="335">
        <v>46</v>
      </c>
      <c r="V179" s="335">
        <v>43.6</v>
      </c>
      <c r="W179" s="335">
        <v>46</v>
      </c>
      <c r="X179" s="335">
        <v>43.6</v>
      </c>
      <c r="Y179" s="381">
        <f t="shared" si="2"/>
        <v>181724.80000000002</v>
      </c>
      <c r="Z179" s="335">
        <v>0</v>
      </c>
      <c r="AA179" s="335">
        <v>0</v>
      </c>
      <c r="AB179" s="335">
        <v>0</v>
      </c>
      <c r="AF179" s="394"/>
      <c r="AH179" s="366"/>
    </row>
    <row r="180" spans="1:34" ht="14.25">
      <c r="A180" s="366" t="s">
        <v>829</v>
      </c>
      <c r="B180" s="196" t="s">
        <v>155</v>
      </c>
      <c r="C180" s="196" t="s">
        <v>86</v>
      </c>
      <c r="D180" s="335">
        <v>0</v>
      </c>
      <c r="E180" s="335">
        <v>0</v>
      </c>
      <c r="F180" s="335">
        <v>0</v>
      </c>
      <c r="G180" s="335">
        <v>0</v>
      </c>
      <c r="H180" s="335">
        <v>0</v>
      </c>
      <c r="I180" s="335">
        <v>26</v>
      </c>
      <c r="J180" s="335">
        <v>300</v>
      </c>
      <c r="K180" s="335">
        <v>178</v>
      </c>
      <c r="L180" s="335">
        <v>504</v>
      </c>
      <c r="M180" s="335">
        <v>0</v>
      </c>
      <c r="N180" s="335">
        <v>0</v>
      </c>
      <c r="O180" s="335">
        <v>0</v>
      </c>
      <c r="P180" s="335">
        <v>0</v>
      </c>
      <c r="Q180" s="335">
        <v>0</v>
      </c>
      <c r="R180" s="335">
        <v>10</v>
      </c>
      <c r="S180" s="335">
        <v>90</v>
      </c>
      <c r="T180" s="335">
        <v>43</v>
      </c>
      <c r="U180" s="335">
        <v>143</v>
      </c>
      <c r="V180" s="335">
        <v>143</v>
      </c>
      <c r="W180" s="335">
        <v>100</v>
      </c>
      <c r="X180" s="335">
        <v>100</v>
      </c>
      <c r="Y180" s="381">
        <f t="shared" si="2"/>
        <v>609913</v>
      </c>
      <c r="Z180" s="335">
        <v>0</v>
      </c>
      <c r="AA180" s="335">
        <v>0</v>
      </c>
      <c r="AB180" s="335">
        <v>0</v>
      </c>
      <c r="AF180" s="394"/>
      <c r="AH180" s="366"/>
    </row>
    <row r="181" spans="1:34" ht="28.5">
      <c r="A181" s="366" t="s">
        <v>830</v>
      </c>
      <c r="B181" s="196" t="s">
        <v>119</v>
      </c>
      <c r="C181" s="196" t="s">
        <v>607</v>
      </c>
      <c r="D181" s="335">
        <v>0</v>
      </c>
      <c r="E181" s="335">
        <v>56</v>
      </c>
      <c r="F181" s="335">
        <v>0</v>
      </c>
      <c r="G181" s="335">
        <v>0</v>
      </c>
      <c r="H181" s="335">
        <v>0</v>
      </c>
      <c r="I181" s="335">
        <v>57</v>
      </c>
      <c r="J181" s="335">
        <v>610</v>
      </c>
      <c r="K181" s="335">
        <v>480</v>
      </c>
      <c r="L181" s="335">
        <v>1203</v>
      </c>
      <c r="M181" s="335">
        <v>0</v>
      </c>
      <c r="N181" s="335">
        <v>56</v>
      </c>
      <c r="O181" s="335">
        <v>0</v>
      </c>
      <c r="P181" s="335">
        <v>0</v>
      </c>
      <c r="Q181" s="335">
        <v>0</v>
      </c>
      <c r="R181" s="335">
        <v>57</v>
      </c>
      <c r="S181" s="335">
        <v>604</v>
      </c>
      <c r="T181" s="335">
        <v>470</v>
      </c>
      <c r="U181" s="335">
        <v>1187</v>
      </c>
      <c r="V181" s="335">
        <v>1164.6</v>
      </c>
      <c r="W181" s="335">
        <v>717</v>
      </c>
      <c r="X181" s="335">
        <v>694.6</v>
      </c>
      <c r="Y181" s="381">
        <f t="shared" si="2"/>
        <v>5005862.800000001</v>
      </c>
      <c r="Z181" s="335">
        <v>0</v>
      </c>
      <c r="AA181" s="335">
        <v>0</v>
      </c>
      <c r="AB181" s="335">
        <v>0</v>
      </c>
      <c r="AF181" s="394"/>
      <c r="AH181" s="366"/>
    </row>
    <row r="182" spans="1:34" ht="14.25">
      <c r="A182" s="366" t="s">
        <v>831</v>
      </c>
      <c r="B182" s="196" t="s">
        <v>119</v>
      </c>
      <c r="C182" s="196" t="s">
        <v>86</v>
      </c>
      <c r="D182" s="335">
        <v>0</v>
      </c>
      <c r="E182" s="335">
        <v>56</v>
      </c>
      <c r="F182" s="335">
        <v>0</v>
      </c>
      <c r="G182" s="335">
        <v>0</v>
      </c>
      <c r="H182" s="335">
        <v>0</v>
      </c>
      <c r="I182" s="335">
        <v>57</v>
      </c>
      <c r="J182" s="335">
        <v>610</v>
      </c>
      <c r="K182" s="335">
        <v>480</v>
      </c>
      <c r="L182" s="335">
        <v>1203</v>
      </c>
      <c r="M182" s="335">
        <v>0</v>
      </c>
      <c r="N182" s="335">
        <v>0</v>
      </c>
      <c r="O182" s="335">
        <v>0</v>
      </c>
      <c r="P182" s="335">
        <v>0</v>
      </c>
      <c r="Q182" s="335">
        <v>0</v>
      </c>
      <c r="R182" s="335">
        <v>0</v>
      </c>
      <c r="S182" s="335">
        <v>3</v>
      </c>
      <c r="T182" s="335">
        <v>3</v>
      </c>
      <c r="U182" s="335">
        <v>6</v>
      </c>
      <c r="V182" s="335">
        <v>6</v>
      </c>
      <c r="W182" s="335">
        <v>3</v>
      </c>
      <c r="X182" s="335">
        <v>3</v>
      </c>
      <c r="Y182" s="381">
        <f t="shared" si="2"/>
        <v>25977</v>
      </c>
      <c r="Z182" s="335">
        <v>0</v>
      </c>
      <c r="AA182" s="335">
        <v>0</v>
      </c>
      <c r="AB182" s="335">
        <v>0</v>
      </c>
      <c r="AF182" s="394"/>
      <c r="AH182" s="366"/>
    </row>
    <row r="183" spans="1:34" ht="28.5">
      <c r="A183" s="366" t="s">
        <v>832</v>
      </c>
      <c r="B183" s="196" t="s">
        <v>178</v>
      </c>
      <c r="C183" s="196" t="s">
        <v>607</v>
      </c>
      <c r="D183" s="335">
        <v>0</v>
      </c>
      <c r="E183" s="335">
        <v>0</v>
      </c>
      <c r="F183" s="335">
        <v>0</v>
      </c>
      <c r="G183" s="335">
        <v>0</v>
      </c>
      <c r="H183" s="335">
        <v>0</v>
      </c>
      <c r="I183" s="335">
        <v>0</v>
      </c>
      <c r="J183" s="335">
        <v>0</v>
      </c>
      <c r="K183" s="335">
        <v>801</v>
      </c>
      <c r="L183" s="335">
        <v>801</v>
      </c>
      <c r="M183" s="335">
        <v>0</v>
      </c>
      <c r="N183" s="335">
        <v>0</v>
      </c>
      <c r="O183" s="335">
        <v>0</v>
      </c>
      <c r="P183" s="335">
        <v>0</v>
      </c>
      <c r="Q183" s="335">
        <v>0</v>
      </c>
      <c r="R183" s="335">
        <v>0</v>
      </c>
      <c r="S183" s="335">
        <v>0</v>
      </c>
      <c r="T183" s="335">
        <v>723</v>
      </c>
      <c r="U183" s="335">
        <v>723</v>
      </c>
      <c r="V183" s="335">
        <v>723</v>
      </c>
      <c r="W183" s="335">
        <v>0</v>
      </c>
      <c r="X183" s="335">
        <v>0</v>
      </c>
      <c r="Y183" s="381">
        <f t="shared" si="2"/>
        <v>3246993</v>
      </c>
      <c r="Z183" s="335">
        <v>0</v>
      </c>
      <c r="AA183" s="335">
        <v>0</v>
      </c>
      <c r="AB183" s="335">
        <v>0</v>
      </c>
      <c r="AF183" s="394"/>
      <c r="AH183" s="366"/>
    </row>
    <row r="184" spans="1:34" ht="14.25">
      <c r="A184" s="366" t="s">
        <v>833</v>
      </c>
      <c r="B184" s="196" t="s">
        <v>178</v>
      </c>
      <c r="C184" s="196" t="s">
        <v>86</v>
      </c>
      <c r="D184" s="335">
        <v>0</v>
      </c>
      <c r="E184" s="335">
        <v>0</v>
      </c>
      <c r="F184" s="335">
        <v>0</v>
      </c>
      <c r="G184" s="335">
        <v>0</v>
      </c>
      <c r="H184" s="335">
        <v>0</v>
      </c>
      <c r="I184" s="335">
        <v>0</v>
      </c>
      <c r="J184" s="335">
        <v>0</v>
      </c>
      <c r="K184" s="335">
        <v>801</v>
      </c>
      <c r="L184" s="335">
        <v>801</v>
      </c>
      <c r="M184" s="335">
        <v>0</v>
      </c>
      <c r="N184" s="335">
        <v>0</v>
      </c>
      <c r="O184" s="335">
        <v>0</v>
      </c>
      <c r="P184" s="335">
        <v>0</v>
      </c>
      <c r="Q184" s="335">
        <v>0</v>
      </c>
      <c r="R184" s="335">
        <v>0</v>
      </c>
      <c r="S184" s="335">
        <v>0</v>
      </c>
      <c r="T184" s="335">
        <v>15</v>
      </c>
      <c r="U184" s="335">
        <v>15</v>
      </c>
      <c r="V184" s="335">
        <v>15</v>
      </c>
      <c r="W184" s="335">
        <v>0</v>
      </c>
      <c r="X184" s="335">
        <v>0</v>
      </c>
      <c r="Y184" s="381">
        <f t="shared" si="2"/>
        <v>67365</v>
      </c>
      <c r="Z184" s="335">
        <v>0</v>
      </c>
      <c r="AA184" s="335">
        <v>0</v>
      </c>
      <c r="AB184" s="335">
        <v>0</v>
      </c>
      <c r="AF184" s="394"/>
      <c r="AH184" s="366"/>
    </row>
    <row r="185" spans="1:34" ht="28.5">
      <c r="A185" s="366" t="s">
        <v>834</v>
      </c>
      <c r="B185" s="196" t="s">
        <v>120</v>
      </c>
      <c r="C185" s="196" t="s">
        <v>607</v>
      </c>
      <c r="D185" s="335">
        <v>9</v>
      </c>
      <c r="E185" s="335">
        <v>0</v>
      </c>
      <c r="F185" s="335">
        <v>0</v>
      </c>
      <c r="G185" s="335">
        <v>0</v>
      </c>
      <c r="H185" s="335">
        <v>0</v>
      </c>
      <c r="I185" s="335">
        <v>14</v>
      </c>
      <c r="J185" s="335">
        <v>146</v>
      </c>
      <c r="K185" s="335">
        <v>19</v>
      </c>
      <c r="L185" s="335">
        <v>188</v>
      </c>
      <c r="M185" s="335">
        <v>7</v>
      </c>
      <c r="N185" s="335">
        <v>0</v>
      </c>
      <c r="O185" s="335">
        <v>0</v>
      </c>
      <c r="P185" s="335">
        <v>0</v>
      </c>
      <c r="Q185" s="335">
        <v>0</v>
      </c>
      <c r="R185" s="335">
        <v>13</v>
      </c>
      <c r="S185" s="335">
        <v>134</v>
      </c>
      <c r="T185" s="335">
        <v>18</v>
      </c>
      <c r="U185" s="335">
        <v>172</v>
      </c>
      <c r="V185" s="335">
        <v>168.5</v>
      </c>
      <c r="W185" s="335">
        <v>154</v>
      </c>
      <c r="X185" s="335">
        <v>150.5</v>
      </c>
      <c r="Y185" s="381">
        <f t="shared" si="2"/>
        <v>708122</v>
      </c>
      <c r="Z185" s="335">
        <v>0</v>
      </c>
      <c r="AA185" s="335">
        <v>0</v>
      </c>
      <c r="AB185" s="335">
        <v>0</v>
      </c>
      <c r="AF185" s="394"/>
      <c r="AH185" s="366"/>
    </row>
    <row r="186" spans="1:34" ht="28.5">
      <c r="A186" s="366" t="s">
        <v>835</v>
      </c>
      <c r="B186" s="196" t="s">
        <v>120</v>
      </c>
      <c r="C186" s="196" t="s">
        <v>86</v>
      </c>
      <c r="D186" s="335">
        <v>9</v>
      </c>
      <c r="E186" s="335">
        <v>0</v>
      </c>
      <c r="F186" s="335">
        <v>0</v>
      </c>
      <c r="G186" s="335">
        <v>0</v>
      </c>
      <c r="H186" s="335">
        <v>0</v>
      </c>
      <c r="I186" s="335">
        <v>14</v>
      </c>
      <c r="J186" s="335">
        <v>146</v>
      </c>
      <c r="K186" s="335">
        <v>19</v>
      </c>
      <c r="L186" s="335">
        <v>188</v>
      </c>
      <c r="M186" s="335">
        <v>1</v>
      </c>
      <c r="N186" s="335">
        <v>0</v>
      </c>
      <c r="O186" s="335">
        <v>0</v>
      </c>
      <c r="P186" s="335">
        <v>0</v>
      </c>
      <c r="Q186" s="335">
        <v>0</v>
      </c>
      <c r="R186" s="335">
        <v>1</v>
      </c>
      <c r="S186" s="335">
        <v>9</v>
      </c>
      <c r="T186" s="335">
        <v>0</v>
      </c>
      <c r="U186" s="335">
        <v>11</v>
      </c>
      <c r="V186" s="335">
        <v>10.5</v>
      </c>
      <c r="W186" s="335">
        <v>11</v>
      </c>
      <c r="X186" s="335">
        <v>10.5</v>
      </c>
      <c r="Y186" s="381">
        <f t="shared" si="2"/>
        <v>43764</v>
      </c>
      <c r="Z186" s="335">
        <v>0</v>
      </c>
      <c r="AA186" s="335">
        <v>0</v>
      </c>
      <c r="AB186" s="335">
        <v>0</v>
      </c>
      <c r="AF186" s="394"/>
      <c r="AH186" s="366"/>
    </row>
    <row r="187" spans="1:34" ht="14.25">
      <c r="A187" s="366" t="s">
        <v>836</v>
      </c>
      <c r="B187" s="196" t="s">
        <v>269</v>
      </c>
      <c r="C187" s="196" t="s">
        <v>86</v>
      </c>
      <c r="D187" s="335">
        <v>21</v>
      </c>
      <c r="E187" s="335">
        <v>0</v>
      </c>
      <c r="F187" s="335">
        <v>0</v>
      </c>
      <c r="G187" s="335">
        <v>0</v>
      </c>
      <c r="H187" s="335">
        <v>0</v>
      </c>
      <c r="I187" s="335">
        <v>10</v>
      </c>
      <c r="J187" s="335">
        <v>120</v>
      </c>
      <c r="K187" s="335">
        <v>0</v>
      </c>
      <c r="L187" s="335">
        <v>151</v>
      </c>
      <c r="M187" s="335">
        <v>4</v>
      </c>
      <c r="N187" s="335">
        <v>0</v>
      </c>
      <c r="O187" s="335">
        <v>0</v>
      </c>
      <c r="P187" s="335">
        <v>0</v>
      </c>
      <c r="Q187" s="335">
        <v>0</v>
      </c>
      <c r="R187" s="335">
        <v>4</v>
      </c>
      <c r="S187" s="335">
        <v>26</v>
      </c>
      <c r="T187" s="335">
        <v>0</v>
      </c>
      <c r="U187" s="335">
        <v>34</v>
      </c>
      <c r="V187" s="335">
        <v>32</v>
      </c>
      <c r="W187" s="335">
        <v>34</v>
      </c>
      <c r="X187" s="335">
        <v>32</v>
      </c>
      <c r="Y187" s="381">
        <f t="shared" si="2"/>
        <v>133376</v>
      </c>
      <c r="Z187" s="335">
        <v>0</v>
      </c>
      <c r="AA187" s="335">
        <v>0</v>
      </c>
      <c r="AB187" s="335">
        <v>0</v>
      </c>
      <c r="AF187" s="394"/>
      <c r="AH187" s="366"/>
    </row>
    <row r="188" spans="1:34" ht="14.25">
      <c r="A188" s="366" t="s">
        <v>837</v>
      </c>
      <c r="B188" s="196" t="s">
        <v>529</v>
      </c>
      <c r="C188" s="196" t="s">
        <v>86</v>
      </c>
      <c r="D188" s="335">
        <v>7</v>
      </c>
      <c r="E188" s="335">
        <v>0</v>
      </c>
      <c r="F188" s="335">
        <v>0</v>
      </c>
      <c r="G188" s="335">
        <v>0</v>
      </c>
      <c r="H188" s="335">
        <v>0</v>
      </c>
      <c r="I188" s="335">
        <v>3</v>
      </c>
      <c r="J188" s="335">
        <v>66</v>
      </c>
      <c r="K188" s="335">
        <v>0</v>
      </c>
      <c r="L188" s="335">
        <v>76</v>
      </c>
      <c r="M188" s="335">
        <v>1</v>
      </c>
      <c r="N188" s="335">
        <v>0</v>
      </c>
      <c r="O188" s="335">
        <v>0</v>
      </c>
      <c r="P188" s="335">
        <v>0</v>
      </c>
      <c r="Q188" s="335">
        <v>0</v>
      </c>
      <c r="R188" s="335">
        <v>1</v>
      </c>
      <c r="S188" s="335">
        <v>22</v>
      </c>
      <c r="T188" s="335">
        <v>0</v>
      </c>
      <c r="U188" s="335">
        <v>24</v>
      </c>
      <c r="V188" s="335">
        <v>23.5</v>
      </c>
      <c r="W188" s="335">
        <v>24</v>
      </c>
      <c r="X188" s="335">
        <v>23.5</v>
      </c>
      <c r="Y188" s="381">
        <f t="shared" si="2"/>
        <v>97948</v>
      </c>
      <c r="Z188" s="335">
        <v>0</v>
      </c>
      <c r="AA188" s="335">
        <v>0</v>
      </c>
      <c r="AB188" s="335">
        <v>0</v>
      </c>
      <c r="AF188" s="394"/>
      <c r="AH188" s="366"/>
    </row>
    <row r="189" spans="1:34" ht="28.5">
      <c r="A189" s="366" t="s">
        <v>838</v>
      </c>
      <c r="B189" s="196" t="s">
        <v>530</v>
      </c>
      <c r="C189" s="196" t="s">
        <v>86</v>
      </c>
      <c r="D189" s="335">
        <v>7</v>
      </c>
      <c r="E189" s="335">
        <v>0</v>
      </c>
      <c r="F189" s="335">
        <v>0</v>
      </c>
      <c r="G189" s="335">
        <v>0</v>
      </c>
      <c r="H189" s="335">
        <v>0</v>
      </c>
      <c r="I189" s="335">
        <v>5</v>
      </c>
      <c r="J189" s="335">
        <v>25</v>
      </c>
      <c r="K189" s="335">
        <v>0</v>
      </c>
      <c r="L189" s="335">
        <v>37</v>
      </c>
      <c r="M189" s="335">
        <v>1</v>
      </c>
      <c r="N189" s="335">
        <v>0</v>
      </c>
      <c r="O189" s="335">
        <v>0</v>
      </c>
      <c r="P189" s="335">
        <v>0</v>
      </c>
      <c r="Q189" s="335">
        <v>0</v>
      </c>
      <c r="R189" s="335">
        <v>3</v>
      </c>
      <c r="S189" s="335">
        <v>16</v>
      </c>
      <c r="T189" s="335">
        <v>0</v>
      </c>
      <c r="U189" s="335">
        <v>20</v>
      </c>
      <c r="V189" s="335">
        <v>19.5</v>
      </c>
      <c r="W189" s="335">
        <v>20</v>
      </c>
      <c r="X189" s="335">
        <v>19.5</v>
      </c>
      <c r="Y189" s="381">
        <f t="shared" si="2"/>
        <v>81276</v>
      </c>
      <c r="Z189" s="335">
        <v>0</v>
      </c>
      <c r="AA189" s="335">
        <v>0</v>
      </c>
      <c r="AB189" s="335">
        <v>0</v>
      </c>
      <c r="AF189" s="394"/>
      <c r="AH189" s="366"/>
    </row>
    <row r="190" spans="1:34" ht="28.5">
      <c r="A190" s="366" t="s">
        <v>839</v>
      </c>
      <c r="B190" s="196" t="s">
        <v>209</v>
      </c>
      <c r="C190" s="196" t="s">
        <v>607</v>
      </c>
      <c r="D190" s="335">
        <v>16</v>
      </c>
      <c r="E190" s="335">
        <v>0</v>
      </c>
      <c r="F190" s="335">
        <v>0</v>
      </c>
      <c r="G190" s="335">
        <v>0</v>
      </c>
      <c r="H190" s="335">
        <v>0</v>
      </c>
      <c r="I190" s="335">
        <v>18</v>
      </c>
      <c r="J190" s="335">
        <v>159</v>
      </c>
      <c r="K190" s="335">
        <v>0</v>
      </c>
      <c r="L190" s="335">
        <v>193</v>
      </c>
      <c r="M190" s="335">
        <v>16</v>
      </c>
      <c r="N190" s="335">
        <v>0</v>
      </c>
      <c r="O190" s="335">
        <v>0</v>
      </c>
      <c r="P190" s="335">
        <v>0</v>
      </c>
      <c r="Q190" s="335">
        <v>0</v>
      </c>
      <c r="R190" s="335">
        <v>18</v>
      </c>
      <c r="S190" s="335">
        <v>159</v>
      </c>
      <c r="T190" s="335">
        <v>0</v>
      </c>
      <c r="U190" s="335">
        <v>193</v>
      </c>
      <c r="V190" s="335">
        <v>185</v>
      </c>
      <c r="W190" s="335">
        <v>193</v>
      </c>
      <c r="X190" s="335">
        <v>185</v>
      </c>
      <c r="Y190" s="381">
        <f t="shared" si="2"/>
        <v>771080</v>
      </c>
      <c r="Z190" s="335">
        <v>0</v>
      </c>
      <c r="AA190" s="335">
        <v>0</v>
      </c>
      <c r="AB190" s="335">
        <v>0</v>
      </c>
      <c r="AF190" s="394"/>
      <c r="AH190" s="366"/>
    </row>
    <row r="191" spans="1:34" ht="28.5">
      <c r="A191" s="366" t="s">
        <v>840</v>
      </c>
      <c r="B191" s="196" t="s">
        <v>584</v>
      </c>
      <c r="C191" s="196" t="s">
        <v>607</v>
      </c>
      <c r="D191" s="335">
        <v>15</v>
      </c>
      <c r="E191" s="335">
        <v>0</v>
      </c>
      <c r="F191" s="335">
        <v>0</v>
      </c>
      <c r="G191" s="335">
        <v>0</v>
      </c>
      <c r="H191" s="335">
        <v>0</v>
      </c>
      <c r="I191" s="335">
        <v>9</v>
      </c>
      <c r="J191" s="335">
        <v>117</v>
      </c>
      <c r="K191" s="335">
        <v>0</v>
      </c>
      <c r="L191" s="335">
        <v>141</v>
      </c>
      <c r="M191" s="335">
        <v>14</v>
      </c>
      <c r="N191" s="335">
        <v>0</v>
      </c>
      <c r="O191" s="335">
        <v>0</v>
      </c>
      <c r="P191" s="335">
        <v>0</v>
      </c>
      <c r="Q191" s="335">
        <v>0</v>
      </c>
      <c r="R191" s="335">
        <v>9</v>
      </c>
      <c r="S191" s="335">
        <v>114</v>
      </c>
      <c r="T191" s="335">
        <v>0</v>
      </c>
      <c r="U191" s="335">
        <v>137</v>
      </c>
      <c r="V191" s="335">
        <v>130</v>
      </c>
      <c r="W191" s="335">
        <v>137</v>
      </c>
      <c r="X191" s="335">
        <v>130</v>
      </c>
      <c r="Y191" s="381">
        <f t="shared" si="2"/>
        <v>541840</v>
      </c>
      <c r="Z191" s="335">
        <v>0</v>
      </c>
      <c r="AA191" s="335">
        <v>0</v>
      </c>
      <c r="AB191" s="335">
        <v>0</v>
      </c>
      <c r="AF191" s="394"/>
      <c r="AH191" s="366"/>
    </row>
    <row r="192" spans="1:34" ht="28.5">
      <c r="A192" s="366" t="s">
        <v>841</v>
      </c>
      <c r="B192" s="196" t="s">
        <v>621</v>
      </c>
      <c r="C192" s="196" t="s">
        <v>86</v>
      </c>
      <c r="D192" s="335">
        <v>0</v>
      </c>
      <c r="E192" s="335">
        <v>0</v>
      </c>
      <c r="F192" s="335">
        <v>0</v>
      </c>
      <c r="G192" s="335">
        <v>0</v>
      </c>
      <c r="H192" s="335">
        <v>0</v>
      </c>
      <c r="I192" s="335">
        <v>24</v>
      </c>
      <c r="J192" s="335">
        <v>136</v>
      </c>
      <c r="K192" s="335">
        <v>0</v>
      </c>
      <c r="L192" s="335">
        <v>160</v>
      </c>
      <c r="M192" s="335">
        <v>0</v>
      </c>
      <c r="N192" s="335">
        <v>0</v>
      </c>
      <c r="O192" s="335">
        <v>0</v>
      </c>
      <c r="P192" s="335">
        <v>0</v>
      </c>
      <c r="Q192" s="335">
        <v>0</v>
      </c>
      <c r="R192" s="335">
        <v>5</v>
      </c>
      <c r="S192" s="335">
        <v>43</v>
      </c>
      <c r="T192" s="335">
        <v>0</v>
      </c>
      <c r="U192" s="335">
        <v>48</v>
      </c>
      <c r="V192" s="335">
        <v>48</v>
      </c>
      <c r="W192" s="335">
        <v>48</v>
      </c>
      <c r="X192" s="335">
        <v>48</v>
      </c>
      <c r="Y192" s="381">
        <f t="shared" si="2"/>
        <v>200064</v>
      </c>
      <c r="Z192" s="335">
        <v>0</v>
      </c>
      <c r="AA192" s="335">
        <v>0</v>
      </c>
      <c r="AB192" s="335">
        <v>0</v>
      </c>
      <c r="AF192" s="394"/>
      <c r="AH192" s="366"/>
    </row>
    <row r="193" spans="1:34" ht="28.5">
      <c r="A193" s="366" t="s">
        <v>842</v>
      </c>
      <c r="B193" s="196" t="s">
        <v>121</v>
      </c>
      <c r="C193" s="196" t="s">
        <v>607</v>
      </c>
      <c r="D193" s="335">
        <v>0</v>
      </c>
      <c r="E193" s="335">
        <v>21</v>
      </c>
      <c r="F193" s="335">
        <v>0</v>
      </c>
      <c r="G193" s="335">
        <v>0</v>
      </c>
      <c r="H193" s="335">
        <v>0</v>
      </c>
      <c r="I193" s="335">
        <v>23</v>
      </c>
      <c r="J193" s="335">
        <v>165</v>
      </c>
      <c r="K193" s="335">
        <v>0</v>
      </c>
      <c r="L193" s="335">
        <v>209</v>
      </c>
      <c r="M193" s="335">
        <v>0</v>
      </c>
      <c r="N193" s="335">
        <v>18</v>
      </c>
      <c r="O193" s="335">
        <v>0</v>
      </c>
      <c r="P193" s="335">
        <v>0</v>
      </c>
      <c r="Q193" s="335">
        <v>0</v>
      </c>
      <c r="R193" s="335">
        <v>23</v>
      </c>
      <c r="S193" s="335">
        <v>157</v>
      </c>
      <c r="T193" s="335">
        <v>0</v>
      </c>
      <c r="U193" s="335">
        <v>198</v>
      </c>
      <c r="V193" s="335">
        <v>190.8</v>
      </c>
      <c r="W193" s="335">
        <v>198</v>
      </c>
      <c r="X193" s="335">
        <v>190.8</v>
      </c>
      <c r="Y193" s="381">
        <f t="shared" si="2"/>
        <v>795254.4</v>
      </c>
      <c r="Z193" s="335">
        <v>4</v>
      </c>
      <c r="AA193" s="335">
        <v>0</v>
      </c>
      <c r="AB193" s="335">
        <v>0</v>
      </c>
      <c r="AF193" s="394"/>
      <c r="AH193" s="366"/>
    </row>
    <row r="194" spans="1:34" ht="14.25">
      <c r="A194" s="366" t="s">
        <v>843</v>
      </c>
      <c r="B194" s="196" t="s">
        <v>121</v>
      </c>
      <c r="C194" s="196" t="s">
        <v>86</v>
      </c>
      <c r="D194" s="335">
        <v>0</v>
      </c>
      <c r="E194" s="335">
        <v>21</v>
      </c>
      <c r="F194" s="335">
        <v>0</v>
      </c>
      <c r="G194" s="335">
        <v>0</v>
      </c>
      <c r="H194" s="335">
        <v>0</v>
      </c>
      <c r="I194" s="335">
        <v>23</v>
      </c>
      <c r="J194" s="335">
        <v>165</v>
      </c>
      <c r="K194" s="335">
        <v>0</v>
      </c>
      <c r="L194" s="335">
        <v>209</v>
      </c>
      <c r="M194" s="335">
        <v>0</v>
      </c>
      <c r="N194" s="335">
        <v>1</v>
      </c>
      <c r="O194" s="335">
        <v>0</v>
      </c>
      <c r="P194" s="335">
        <v>0</v>
      </c>
      <c r="Q194" s="335">
        <v>0</v>
      </c>
      <c r="R194" s="335">
        <v>0</v>
      </c>
      <c r="S194" s="335">
        <v>2</v>
      </c>
      <c r="T194" s="335">
        <v>0</v>
      </c>
      <c r="U194" s="335">
        <v>3</v>
      </c>
      <c r="V194" s="335">
        <v>2.6</v>
      </c>
      <c r="W194" s="335">
        <v>3</v>
      </c>
      <c r="X194" s="335">
        <v>2.6</v>
      </c>
      <c r="Y194" s="381">
        <f t="shared" si="2"/>
        <v>10836.800000000001</v>
      </c>
      <c r="Z194" s="335">
        <v>0</v>
      </c>
      <c r="AA194" s="335">
        <v>0</v>
      </c>
      <c r="AB194" s="335">
        <v>0</v>
      </c>
      <c r="AF194" s="394"/>
      <c r="AH194" s="366"/>
    </row>
    <row r="195" spans="1:34" ht="28.5">
      <c r="A195" s="366" t="s">
        <v>844</v>
      </c>
      <c r="B195" s="196" t="s">
        <v>652</v>
      </c>
      <c r="C195" s="196" t="s">
        <v>607</v>
      </c>
      <c r="D195" s="335">
        <v>12</v>
      </c>
      <c r="E195" s="335">
        <v>0</v>
      </c>
      <c r="F195" s="335">
        <v>0</v>
      </c>
      <c r="G195" s="335">
        <v>0</v>
      </c>
      <c r="H195" s="335">
        <v>0</v>
      </c>
      <c r="I195" s="335">
        <v>17</v>
      </c>
      <c r="J195" s="335">
        <v>122</v>
      </c>
      <c r="K195" s="335">
        <v>0</v>
      </c>
      <c r="L195" s="335">
        <v>151</v>
      </c>
      <c r="M195" s="335">
        <v>7</v>
      </c>
      <c r="N195" s="335">
        <v>0</v>
      </c>
      <c r="O195" s="335">
        <v>0</v>
      </c>
      <c r="P195" s="335">
        <v>0</v>
      </c>
      <c r="Q195" s="335">
        <v>0</v>
      </c>
      <c r="R195" s="335">
        <v>17</v>
      </c>
      <c r="S195" s="335">
        <v>100</v>
      </c>
      <c r="T195" s="335">
        <v>0</v>
      </c>
      <c r="U195" s="335">
        <v>124</v>
      </c>
      <c r="V195" s="335">
        <v>120.5</v>
      </c>
      <c r="W195" s="335">
        <v>124</v>
      </c>
      <c r="X195" s="335">
        <v>120.5</v>
      </c>
      <c r="Y195" s="381">
        <f t="shared" si="2"/>
        <v>502244</v>
      </c>
      <c r="Z195" s="335">
        <v>0</v>
      </c>
      <c r="AA195" s="335">
        <v>0</v>
      </c>
      <c r="AB195" s="335">
        <v>0</v>
      </c>
      <c r="AF195" s="394"/>
      <c r="AH195" s="366"/>
    </row>
    <row r="196" spans="1:34" ht="28.5">
      <c r="A196" s="366" t="s">
        <v>845</v>
      </c>
      <c r="B196" s="196" t="s">
        <v>652</v>
      </c>
      <c r="C196" s="196" t="s">
        <v>86</v>
      </c>
      <c r="D196" s="335">
        <v>12</v>
      </c>
      <c r="E196" s="335">
        <v>0</v>
      </c>
      <c r="F196" s="335">
        <v>0</v>
      </c>
      <c r="G196" s="335">
        <v>0</v>
      </c>
      <c r="H196" s="335">
        <v>0</v>
      </c>
      <c r="I196" s="335">
        <v>17</v>
      </c>
      <c r="J196" s="335">
        <v>122</v>
      </c>
      <c r="K196" s="335">
        <v>0</v>
      </c>
      <c r="L196" s="335">
        <v>151</v>
      </c>
      <c r="M196" s="335">
        <v>1</v>
      </c>
      <c r="N196" s="335">
        <v>0</v>
      </c>
      <c r="O196" s="335">
        <v>0</v>
      </c>
      <c r="P196" s="335">
        <v>0</v>
      </c>
      <c r="Q196" s="335">
        <v>0</v>
      </c>
      <c r="R196" s="335">
        <v>0</v>
      </c>
      <c r="S196" s="335">
        <v>8</v>
      </c>
      <c r="T196" s="335">
        <v>0</v>
      </c>
      <c r="U196" s="335">
        <v>9</v>
      </c>
      <c r="V196" s="335">
        <v>8.5</v>
      </c>
      <c r="W196" s="335">
        <v>9</v>
      </c>
      <c r="X196" s="335">
        <v>8.5</v>
      </c>
      <c r="Y196" s="381">
        <f t="shared" si="2"/>
        <v>35428</v>
      </c>
      <c r="Z196" s="335">
        <v>0</v>
      </c>
      <c r="AA196" s="335">
        <v>0</v>
      </c>
      <c r="AB196" s="335">
        <v>0</v>
      </c>
      <c r="AF196" s="394"/>
      <c r="AH196" s="366"/>
    </row>
    <row r="197" spans="1:34" ht="28.5">
      <c r="A197" s="366" t="s">
        <v>846</v>
      </c>
      <c r="B197" s="196" t="s">
        <v>475</v>
      </c>
      <c r="C197" s="196" t="s">
        <v>86</v>
      </c>
      <c r="D197" s="335">
        <v>28</v>
      </c>
      <c r="E197" s="335">
        <v>0</v>
      </c>
      <c r="F197" s="335">
        <v>0</v>
      </c>
      <c r="G197" s="335">
        <v>0</v>
      </c>
      <c r="H197" s="335">
        <v>0</v>
      </c>
      <c r="I197" s="335">
        <v>33</v>
      </c>
      <c r="J197" s="335">
        <v>256</v>
      </c>
      <c r="K197" s="335">
        <v>0</v>
      </c>
      <c r="L197" s="335">
        <v>317</v>
      </c>
      <c r="M197" s="335">
        <v>5</v>
      </c>
      <c r="N197" s="335">
        <v>0</v>
      </c>
      <c r="O197" s="335">
        <v>0</v>
      </c>
      <c r="P197" s="335">
        <v>0</v>
      </c>
      <c r="Q197" s="335">
        <v>0</v>
      </c>
      <c r="R197" s="335">
        <v>13</v>
      </c>
      <c r="S197" s="335">
        <v>69</v>
      </c>
      <c r="T197" s="335">
        <v>0</v>
      </c>
      <c r="U197" s="335">
        <v>87</v>
      </c>
      <c r="V197" s="335">
        <v>84.5</v>
      </c>
      <c r="W197" s="335">
        <v>87</v>
      </c>
      <c r="X197" s="335">
        <v>84.5</v>
      </c>
      <c r="Y197" s="381">
        <f aca="true" t="shared" si="3" ref="Y197:Y260">((T197*CY_9_12_Pmt)+(X197*CY_K_8_Pmt))/2</f>
        <v>352196</v>
      </c>
      <c r="Z197" s="335">
        <v>0</v>
      </c>
      <c r="AA197" s="335">
        <v>0</v>
      </c>
      <c r="AB197" s="335">
        <v>0</v>
      </c>
      <c r="AF197" s="394"/>
      <c r="AH197" s="366"/>
    </row>
    <row r="198" spans="1:34" ht="28.5">
      <c r="A198" s="366" t="s">
        <v>847</v>
      </c>
      <c r="B198" s="196" t="s">
        <v>294</v>
      </c>
      <c r="C198" s="196" t="s">
        <v>607</v>
      </c>
      <c r="D198" s="335">
        <v>25</v>
      </c>
      <c r="E198" s="335">
        <v>0</v>
      </c>
      <c r="F198" s="335">
        <v>0</v>
      </c>
      <c r="G198" s="335">
        <v>0</v>
      </c>
      <c r="H198" s="335">
        <v>0</v>
      </c>
      <c r="I198" s="335">
        <v>27</v>
      </c>
      <c r="J198" s="335">
        <v>204</v>
      </c>
      <c r="K198" s="335">
        <v>0</v>
      </c>
      <c r="L198" s="335">
        <v>256</v>
      </c>
      <c r="M198" s="335">
        <v>24</v>
      </c>
      <c r="N198" s="335">
        <v>0</v>
      </c>
      <c r="O198" s="335">
        <v>0</v>
      </c>
      <c r="P198" s="335">
        <v>0</v>
      </c>
      <c r="Q198" s="335">
        <v>0</v>
      </c>
      <c r="R198" s="335">
        <v>24</v>
      </c>
      <c r="S198" s="335">
        <v>186</v>
      </c>
      <c r="T198" s="335">
        <v>0</v>
      </c>
      <c r="U198" s="335">
        <v>234</v>
      </c>
      <c r="V198" s="335">
        <v>222</v>
      </c>
      <c r="W198" s="335">
        <v>234</v>
      </c>
      <c r="X198" s="335">
        <v>222</v>
      </c>
      <c r="Y198" s="381">
        <f t="shared" si="3"/>
        <v>925296</v>
      </c>
      <c r="Z198" s="335">
        <v>1</v>
      </c>
      <c r="AA198" s="335">
        <v>0</v>
      </c>
      <c r="AB198" s="335">
        <v>0</v>
      </c>
      <c r="AF198" s="394"/>
      <c r="AH198" s="366"/>
    </row>
    <row r="199" spans="1:34" ht="14.25">
      <c r="A199" s="366" t="s">
        <v>848</v>
      </c>
      <c r="B199" s="196" t="s">
        <v>294</v>
      </c>
      <c r="C199" s="196" t="s">
        <v>86</v>
      </c>
      <c r="D199" s="335">
        <v>25</v>
      </c>
      <c r="E199" s="335">
        <v>0</v>
      </c>
      <c r="F199" s="335">
        <v>0</v>
      </c>
      <c r="G199" s="335">
        <v>0</v>
      </c>
      <c r="H199" s="335">
        <v>0</v>
      </c>
      <c r="I199" s="335">
        <v>27</v>
      </c>
      <c r="J199" s="335">
        <v>204</v>
      </c>
      <c r="K199" s="335">
        <v>0</v>
      </c>
      <c r="L199" s="335">
        <v>256</v>
      </c>
      <c r="M199" s="335">
        <v>0</v>
      </c>
      <c r="N199" s="335">
        <v>0</v>
      </c>
      <c r="O199" s="335">
        <v>0</v>
      </c>
      <c r="P199" s="335">
        <v>0</v>
      </c>
      <c r="Q199" s="335">
        <v>0</v>
      </c>
      <c r="R199" s="335">
        <v>3</v>
      </c>
      <c r="S199" s="335">
        <v>12</v>
      </c>
      <c r="T199" s="335">
        <v>0</v>
      </c>
      <c r="U199" s="335">
        <v>15</v>
      </c>
      <c r="V199" s="335">
        <v>15</v>
      </c>
      <c r="W199" s="335">
        <v>15</v>
      </c>
      <c r="X199" s="335">
        <v>15</v>
      </c>
      <c r="Y199" s="381">
        <f t="shared" si="3"/>
        <v>62520</v>
      </c>
      <c r="Z199" s="335">
        <v>0</v>
      </c>
      <c r="AA199" s="335">
        <v>0</v>
      </c>
      <c r="AB199" s="335">
        <v>0</v>
      </c>
      <c r="AF199" s="394"/>
      <c r="AH199" s="366"/>
    </row>
    <row r="200" spans="1:34" ht="14.25">
      <c r="A200" s="366" t="s">
        <v>849</v>
      </c>
      <c r="B200" s="196" t="s">
        <v>509</v>
      </c>
      <c r="C200" s="196" t="s">
        <v>86</v>
      </c>
      <c r="D200" s="335">
        <v>26</v>
      </c>
      <c r="E200" s="335">
        <v>0</v>
      </c>
      <c r="F200" s="335">
        <v>8</v>
      </c>
      <c r="G200" s="335">
        <v>0</v>
      </c>
      <c r="H200" s="335">
        <v>0</v>
      </c>
      <c r="I200" s="335">
        <v>11</v>
      </c>
      <c r="J200" s="335">
        <v>136</v>
      </c>
      <c r="K200" s="335">
        <v>0</v>
      </c>
      <c r="L200" s="335">
        <v>181</v>
      </c>
      <c r="M200" s="335">
        <v>11</v>
      </c>
      <c r="N200" s="335">
        <v>0</v>
      </c>
      <c r="O200" s="335">
        <v>2</v>
      </c>
      <c r="P200" s="335">
        <v>0</v>
      </c>
      <c r="Q200" s="335">
        <v>0</v>
      </c>
      <c r="R200" s="335">
        <v>5</v>
      </c>
      <c r="S200" s="335">
        <v>45</v>
      </c>
      <c r="T200" s="335">
        <v>0</v>
      </c>
      <c r="U200" s="335">
        <v>63</v>
      </c>
      <c r="V200" s="335">
        <v>56.5</v>
      </c>
      <c r="W200" s="335">
        <v>63</v>
      </c>
      <c r="X200" s="335">
        <v>56.5</v>
      </c>
      <c r="Y200" s="381">
        <f t="shared" si="3"/>
        <v>235492</v>
      </c>
      <c r="Z200" s="335">
        <v>0</v>
      </c>
      <c r="AA200" s="335">
        <v>0</v>
      </c>
      <c r="AB200" s="335">
        <v>0</v>
      </c>
      <c r="AF200" s="394"/>
      <c r="AH200" s="366"/>
    </row>
    <row r="201" spans="1:34" ht="28.5">
      <c r="A201" s="366" t="s">
        <v>850</v>
      </c>
      <c r="B201" s="196" t="s">
        <v>122</v>
      </c>
      <c r="C201" s="196" t="s">
        <v>607</v>
      </c>
      <c r="D201" s="335">
        <v>0</v>
      </c>
      <c r="E201" s="335">
        <v>11</v>
      </c>
      <c r="F201" s="335">
        <v>0</v>
      </c>
      <c r="G201" s="335">
        <v>0</v>
      </c>
      <c r="H201" s="335">
        <v>0</v>
      </c>
      <c r="I201" s="335">
        <v>17</v>
      </c>
      <c r="J201" s="335">
        <v>106</v>
      </c>
      <c r="K201" s="335">
        <v>0</v>
      </c>
      <c r="L201" s="335">
        <v>134</v>
      </c>
      <c r="M201" s="335">
        <v>0</v>
      </c>
      <c r="N201" s="335">
        <v>8</v>
      </c>
      <c r="O201" s="335">
        <v>0</v>
      </c>
      <c r="P201" s="335">
        <v>0</v>
      </c>
      <c r="Q201" s="335">
        <v>0</v>
      </c>
      <c r="R201" s="335">
        <v>15</v>
      </c>
      <c r="S201" s="335">
        <v>93</v>
      </c>
      <c r="T201" s="335">
        <v>0</v>
      </c>
      <c r="U201" s="335">
        <v>116</v>
      </c>
      <c r="V201" s="335">
        <v>112.8</v>
      </c>
      <c r="W201" s="335">
        <v>116</v>
      </c>
      <c r="X201" s="335">
        <v>112.8</v>
      </c>
      <c r="Y201" s="381">
        <f t="shared" si="3"/>
        <v>470150.39999999997</v>
      </c>
      <c r="Z201" s="335">
        <v>0</v>
      </c>
      <c r="AA201" s="335">
        <v>0</v>
      </c>
      <c r="AB201" s="335">
        <v>0</v>
      </c>
      <c r="AF201" s="394"/>
      <c r="AH201" s="366"/>
    </row>
    <row r="202" spans="1:34" ht="14.25">
      <c r="A202" s="366" t="s">
        <v>851</v>
      </c>
      <c r="B202" s="196" t="s">
        <v>122</v>
      </c>
      <c r="C202" s="196" t="s">
        <v>86</v>
      </c>
      <c r="D202" s="335">
        <v>0</v>
      </c>
      <c r="E202" s="335">
        <v>11</v>
      </c>
      <c r="F202" s="335">
        <v>0</v>
      </c>
      <c r="G202" s="335">
        <v>0</v>
      </c>
      <c r="H202" s="335">
        <v>0</v>
      </c>
      <c r="I202" s="335">
        <v>17</v>
      </c>
      <c r="J202" s="335">
        <v>106</v>
      </c>
      <c r="K202" s="335">
        <v>0</v>
      </c>
      <c r="L202" s="335">
        <v>134</v>
      </c>
      <c r="M202" s="335">
        <v>0</v>
      </c>
      <c r="N202" s="335">
        <v>0</v>
      </c>
      <c r="O202" s="335">
        <v>0</v>
      </c>
      <c r="P202" s="335">
        <v>0</v>
      </c>
      <c r="Q202" s="335">
        <v>0</v>
      </c>
      <c r="R202" s="335">
        <v>0</v>
      </c>
      <c r="S202" s="335">
        <v>5</v>
      </c>
      <c r="T202" s="335">
        <v>0</v>
      </c>
      <c r="U202" s="335">
        <v>5</v>
      </c>
      <c r="V202" s="335">
        <v>5</v>
      </c>
      <c r="W202" s="335">
        <v>5</v>
      </c>
      <c r="X202" s="335">
        <v>5</v>
      </c>
      <c r="Y202" s="381">
        <f t="shared" si="3"/>
        <v>20840</v>
      </c>
      <c r="Z202" s="335">
        <v>0</v>
      </c>
      <c r="AA202" s="335">
        <v>0</v>
      </c>
      <c r="AB202" s="335">
        <v>0</v>
      </c>
      <c r="AF202" s="394"/>
      <c r="AH202" s="366"/>
    </row>
    <row r="203" spans="1:34" ht="14.25">
      <c r="A203" s="366" t="s">
        <v>852</v>
      </c>
      <c r="B203" s="196" t="s">
        <v>123</v>
      </c>
      <c r="C203" s="196" t="s">
        <v>86</v>
      </c>
      <c r="D203" s="335">
        <v>0</v>
      </c>
      <c r="E203" s="335">
        <v>0</v>
      </c>
      <c r="F203" s="335">
        <v>0</v>
      </c>
      <c r="G203" s="335">
        <v>0</v>
      </c>
      <c r="H203" s="335">
        <v>0</v>
      </c>
      <c r="I203" s="335">
        <v>41</v>
      </c>
      <c r="J203" s="335">
        <v>320</v>
      </c>
      <c r="K203" s="335">
        <v>125</v>
      </c>
      <c r="L203" s="335">
        <v>486</v>
      </c>
      <c r="M203" s="335">
        <v>0</v>
      </c>
      <c r="N203" s="335">
        <v>0</v>
      </c>
      <c r="O203" s="335">
        <v>0</v>
      </c>
      <c r="P203" s="335">
        <v>0</v>
      </c>
      <c r="Q203" s="335">
        <v>0</v>
      </c>
      <c r="R203" s="335">
        <v>16</v>
      </c>
      <c r="S203" s="335">
        <v>86</v>
      </c>
      <c r="T203" s="335">
        <v>28</v>
      </c>
      <c r="U203" s="335">
        <v>130</v>
      </c>
      <c r="V203" s="335">
        <v>130</v>
      </c>
      <c r="W203" s="335">
        <v>102</v>
      </c>
      <c r="X203" s="335">
        <v>102</v>
      </c>
      <c r="Y203" s="381">
        <f t="shared" si="3"/>
        <v>550884</v>
      </c>
      <c r="Z203" s="335">
        <v>0</v>
      </c>
      <c r="AA203" s="335">
        <v>0</v>
      </c>
      <c r="AB203" s="335">
        <v>0</v>
      </c>
      <c r="AF203" s="394"/>
      <c r="AH203" s="366"/>
    </row>
    <row r="204" spans="1:34" ht="28.5">
      <c r="A204" s="366" t="s">
        <v>853</v>
      </c>
      <c r="B204" s="196" t="s">
        <v>445</v>
      </c>
      <c r="C204" s="196" t="s">
        <v>86</v>
      </c>
      <c r="D204" s="335">
        <v>0</v>
      </c>
      <c r="E204" s="335">
        <v>0</v>
      </c>
      <c r="F204" s="335">
        <v>0</v>
      </c>
      <c r="G204" s="335">
        <v>0</v>
      </c>
      <c r="H204" s="335">
        <v>0</v>
      </c>
      <c r="I204" s="335">
        <v>0</v>
      </c>
      <c r="J204" s="335">
        <v>0</v>
      </c>
      <c r="K204" s="335">
        <v>151</v>
      </c>
      <c r="L204" s="335">
        <v>151</v>
      </c>
      <c r="M204" s="335">
        <v>0</v>
      </c>
      <c r="N204" s="335">
        <v>0</v>
      </c>
      <c r="O204" s="335">
        <v>0</v>
      </c>
      <c r="P204" s="335">
        <v>0</v>
      </c>
      <c r="Q204" s="335">
        <v>0</v>
      </c>
      <c r="R204" s="335">
        <v>0</v>
      </c>
      <c r="S204" s="335">
        <v>0</v>
      </c>
      <c r="T204" s="335">
        <v>36</v>
      </c>
      <c r="U204" s="335">
        <v>36</v>
      </c>
      <c r="V204" s="335">
        <v>36</v>
      </c>
      <c r="W204" s="335">
        <v>0</v>
      </c>
      <c r="X204" s="335">
        <v>0</v>
      </c>
      <c r="Y204" s="381">
        <f t="shared" si="3"/>
        <v>161676</v>
      </c>
      <c r="Z204" s="335">
        <v>0</v>
      </c>
      <c r="AA204" s="335">
        <v>0</v>
      </c>
      <c r="AB204" s="335">
        <v>0</v>
      </c>
      <c r="AF204" s="394"/>
      <c r="AH204" s="366"/>
    </row>
    <row r="205" spans="1:34" ht="14.25">
      <c r="A205" s="366" t="s">
        <v>854</v>
      </c>
      <c r="B205" s="196" t="s">
        <v>379</v>
      </c>
      <c r="C205" s="196" t="s">
        <v>86</v>
      </c>
      <c r="D205" s="335">
        <v>0</v>
      </c>
      <c r="E205" s="335">
        <v>0</v>
      </c>
      <c r="F205" s="335">
        <v>0</v>
      </c>
      <c r="G205" s="335">
        <v>0</v>
      </c>
      <c r="H205" s="335">
        <v>0</v>
      </c>
      <c r="I205" s="335">
        <v>0</v>
      </c>
      <c r="J205" s="335">
        <v>0</v>
      </c>
      <c r="K205" s="335">
        <v>63</v>
      </c>
      <c r="L205" s="335">
        <v>63</v>
      </c>
      <c r="M205" s="335">
        <v>0</v>
      </c>
      <c r="N205" s="335">
        <v>0</v>
      </c>
      <c r="O205" s="335">
        <v>0</v>
      </c>
      <c r="P205" s="335">
        <v>0</v>
      </c>
      <c r="Q205" s="335">
        <v>0</v>
      </c>
      <c r="R205" s="335">
        <v>0</v>
      </c>
      <c r="S205" s="335">
        <v>0</v>
      </c>
      <c r="T205" s="335">
        <v>20</v>
      </c>
      <c r="U205" s="335">
        <v>20</v>
      </c>
      <c r="V205" s="335">
        <v>20</v>
      </c>
      <c r="W205" s="335">
        <v>0</v>
      </c>
      <c r="X205" s="335">
        <v>0</v>
      </c>
      <c r="Y205" s="381">
        <f t="shared" si="3"/>
        <v>89820</v>
      </c>
      <c r="Z205" s="335">
        <v>0</v>
      </c>
      <c r="AA205" s="335">
        <v>0</v>
      </c>
      <c r="AB205" s="335">
        <v>0</v>
      </c>
      <c r="AF205" s="394"/>
      <c r="AH205" s="366"/>
    </row>
    <row r="206" spans="1:34" ht="28.5">
      <c r="A206" s="366" t="s">
        <v>855</v>
      </c>
      <c r="B206" s="196" t="s">
        <v>210</v>
      </c>
      <c r="C206" s="196" t="s">
        <v>607</v>
      </c>
      <c r="D206" s="335">
        <v>0</v>
      </c>
      <c r="E206" s="335">
        <v>12</v>
      </c>
      <c r="F206" s="335">
        <v>0</v>
      </c>
      <c r="G206" s="335">
        <v>0</v>
      </c>
      <c r="H206" s="335">
        <v>0</v>
      </c>
      <c r="I206" s="335">
        <v>17</v>
      </c>
      <c r="J206" s="335">
        <v>138</v>
      </c>
      <c r="K206" s="335">
        <v>0</v>
      </c>
      <c r="L206" s="335">
        <v>167</v>
      </c>
      <c r="M206" s="335">
        <v>0</v>
      </c>
      <c r="N206" s="335">
        <v>11</v>
      </c>
      <c r="O206" s="335">
        <v>0</v>
      </c>
      <c r="P206" s="335">
        <v>0</v>
      </c>
      <c r="Q206" s="335">
        <v>0</v>
      </c>
      <c r="R206" s="335">
        <v>17</v>
      </c>
      <c r="S206" s="335">
        <v>130</v>
      </c>
      <c r="T206" s="335">
        <v>0</v>
      </c>
      <c r="U206" s="335">
        <v>158</v>
      </c>
      <c r="V206" s="335">
        <v>153.6</v>
      </c>
      <c r="W206" s="335">
        <v>158</v>
      </c>
      <c r="X206" s="335">
        <v>153.6</v>
      </c>
      <c r="Y206" s="381">
        <f t="shared" si="3"/>
        <v>640204.7999999999</v>
      </c>
      <c r="Z206" s="335">
        <v>0</v>
      </c>
      <c r="AA206" s="335">
        <v>0</v>
      </c>
      <c r="AB206" s="335">
        <v>0</v>
      </c>
      <c r="AF206" s="394"/>
      <c r="AH206" s="366"/>
    </row>
    <row r="207" spans="1:34" ht="14.25">
      <c r="A207" s="366" t="s">
        <v>856</v>
      </c>
      <c r="B207" s="196" t="s">
        <v>210</v>
      </c>
      <c r="C207" s="196" t="s">
        <v>86</v>
      </c>
      <c r="D207" s="335">
        <v>0</v>
      </c>
      <c r="E207" s="335">
        <v>12</v>
      </c>
      <c r="F207" s="335">
        <v>0</v>
      </c>
      <c r="G207" s="335">
        <v>0</v>
      </c>
      <c r="H207" s="335">
        <v>0</v>
      </c>
      <c r="I207" s="335">
        <v>17</v>
      </c>
      <c r="J207" s="335">
        <v>138</v>
      </c>
      <c r="K207" s="335">
        <v>0</v>
      </c>
      <c r="L207" s="335">
        <v>167</v>
      </c>
      <c r="M207" s="335">
        <v>0</v>
      </c>
      <c r="N207" s="335">
        <v>1</v>
      </c>
      <c r="O207" s="335">
        <v>0</v>
      </c>
      <c r="P207" s="335">
        <v>0</v>
      </c>
      <c r="Q207" s="335">
        <v>0</v>
      </c>
      <c r="R207" s="335">
        <v>0</v>
      </c>
      <c r="S207" s="335">
        <v>2</v>
      </c>
      <c r="T207" s="335">
        <v>0</v>
      </c>
      <c r="U207" s="335">
        <v>3</v>
      </c>
      <c r="V207" s="335">
        <v>2.6</v>
      </c>
      <c r="W207" s="335">
        <v>3</v>
      </c>
      <c r="X207" s="335">
        <v>2.6</v>
      </c>
      <c r="Y207" s="381">
        <f t="shared" si="3"/>
        <v>10836.800000000001</v>
      </c>
      <c r="Z207" s="335">
        <v>0</v>
      </c>
      <c r="AA207" s="335">
        <v>0</v>
      </c>
      <c r="AB207" s="335">
        <v>0</v>
      </c>
      <c r="AF207" s="394"/>
      <c r="AH207" s="366"/>
    </row>
    <row r="208" spans="1:34" ht="28.5">
      <c r="A208" s="366" t="s">
        <v>857</v>
      </c>
      <c r="B208" s="196" t="s">
        <v>211</v>
      </c>
      <c r="C208" s="196" t="s">
        <v>607</v>
      </c>
      <c r="D208" s="335">
        <v>0</v>
      </c>
      <c r="E208" s="335">
        <v>19</v>
      </c>
      <c r="F208" s="335">
        <v>0</v>
      </c>
      <c r="G208" s="335">
        <v>0</v>
      </c>
      <c r="H208" s="335">
        <v>0</v>
      </c>
      <c r="I208" s="335">
        <v>22</v>
      </c>
      <c r="J208" s="335">
        <v>202</v>
      </c>
      <c r="K208" s="335">
        <v>0</v>
      </c>
      <c r="L208" s="335">
        <v>243</v>
      </c>
      <c r="M208" s="335">
        <v>0</v>
      </c>
      <c r="N208" s="335">
        <v>19</v>
      </c>
      <c r="O208" s="335">
        <v>0</v>
      </c>
      <c r="P208" s="335">
        <v>0</v>
      </c>
      <c r="Q208" s="335">
        <v>0</v>
      </c>
      <c r="R208" s="335">
        <v>20</v>
      </c>
      <c r="S208" s="335">
        <v>189</v>
      </c>
      <c r="T208" s="335">
        <v>0</v>
      </c>
      <c r="U208" s="335">
        <v>228</v>
      </c>
      <c r="V208" s="335">
        <v>220.4</v>
      </c>
      <c r="W208" s="335">
        <v>228</v>
      </c>
      <c r="X208" s="335">
        <v>220.4</v>
      </c>
      <c r="Y208" s="381">
        <f t="shared" si="3"/>
        <v>918627.2000000001</v>
      </c>
      <c r="Z208" s="335">
        <v>0</v>
      </c>
      <c r="AA208" s="335">
        <v>0</v>
      </c>
      <c r="AB208" s="335">
        <v>0</v>
      </c>
      <c r="AF208" s="394"/>
      <c r="AH208" s="366"/>
    </row>
    <row r="209" spans="1:34" ht="14.25">
      <c r="A209" s="366" t="s">
        <v>858</v>
      </c>
      <c r="B209" s="196" t="s">
        <v>211</v>
      </c>
      <c r="C209" s="196" t="s">
        <v>86</v>
      </c>
      <c r="D209" s="335">
        <v>0</v>
      </c>
      <c r="E209" s="335">
        <v>19</v>
      </c>
      <c r="F209" s="335">
        <v>0</v>
      </c>
      <c r="G209" s="335">
        <v>0</v>
      </c>
      <c r="H209" s="335">
        <v>0</v>
      </c>
      <c r="I209" s="335">
        <v>22</v>
      </c>
      <c r="J209" s="335">
        <v>202</v>
      </c>
      <c r="K209" s="335">
        <v>0</v>
      </c>
      <c r="L209" s="335">
        <v>243</v>
      </c>
      <c r="M209" s="335">
        <v>0</v>
      </c>
      <c r="N209" s="335">
        <v>0</v>
      </c>
      <c r="O209" s="335">
        <v>0</v>
      </c>
      <c r="P209" s="335">
        <v>0</v>
      </c>
      <c r="Q209" s="335">
        <v>0</v>
      </c>
      <c r="R209" s="335">
        <v>2</v>
      </c>
      <c r="S209" s="335">
        <v>3</v>
      </c>
      <c r="T209" s="335">
        <v>0</v>
      </c>
      <c r="U209" s="335">
        <v>5</v>
      </c>
      <c r="V209" s="335">
        <v>5</v>
      </c>
      <c r="W209" s="335">
        <v>5</v>
      </c>
      <c r="X209" s="335">
        <v>5</v>
      </c>
      <c r="Y209" s="381">
        <f t="shared" si="3"/>
        <v>20840</v>
      </c>
      <c r="Z209" s="335">
        <v>0</v>
      </c>
      <c r="AA209" s="335">
        <v>0</v>
      </c>
      <c r="AB209" s="335">
        <v>0</v>
      </c>
      <c r="AF209" s="394"/>
      <c r="AH209" s="366"/>
    </row>
    <row r="210" spans="1:34" ht="28.5">
      <c r="A210" s="366" t="s">
        <v>859</v>
      </c>
      <c r="B210" s="196" t="s">
        <v>270</v>
      </c>
      <c r="C210" s="196" t="s">
        <v>607</v>
      </c>
      <c r="D210" s="335">
        <v>0</v>
      </c>
      <c r="E210" s="335">
        <v>57</v>
      </c>
      <c r="F210" s="335">
        <v>0</v>
      </c>
      <c r="G210" s="335">
        <v>0</v>
      </c>
      <c r="H210" s="335">
        <v>0</v>
      </c>
      <c r="I210" s="335">
        <v>49</v>
      </c>
      <c r="J210" s="335">
        <v>469</v>
      </c>
      <c r="K210" s="335">
        <v>0</v>
      </c>
      <c r="L210" s="335">
        <v>575</v>
      </c>
      <c r="M210" s="335">
        <v>0</v>
      </c>
      <c r="N210" s="335">
        <v>46</v>
      </c>
      <c r="O210" s="335">
        <v>0</v>
      </c>
      <c r="P210" s="335">
        <v>0</v>
      </c>
      <c r="Q210" s="335">
        <v>0</v>
      </c>
      <c r="R210" s="335">
        <v>44</v>
      </c>
      <c r="S210" s="335">
        <v>417</v>
      </c>
      <c r="T210" s="335">
        <v>0</v>
      </c>
      <c r="U210" s="335">
        <v>507</v>
      </c>
      <c r="V210" s="335">
        <v>488.6</v>
      </c>
      <c r="W210" s="335">
        <v>507</v>
      </c>
      <c r="X210" s="335">
        <v>488.6</v>
      </c>
      <c r="Y210" s="381">
        <f t="shared" si="3"/>
        <v>2036484.8</v>
      </c>
      <c r="Z210" s="335">
        <v>10</v>
      </c>
      <c r="AA210" s="335">
        <v>0</v>
      </c>
      <c r="AB210" s="335">
        <v>0</v>
      </c>
      <c r="AF210" s="394"/>
      <c r="AH210" s="366"/>
    </row>
    <row r="211" spans="1:34" ht="14.25">
      <c r="A211" s="366" t="s">
        <v>860</v>
      </c>
      <c r="B211" s="196" t="s">
        <v>270</v>
      </c>
      <c r="C211" s="196" t="s">
        <v>86</v>
      </c>
      <c r="D211" s="335">
        <v>0</v>
      </c>
      <c r="E211" s="335">
        <v>57</v>
      </c>
      <c r="F211" s="335">
        <v>0</v>
      </c>
      <c r="G211" s="335">
        <v>0</v>
      </c>
      <c r="H211" s="335">
        <v>0</v>
      </c>
      <c r="I211" s="335">
        <v>49</v>
      </c>
      <c r="J211" s="335">
        <v>469</v>
      </c>
      <c r="K211" s="335">
        <v>0</v>
      </c>
      <c r="L211" s="335">
        <v>575</v>
      </c>
      <c r="M211" s="335">
        <v>0</v>
      </c>
      <c r="N211" s="335">
        <v>3</v>
      </c>
      <c r="O211" s="335">
        <v>0</v>
      </c>
      <c r="P211" s="335">
        <v>0</v>
      </c>
      <c r="Q211" s="335">
        <v>0</v>
      </c>
      <c r="R211" s="335">
        <v>0</v>
      </c>
      <c r="S211" s="335">
        <v>20</v>
      </c>
      <c r="T211" s="335">
        <v>0</v>
      </c>
      <c r="U211" s="335">
        <v>23</v>
      </c>
      <c r="V211" s="335">
        <v>21.8</v>
      </c>
      <c r="W211" s="335">
        <v>23</v>
      </c>
      <c r="X211" s="335">
        <v>21.8</v>
      </c>
      <c r="Y211" s="381">
        <f t="shared" si="3"/>
        <v>90862.40000000001</v>
      </c>
      <c r="Z211" s="335">
        <v>0</v>
      </c>
      <c r="AA211" s="335">
        <v>0</v>
      </c>
      <c r="AB211" s="335">
        <v>0</v>
      </c>
      <c r="AF211" s="394"/>
      <c r="AH211" s="366"/>
    </row>
    <row r="212" spans="1:34" ht="14.25">
      <c r="A212" s="366" t="s">
        <v>861</v>
      </c>
      <c r="B212" s="196" t="s">
        <v>124</v>
      </c>
      <c r="C212" s="196" t="s">
        <v>86</v>
      </c>
      <c r="D212" s="335">
        <v>0</v>
      </c>
      <c r="E212" s="335">
        <v>0</v>
      </c>
      <c r="F212" s="335">
        <v>0</v>
      </c>
      <c r="G212" s="335">
        <v>0</v>
      </c>
      <c r="H212" s="335">
        <v>0</v>
      </c>
      <c r="I212" s="335">
        <v>0</v>
      </c>
      <c r="J212" s="335">
        <v>0</v>
      </c>
      <c r="K212" s="335">
        <v>743</v>
      </c>
      <c r="L212" s="335">
        <v>743</v>
      </c>
      <c r="M212" s="335">
        <v>0</v>
      </c>
      <c r="N212" s="335">
        <v>0</v>
      </c>
      <c r="O212" s="335">
        <v>0</v>
      </c>
      <c r="P212" s="335">
        <v>0</v>
      </c>
      <c r="Q212" s="335">
        <v>0</v>
      </c>
      <c r="R212" s="335">
        <v>0</v>
      </c>
      <c r="S212" s="335">
        <v>0</v>
      </c>
      <c r="T212" s="335">
        <v>186</v>
      </c>
      <c r="U212" s="335">
        <v>186</v>
      </c>
      <c r="V212" s="335">
        <v>186</v>
      </c>
      <c r="W212" s="335">
        <v>0</v>
      </c>
      <c r="X212" s="335">
        <v>0</v>
      </c>
      <c r="Y212" s="381">
        <f t="shared" si="3"/>
        <v>835326</v>
      </c>
      <c r="Z212" s="335">
        <v>0</v>
      </c>
      <c r="AA212" s="335">
        <v>0</v>
      </c>
      <c r="AB212" s="335">
        <v>0</v>
      </c>
      <c r="AF212" s="394"/>
      <c r="AH212" s="366"/>
    </row>
    <row r="213" spans="1:34" ht="14.25">
      <c r="A213" s="366" t="s">
        <v>862</v>
      </c>
      <c r="B213" s="196" t="s">
        <v>212</v>
      </c>
      <c r="C213" s="196" t="s">
        <v>86</v>
      </c>
      <c r="D213" s="335">
        <v>0</v>
      </c>
      <c r="E213" s="335">
        <v>0</v>
      </c>
      <c r="F213" s="335">
        <v>29</v>
      </c>
      <c r="G213" s="335">
        <v>0</v>
      </c>
      <c r="H213" s="335">
        <v>0</v>
      </c>
      <c r="I213" s="335">
        <v>0</v>
      </c>
      <c r="J213" s="335">
        <v>169</v>
      </c>
      <c r="K213" s="335">
        <v>0</v>
      </c>
      <c r="L213" s="335">
        <v>198</v>
      </c>
      <c r="M213" s="335">
        <v>0</v>
      </c>
      <c r="N213" s="335">
        <v>0</v>
      </c>
      <c r="O213" s="335">
        <v>10</v>
      </c>
      <c r="P213" s="335">
        <v>0</v>
      </c>
      <c r="Q213" s="335">
        <v>0</v>
      </c>
      <c r="R213" s="335">
        <v>0</v>
      </c>
      <c r="S213" s="335">
        <v>73</v>
      </c>
      <c r="T213" s="335">
        <v>0</v>
      </c>
      <c r="U213" s="335">
        <v>83</v>
      </c>
      <c r="V213" s="335">
        <v>78</v>
      </c>
      <c r="W213" s="335">
        <v>83</v>
      </c>
      <c r="X213" s="335">
        <v>78</v>
      </c>
      <c r="Y213" s="381">
        <f t="shared" si="3"/>
        <v>325104</v>
      </c>
      <c r="Z213" s="335">
        <v>0</v>
      </c>
      <c r="AA213" s="335">
        <v>0</v>
      </c>
      <c r="AB213" s="335">
        <v>0</v>
      </c>
      <c r="AF213" s="394"/>
      <c r="AH213" s="366"/>
    </row>
    <row r="214" spans="1:34" ht="28.5">
      <c r="A214" s="366" t="s">
        <v>863</v>
      </c>
      <c r="B214" s="196" t="s">
        <v>213</v>
      </c>
      <c r="C214" s="196" t="s">
        <v>607</v>
      </c>
      <c r="D214" s="335">
        <v>14</v>
      </c>
      <c r="E214" s="335">
        <v>0</v>
      </c>
      <c r="F214" s="335">
        <v>0</v>
      </c>
      <c r="G214" s="335">
        <v>0</v>
      </c>
      <c r="H214" s="335">
        <v>0</v>
      </c>
      <c r="I214" s="335">
        <v>10</v>
      </c>
      <c r="J214" s="335">
        <v>62</v>
      </c>
      <c r="K214" s="335">
        <v>0</v>
      </c>
      <c r="L214" s="335">
        <v>86</v>
      </c>
      <c r="M214" s="335">
        <v>2</v>
      </c>
      <c r="N214" s="335">
        <v>0</v>
      </c>
      <c r="O214" s="335">
        <v>0</v>
      </c>
      <c r="P214" s="335">
        <v>0</v>
      </c>
      <c r="Q214" s="335">
        <v>0</v>
      </c>
      <c r="R214" s="335">
        <v>3</v>
      </c>
      <c r="S214" s="335">
        <v>20</v>
      </c>
      <c r="T214" s="335">
        <v>0</v>
      </c>
      <c r="U214" s="335">
        <v>25</v>
      </c>
      <c r="V214" s="335">
        <v>24</v>
      </c>
      <c r="W214" s="335">
        <v>25</v>
      </c>
      <c r="X214" s="335">
        <v>24</v>
      </c>
      <c r="Y214" s="381">
        <f t="shared" si="3"/>
        <v>100032</v>
      </c>
      <c r="Z214" s="335">
        <v>0</v>
      </c>
      <c r="AA214" s="335">
        <v>0</v>
      </c>
      <c r="AB214" s="335">
        <v>0</v>
      </c>
      <c r="AF214" s="394"/>
      <c r="AH214" s="366"/>
    </row>
    <row r="215" spans="1:34" ht="14.25">
      <c r="A215" s="366" t="s">
        <v>864</v>
      </c>
      <c r="B215" s="196" t="s">
        <v>213</v>
      </c>
      <c r="C215" s="196" t="s">
        <v>608</v>
      </c>
      <c r="D215" s="335">
        <v>14</v>
      </c>
      <c r="E215" s="335">
        <v>0</v>
      </c>
      <c r="F215" s="335">
        <v>0</v>
      </c>
      <c r="G215" s="335">
        <v>0</v>
      </c>
      <c r="H215" s="335">
        <v>0</v>
      </c>
      <c r="I215" s="335">
        <v>10</v>
      </c>
      <c r="J215" s="335">
        <v>62</v>
      </c>
      <c r="K215" s="335">
        <v>0</v>
      </c>
      <c r="L215" s="335">
        <v>86</v>
      </c>
      <c r="M215" s="335">
        <v>0</v>
      </c>
      <c r="N215" s="335">
        <v>0</v>
      </c>
      <c r="O215" s="335">
        <v>0</v>
      </c>
      <c r="P215" s="335">
        <v>0</v>
      </c>
      <c r="Q215" s="335">
        <v>0</v>
      </c>
      <c r="R215" s="335">
        <v>0</v>
      </c>
      <c r="S215" s="335">
        <v>1</v>
      </c>
      <c r="T215" s="335">
        <v>0</v>
      </c>
      <c r="U215" s="335">
        <v>1</v>
      </c>
      <c r="V215" s="335">
        <v>1</v>
      </c>
      <c r="W215" s="335">
        <v>1</v>
      </c>
      <c r="X215" s="335">
        <v>1</v>
      </c>
      <c r="Y215" s="381">
        <f t="shared" si="3"/>
        <v>4168</v>
      </c>
      <c r="Z215" s="335">
        <v>0</v>
      </c>
      <c r="AA215" s="335">
        <v>0</v>
      </c>
      <c r="AB215" s="335">
        <v>0</v>
      </c>
      <c r="AF215" s="394"/>
      <c r="AH215" s="366"/>
    </row>
    <row r="216" spans="1:34" ht="14.25">
      <c r="A216" s="366" t="s">
        <v>865</v>
      </c>
      <c r="B216" s="196" t="s">
        <v>213</v>
      </c>
      <c r="C216" s="196" t="s">
        <v>86</v>
      </c>
      <c r="D216" s="335">
        <v>14</v>
      </c>
      <c r="E216" s="335">
        <v>0</v>
      </c>
      <c r="F216" s="335">
        <v>0</v>
      </c>
      <c r="G216" s="335">
        <v>0</v>
      </c>
      <c r="H216" s="335">
        <v>0</v>
      </c>
      <c r="I216" s="335">
        <v>10</v>
      </c>
      <c r="J216" s="335">
        <v>62</v>
      </c>
      <c r="K216" s="335">
        <v>0</v>
      </c>
      <c r="L216" s="335">
        <v>86</v>
      </c>
      <c r="M216" s="335">
        <v>5</v>
      </c>
      <c r="N216" s="335">
        <v>0</v>
      </c>
      <c r="O216" s="335">
        <v>0</v>
      </c>
      <c r="P216" s="335">
        <v>0</v>
      </c>
      <c r="Q216" s="335">
        <v>0</v>
      </c>
      <c r="R216" s="335">
        <v>1</v>
      </c>
      <c r="S216" s="335">
        <v>22</v>
      </c>
      <c r="T216" s="335">
        <v>0</v>
      </c>
      <c r="U216" s="335">
        <v>28</v>
      </c>
      <c r="V216" s="335">
        <v>25.5</v>
      </c>
      <c r="W216" s="335">
        <v>28</v>
      </c>
      <c r="X216" s="335">
        <v>25.5</v>
      </c>
      <c r="Y216" s="381">
        <f t="shared" si="3"/>
        <v>106284</v>
      </c>
      <c r="Z216" s="335">
        <v>0</v>
      </c>
      <c r="AA216" s="335">
        <v>0</v>
      </c>
      <c r="AB216" s="335">
        <v>0</v>
      </c>
      <c r="AF216" s="394"/>
      <c r="AH216" s="366"/>
    </row>
    <row r="217" spans="1:34" ht="28.5">
      <c r="A217" s="366" t="s">
        <v>866</v>
      </c>
      <c r="B217" s="196" t="s">
        <v>214</v>
      </c>
      <c r="C217" s="196" t="s">
        <v>607</v>
      </c>
      <c r="D217" s="335">
        <v>0</v>
      </c>
      <c r="E217" s="335">
        <v>16</v>
      </c>
      <c r="F217" s="335">
        <v>0</v>
      </c>
      <c r="G217" s="335">
        <v>0</v>
      </c>
      <c r="H217" s="335">
        <v>0</v>
      </c>
      <c r="I217" s="335">
        <v>16</v>
      </c>
      <c r="J217" s="335">
        <v>143</v>
      </c>
      <c r="K217" s="335">
        <v>0</v>
      </c>
      <c r="L217" s="335">
        <v>175</v>
      </c>
      <c r="M217" s="335">
        <v>0</v>
      </c>
      <c r="N217" s="335">
        <v>15</v>
      </c>
      <c r="O217" s="335">
        <v>0</v>
      </c>
      <c r="P217" s="335">
        <v>0</v>
      </c>
      <c r="Q217" s="335">
        <v>0</v>
      </c>
      <c r="R217" s="335">
        <v>16</v>
      </c>
      <c r="S217" s="335">
        <v>135</v>
      </c>
      <c r="T217" s="335">
        <v>0</v>
      </c>
      <c r="U217" s="335">
        <v>166</v>
      </c>
      <c r="V217" s="335">
        <v>160</v>
      </c>
      <c r="W217" s="335">
        <v>166</v>
      </c>
      <c r="X217" s="335">
        <v>160</v>
      </c>
      <c r="Y217" s="381">
        <f t="shared" si="3"/>
        <v>666880</v>
      </c>
      <c r="Z217" s="335">
        <v>0</v>
      </c>
      <c r="AA217" s="335">
        <v>0</v>
      </c>
      <c r="AB217" s="335">
        <v>0</v>
      </c>
      <c r="AF217" s="394"/>
      <c r="AH217" s="366"/>
    </row>
    <row r="218" spans="1:34" ht="14.25">
      <c r="A218" s="366" t="s">
        <v>867</v>
      </c>
      <c r="B218" s="196" t="s">
        <v>214</v>
      </c>
      <c r="C218" s="196" t="s">
        <v>86</v>
      </c>
      <c r="D218" s="335">
        <v>0</v>
      </c>
      <c r="E218" s="335">
        <v>16</v>
      </c>
      <c r="F218" s="335">
        <v>0</v>
      </c>
      <c r="G218" s="335">
        <v>0</v>
      </c>
      <c r="H218" s="335">
        <v>0</v>
      </c>
      <c r="I218" s="335">
        <v>16</v>
      </c>
      <c r="J218" s="335">
        <v>143</v>
      </c>
      <c r="K218" s="335">
        <v>0</v>
      </c>
      <c r="L218" s="335">
        <v>175</v>
      </c>
      <c r="M218" s="335">
        <v>0</v>
      </c>
      <c r="N218" s="335">
        <v>0</v>
      </c>
      <c r="O218" s="335">
        <v>0</v>
      </c>
      <c r="P218" s="335">
        <v>0</v>
      </c>
      <c r="Q218" s="335">
        <v>0</v>
      </c>
      <c r="R218" s="335">
        <v>0</v>
      </c>
      <c r="S218" s="335">
        <v>6</v>
      </c>
      <c r="T218" s="335">
        <v>0</v>
      </c>
      <c r="U218" s="335">
        <v>6</v>
      </c>
      <c r="V218" s="335">
        <v>6</v>
      </c>
      <c r="W218" s="335">
        <v>6</v>
      </c>
      <c r="X218" s="335">
        <v>6</v>
      </c>
      <c r="Y218" s="381">
        <f t="shared" si="3"/>
        <v>25008</v>
      </c>
      <c r="Z218" s="335">
        <v>0</v>
      </c>
      <c r="AA218" s="335">
        <v>0</v>
      </c>
      <c r="AB218" s="335">
        <v>0</v>
      </c>
      <c r="AF218" s="394"/>
      <c r="AH218" s="366"/>
    </row>
    <row r="219" spans="1:34" ht="14.25">
      <c r="A219" s="366" t="s">
        <v>868</v>
      </c>
      <c r="B219" s="196" t="s">
        <v>380</v>
      </c>
      <c r="C219" s="196" t="s">
        <v>86</v>
      </c>
      <c r="D219" s="335">
        <v>5</v>
      </c>
      <c r="E219" s="335">
        <v>0</v>
      </c>
      <c r="F219" s="335">
        <v>0</v>
      </c>
      <c r="G219" s="335">
        <v>0</v>
      </c>
      <c r="H219" s="335">
        <v>0</v>
      </c>
      <c r="I219" s="335">
        <v>8</v>
      </c>
      <c r="J219" s="335">
        <v>42</v>
      </c>
      <c r="K219" s="335">
        <v>0</v>
      </c>
      <c r="L219" s="335">
        <v>55</v>
      </c>
      <c r="M219" s="335">
        <v>1</v>
      </c>
      <c r="N219" s="335">
        <v>0</v>
      </c>
      <c r="O219" s="335">
        <v>0</v>
      </c>
      <c r="P219" s="335">
        <v>0</v>
      </c>
      <c r="Q219" s="335">
        <v>0</v>
      </c>
      <c r="R219" s="335">
        <v>4</v>
      </c>
      <c r="S219" s="335">
        <v>10</v>
      </c>
      <c r="T219" s="335">
        <v>0</v>
      </c>
      <c r="U219" s="335">
        <v>15</v>
      </c>
      <c r="V219" s="335">
        <v>14.5</v>
      </c>
      <c r="W219" s="335">
        <v>15</v>
      </c>
      <c r="X219" s="335">
        <v>14.5</v>
      </c>
      <c r="Y219" s="381">
        <f t="shared" si="3"/>
        <v>60436</v>
      </c>
      <c r="Z219" s="335">
        <v>0</v>
      </c>
      <c r="AA219" s="335">
        <v>0</v>
      </c>
      <c r="AB219" s="335">
        <v>0</v>
      </c>
      <c r="AF219" s="394"/>
      <c r="AH219" s="366"/>
    </row>
    <row r="220" spans="1:34" ht="14.25">
      <c r="A220" s="366" t="s">
        <v>869</v>
      </c>
      <c r="B220" s="196" t="s">
        <v>476</v>
      </c>
      <c r="C220" s="196" t="s">
        <v>86</v>
      </c>
      <c r="D220" s="335">
        <v>14</v>
      </c>
      <c r="E220" s="335">
        <v>0</v>
      </c>
      <c r="F220" s="335">
        <v>0</v>
      </c>
      <c r="G220" s="335">
        <v>0</v>
      </c>
      <c r="H220" s="335">
        <v>0</v>
      </c>
      <c r="I220" s="335">
        <v>15</v>
      </c>
      <c r="J220" s="335">
        <v>78</v>
      </c>
      <c r="K220" s="335">
        <v>0</v>
      </c>
      <c r="L220" s="335">
        <v>107</v>
      </c>
      <c r="M220" s="335">
        <v>6</v>
      </c>
      <c r="N220" s="335">
        <v>0</v>
      </c>
      <c r="O220" s="335">
        <v>0</v>
      </c>
      <c r="P220" s="335">
        <v>0</v>
      </c>
      <c r="Q220" s="335">
        <v>0</v>
      </c>
      <c r="R220" s="335">
        <v>6</v>
      </c>
      <c r="S220" s="335">
        <v>34</v>
      </c>
      <c r="T220" s="335">
        <v>0</v>
      </c>
      <c r="U220" s="335">
        <v>46</v>
      </c>
      <c r="V220" s="335">
        <v>43</v>
      </c>
      <c r="W220" s="335">
        <v>46</v>
      </c>
      <c r="X220" s="335">
        <v>43</v>
      </c>
      <c r="Y220" s="381">
        <f t="shared" si="3"/>
        <v>179224</v>
      </c>
      <c r="Z220" s="335">
        <v>0</v>
      </c>
      <c r="AA220" s="335">
        <v>0</v>
      </c>
      <c r="AB220" s="335">
        <v>0</v>
      </c>
      <c r="AF220" s="394"/>
      <c r="AH220" s="366"/>
    </row>
    <row r="221" spans="1:34" ht="14.25">
      <c r="A221" s="366" t="s">
        <v>870</v>
      </c>
      <c r="B221" s="196" t="s">
        <v>156</v>
      </c>
      <c r="C221" s="196" t="s">
        <v>86</v>
      </c>
      <c r="D221" s="335">
        <v>0</v>
      </c>
      <c r="E221" s="335">
        <v>0</v>
      </c>
      <c r="F221" s="335">
        <v>0</v>
      </c>
      <c r="G221" s="335">
        <v>0</v>
      </c>
      <c r="H221" s="335">
        <v>0</v>
      </c>
      <c r="I221" s="335">
        <v>40</v>
      </c>
      <c r="J221" s="335">
        <v>338</v>
      </c>
      <c r="K221" s="335">
        <v>173</v>
      </c>
      <c r="L221" s="335">
        <v>551</v>
      </c>
      <c r="M221" s="335">
        <v>0</v>
      </c>
      <c r="N221" s="335">
        <v>0</v>
      </c>
      <c r="O221" s="335">
        <v>0</v>
      </c>
      <c r="P221" s="335">
        <v>0</v>
      </c>
      <c r="Q221" s="335">
        <v>0</v>
      </c>
      <c r="R221" s="335">
        <v>12</v>
      </c>
      <c r="S221" s="335">
        <v>89</v>
      </c>
      <c r="T221" s="335">
        <v>42</v>
      </c>
      <c r="U221" s="335">
        <v>143</v>
      </c>
      <c r="V221" s="335">
        <v>143</v>
      </c>
      <c r="W221" s="335">
        <v>101</v>
      </c>
      <c r="X221" s="335">
        <v>101</v>
      </c>
      <c r="Y221" s="381">
        <f t="shared" si="3"/>
        <v>609590</v>
      </c>
      <c r="Z221" s="335">
        <v>0</v>
      </c>
      <c r="AA221" s="335">
        <v>0</v>
      </c>
      <c r="AB221" s="335">
        <v>0</v>
      </c>
      <c r="AF221" s="394"/>
      <c r="AH221" s="366"/>
    </row>
    <row r="222" spans="1:34" ht="14.25">
      <c r="A222" s="366" t="s">
        <v>871</v>
      </c>
      <c r="B222" s="196" t="s">
        <v>295</v>
      </c>
      <c r="C222" s="196" t="s">
        <v>86</v>
      </c>
      <c r="D222" s="335">
        <v>23</v>
      </c>
      <c r="E222" s="335">
        <v>0</v>
      </c>
      <c r="F222" s="335">
        <v>0</v>
      </c>
      <c r="G222" s="335">
        <v>0</v>
      </c>
      <c r="H222" s="335">
        <v>0</v>
      </c>
      <c r="I222" s="335">
        <v>24</v>
      </c>
      <c r="J222" s="335">
        <v>150</v>
      </c>
      <c r="K222" s="335">
        <v>0</v>
      </c>
      <c r="L222" s="335">
        <v>197</v>
      </c>
      <c r="M222" s="335">
        <v>9</v>
      </c>
      <c r="N222" s="335">
        <v>0</v>
      </c>
      <c r="O222" s="335">
        <v>0</v>
      </c>
      <c r="P222" s="335">
        <v>0</v>
      </c>
      <c r="Q222" s="335">
        <v>0</v>
      </c>
      <c r="R222" s="335">
        <v>10</v>
      </c>
      <c r="S222" s="335">
        <v>78</v>
      </c>
      <c r="T222" s="335">
        <v>0</v>
      </c>
      <c r="U222" s="335">
        <v>97</v>
      </c>
      <c r="V222" s="335">
        <v>92.5</v>
      </c>
      <c r="W222" s="335">
        <v>97</v>
      </c>
      <c r="X222" s="335">
        <v>92.5</v>
      </c>
      <c r="Y222" s="381">
        <f t="shared" si="3"/>
        <v>385540</v>
      </c>
      <c r="Z222" s="335">
        <v>0</v>
      </c>
      <c r="AA222" s="335">
        <v>0</v>
      </c>
      <c r="AB222" s="335">
        <v>0</v>
      </c>
      <c r="AF222" s="394"/>
      <c r="AH222" s="366"/>
    </row>
    <row r="223" spans="1:34" ht="14.25">
      <c r="A223" s="366" t="s">
        <v>872</v>
      </c>
      <c r="B223" s="196" t="s">
        <v>296</v>
      </c>
      <c r="C223" s="196" t="s">
        <v>86</v>
      </c>
      <c r="D223" s="335">
        <v>26</v>
      </c>
      <c r="E223" s="335">
        <v>0</v>
      </c>
      <c r="F223" s="335">
        <v>0</v>
      </c>
      <c r="G223" s="335">
        <v>0</v>
      </c>
      <c r="H223" s="335">
        <v>0</v>
      </c>
      <c r="I223" s="335">
        <v>28</v>
      </c>
      <c r="J223" s="335">
        <v>197</v>
      </c>
      <c r="K223" s="335">
        <v>0</v>
      </c>
      <c r="L223" s="335">
        <v>251</v>
      </c>
      <c r="M223" s="335">
        <v>3</v>
      </c>
      <c r="N223" s="335">
        <v>0</v>
      </c>
      <c r="O223" s="335">
        <v>0</v>
      </c>
      <c r="P223" s="335">
        <v>0</v>
      </c>
      <c r="Q223" s="335">
        <v>0</v>
      </c>
      <c r="R223" s="335">
        <v>7</v>
      </c>
      <c r="S223" s="335">
        <v>28</v>
      </c>
      <c r="T223" s="335">
        <v>0</v>
      </c>
      <c r="U223" s="335">
        <v>38</v>
      </c>
      <c r="V223" s="335">
        <v>36.5</v>
      </c>
      <c r="W223" s="335">
        <v>38</v>
      </c>
      <c r="X223" s="335">
        <v>36.5</v>
      </c>
      <c r="Y223" s="381">
        <f t="shared" si="3"/>
        <v>152132</v>
      </c>
      <c r="Z223" s="335">
        <v>0</v>
      </c>
      <c r="AA223" s="335">
        <v>0</v>
      </c>
      <c r="AB223" s="335">
        <v>0</v>
      </c>
      <c r="AF223" s="394"/>
      <c r="AH223" s="366"/>
    </row>
    <row r="224" spans="1:34" ht="14.25">
      <c r="A224" s="366" t="s">
        <v>873</v>
      </c>
      <c r="B224" s="196" t="s">
        <v>622</v>
      </c>
      <c r="C224" s="196" t="s">
        <v>86</v>
      </c>
      <c r="D224" s="335">
        <v>0</v>
      </c>
      <c r="E224" s="335">
        <v>0</v>
      </c>
      <c r="F224" s="335">
        <v>0</v>
      </c>
      <c r="G224" s="335">
        <v>0</v>
      </c>
      <c r="H224" s="335">
        <v>0</v>
      </c>
      <c r="I224" s="335">
        <v>1</v>
      </c>
      <c r="J224" s="335">
        <v>17</v>
      </c>
      <c r="K224" s="335">
        <v>0</v>
      </c>
      <c r="L224" s="335">
        <v>18</v>
      </c>
      <c r="M224" s="335">
        <v>0</v>
      </c>
      <c r="N224" s="335">
        <v>0</v>
      </c>
      <c r="O224" s="335">
        <v>0</v>
      </c>
      <c r="P224" s="335">
        <v>0</v>
      </c>
      <c r="Q224" s="335">
        <v>0</v>
      </c>
      <c r="R224" s="335">
        <v>1</v>
      </c>
      <c r="S224" s="335">
        <v>10</v>
      </c>
      <c r="T224" s="335">
        <v>0</v>
      </c>
      <c r="U224" s="335">
        <v>11</v>
      </c>
      <c r="V224" s="335">
        <v>11</v>
      </c>
      <c r="W224" s="335">
        <v>11</v>
      </c>
      <c r="X224" s="335">
        <v>11</v>
      </c>
      <c r="Y224" s="381">
        <f t="shared" si="3"/>
        <v>45848</v>
      </c>
      <c r="Z224" s="335">
        <v>0</v>
      </c>
      <c r="AA224" s="335">
        <v>0</v>
      </c>
      <c r="AB224" s="335">
        <v>0</v>
      </c>
      <c r="AF224" s="394"/>
      <c r="AH224" s="366"/>
    </row>
    <row r="225" spans="1:34" ht="28.5">
      <c r="A225" s="366" t="s">
        <v>874</v>
      </c>
      <c r="B225" s="196" t="s">
        <v>531</v>
      </c>
      <c r="C225" s="196" t="s">
        <v>607</v>
      </c>
      <c r="D225" s="335">
        <v>14</v>
      </c>
      <c r="E225" s="335">
        <v>0</v>
      </c>
      <c r="F225" s="335">
        <v>0</v>
      </c>
      <c r="G225" s="335">
        <v>0</v>
      </c>
      <c r="H225" s="335">
        <v>0</v>
      </c>
      <c r="I225" s="335">
        <v>10</v>
      </c>
      <c r="J225" s="335">
        <v>58</v>
      </c>
      <c r="K225" s="335">
        <v>0</v>
      </c>
      <c r="L225" s="335">
        <v>82</v>
      </c>
      <c r="M225" s="335">
        <v>1</v>
      </c>
      <c r="N225" s="335">
        <v>0</v>
      </c>
      <c r="O225" s="335">
        <v>0</v>
      </c>
      <c r="P225" s="335">
        <v>0</v>
      </c>
      <c r="Q225" s="335">
        <v>0</v>
      </c>
      <c r="R225" s="335">
        <v>0</v>
      </c>
      <c r="S225" s="335">
        <v>3</v>
      </c>
      <c r="T225" s="335">
        <v>0</v>
      </c>
      <c r="U225" s="335">
        <v>4</v>
      </c>
      <c r="V225" s="335">
        <v>3.5</v>
      </c>
      <c r="W225" s="335">
        <v>4</v>
      </c>
      <c r="X225" s="335">
        <v>3.5</v>
      </c>
      <c r="Y225" s="381">
        <f t="shared" si="3"/>
        <v>14588</v>
      </c>
      <c r="Z225" s="335">
        <v>0</v>
      </c>
      <c r="AA225" s="335">
        <v>0</v>
      </c>
      <c r="AB225" s="335">
        <v>0</v>
      </c>
      <c r="AF225" s="394"/>
      <c r="AH225" s="366"/>
    </row>
    <row r="226" spans="1:34" ht="28.5">
      <c r="A226" s="366" t="s">
        <v>875</v>
      </c>
      <c r="B226" s="196" t="s">
        <v>531</v>
      </c>
      <c r="C226" s="196" t="s">
        <v>86</v>
      </c>
      <c r="D226" s="335">
        <v>14</v>
      </c>
      <c r="E226" s="335">
        <v>0</v>
      </c>
      <c r="F226" s="335">
        <v>0</v>
      </c>
      <c r="G226" s="335">
        <v>0</v>
      </c>
      <c r="H226" s="335">
        <v>0</v>
      </c>
      <c r="I226" s="335">
        <v>10</v>
      </c>
      <c r="J226" s="335">
        <v>58</v>
      </c>
      <c r="K226" s="335">
        <v>0</v>
      </c>
      <c r="L226" s="335">
        <v>82</v>
      </c>
      <c r="M226" s="335">
        <v>2</v>
      </c>
      <c r="N226" s="335">
        <v>0</v>
      </c>
      <c r="O226" s="335">
        <v>0</v>
      </c>
      <c r="P226" s="335">
        <v>0</v>
      </c>
      <c r="Q226" s="335">
        <v>0</v>
      </c>
      <c r="R226" s="335">
        <v>3</v>
      </c>
      <c r="S226" s="335">
        <v>14</v>
      </c>
      <c r="T226" s="335">
        <v>0</v>
      </c>
      <c r="U226" s="335">
        <v>19</v>
      </c>
      <c r="V226" s="335">
        <v>18</v>
      </c>
      <c r="W226" s="335">
        <v>19</v>
      </c>
      <c r="X226" s="335">
        <v>18</v>
      </c>
      <c r="Y226" s="381">
        <f t="shared" si="3"/>
        <v>75024</v>
      </c>
      <c r="Z226" s="335">
        <v>0</v>
      </c>
      <c r="AA226" s="335">
        <v>0</v>
      </c>
      <c r="AB226" s="335">
        <v>0</v>
      </c>
      <c r="AF226" s="394"/>
      <c r="AH226" s="366"/>
    </row>
    <row r="227" spans="1:34" ht="14.25">
      <c r="A227" s="366" t="s">
        <v>876</v>
      </c>
      <c r="B227" s="196" t="s">
        <v>215</v>
      </c>
      <c r="C227" s="196" t="s">
        <v>86</v>
      </c>
      <c r="D227" s="335">
        <v>25</v>
      </c>
      <c r="E227" s="335">
        <v>0</v>
      </c>
      <c r="F227" s="335">
        <v>0</v>
      </c>
      <c r="G227" s="335">
        <v>0</v>
      </c>
      <c r="H227" s="335">
        <v>0</v>
      </c>
      <c r="I227" s="335">
        <v>31</v>
      </c>
      <c r="J227" s="335">
        <v>174</v>
      </c>
      <c r="K227" s="335">
        <v>0</v>
      </c>
      <c r="L227" s="335">
        <v>230</v>
      </c>
      <c r="M227" s="335">
        <v>5</v>
      </c>
      <c r="N227" s="335">
        <v>0</v>
      </c>
      <c r="O227" s="335">
        <v>0</v>
      </c>
      <c r="P227" s="335">
        <v>0</v>
      </c>
      <c r="Q227" s="335">
        <v>0</v>
      </c>
      <c r="R227" s="335">
        <v>13</v>
      </c>
      <c r="S227" s="335">
        <v>37</v>
      </c>
      <c r="T227" s="335">
        <v>0</v>
      </c>
      <c r="U227" s="335">
        <v>55</v>
      </c>
      <c r="V227" s="335">
        <v>52.5</v>
      </c>
      <c r="W227" s="335">
        <v>55</v>
      </c>
      <c r="X227" s="335">
        <v>52.5</v>
      </c>
      <c r="Y227" s="381">
        <f t="shared" si="3"/>
        <v>218820</v>
      </c>
      <c r="Z227" s="335">
        <v>0</v>
      </c>
      <c r="AA227" s="335">
        <v>0</v>
      </c>
      <c r="AB227" s="335">
        <v>0</v>
      </c>
      <c r="AF227" s="394"/>
      <c r="AH227" s="366"/>
    </row>
    <row r="228" spans="1:34" ht="28.5">
      <c r="A228" s="366" t="s">
        <v>877</v>
      </c>
      <c r="B228" s="196" t="s">
        <v>157</v>
      </c>
      <c r="C228" s="196" t="s">
        <v>607</v>
      </c>
      <c r="D228" s="335">
        <v>0</v>
      </c>
      <c r="E228" s="335">
        <v>19</v>
      </c>
      <c r="F228" s="335">
        <v>0</v>
      </c>
      <c r="G228" s="335">
        <v>0</v>
      </c>
      <c r="H228" s="335">
        <v>0</v>
      </c>
      <c r="I228" s="335">
        <v>15</v>
      </c>
      <c r="J228" s="335">
        <v>192</v>
      </c>
      <c r="K228" s="335">
        <v>0</v>
      </c>
      <c r="L228" s="335">
        <v>226</v>
      </c>
      <c r="M228" s="335">
        <v>0</v>
      </c>
      <c r="N228" s="335">
        <v>16</v>
      </c>
      <c r="O228" s="335">
        <v>0</v>
      </c>
      <c r="P228" s="335">
        <v>0</v>
      </c>
      <c r="Q228" s="335">
        <v>0</v>
      </c>
      <c r="R228" s="335">
        <v>14</v>
      </c>
      <c r="S228" s="335">
        <v>180</v>
      </c>
      <c r="T228" s="335">
        <v>0</v>
      </c>
      <c r="U228" s="335">
        <v>210</v>
      </c>
      <c r="V228" s="335">
        <v>203.6</v>
      </c>
      <c r="W228" s="335">
        <v>210</v>
      </c>
      <c r="X228" s="335">
        <v>203.6</v>
      </c>
      <c r="Y228" s="381">
        <f t="shared" si="3"/>
        <v>848604.7999999999</v>
      </c>
      <c r="Z228" s="335">
        <v>6</v>
      </c>
      <c r="AA228" s="335">
        <v>0</v>
      </c>
      <c r="AB228" s="335">
        <v>0</v>
      </c>
      <c r="AF228" s="394"/>
      <c r="AH228" s="366"/>
    </row>
    <row r="229" spans="1:34" ht="14.25">
      <c r="A229" s="366" t="s">
        <v>878</v>
      </c>
      <c r="B229" s="196" t="s">
        <v>157</v>
      </c>
      <c r="C229" s="196" t="s">
        <v>86</v>
      </c>
      <c r="D229" s="335">
        <v>0</v>
      </c>
      <c r="E229" s="335">
        <v>19</v>
      </c>
      <c r="F229" s="335">
        <v>0</v>
      </c>
      <c r="G229" s="335">
        <v>0</v>
      </c>
      <c r="H229" s="335">
        <v>0</v>
      </c>
      <c r="I229" s="335">
        <v>15</v>
      </c>
      <c r="J229" s="335">
        <v>192</v>
      </c>
      <c r="K229" s="335">
        <v>0</v>
      </c>
      <c r="L229" s="335">
        <v>226</v>
      </c>
      <c r="M229" s="335">
        <v>0</v>
      </c>
      <c r="N229" s="335">
        <v>1</v>
      </c>
      <c r="O229" s="335">
        <v>0</v>
      </c>
      <c r="P229" s="335">
        <v>0</v>
      </c>
      <c r="Q229" s="335">
        <v>0</v>
      </c>
      <c r="R229" s="335">
        <v>1</v>
      </c>
      <c r="S229" s="335">
        <v>7</v>
      </c>
      <c r="T229" s="335">
        <v>0</v>
      </c>
      <c r="U229" s="335">
        <v>9</v>
      </c>
      <c r="V229" s="335">
        <v>8.6</v>
      </c>
      <c r="W229" s="335">
        <v>9</v>
      </c>
      <c r="X229" s="335">
        <v>8.6</v>
      </c>
      <c r="Y229" s="381">
        <f t="shared" si="3"/>
        <v>35844.799999999996</v>
      </c>
      <c r="Z229" s="335">
        <v>0</v>
      </c>
      <c r="AA229" s="335">
        <v>0</v>
      </c>
      <c r="AB229" s="335">
        <v>0</v>
      </c>
      <c r="AF229" s="394"/>
      <c r="AH229" s="366"/>
    </row>
    <row r="230" spans="1:34" ht="28.5">
      <c r="A230" s="366" t="s">
        <v>879</v>
      </c>
      <c r="B230" s="196" t="s">
        <v>297</v>
      </c>
      <c r="C230" s="196" t="s">
        <v>607</v>
      </c>
      <c r="D230" s="335">
        <v>0</v>
      </c>
      <c r="E230" s="335">
        <v>0</v>
      </c>
      <c r="F230" s="335">
        <v>0</v>
      </c>
      <c r="G230" s="335">
        <v>0</v>
      </c>
      <c r="H230" s="335">
        <v>0</v>
      </c>
      <c r="I230" s="335">
        <v>0</v>
      </c>
      <c r="J230" s="335">
        <v>0</v>
      </c>
      <c r="K230" s="335">
        <v>682</v>
      </c>
      <c r="L230" s="335">
        <v>682</v>
      </c>
      <c r="M230" s="335">
        <v>0</v>
      </c>
      <c r="N230" s="335">
        <v>0</v>
      </c>
      <c r="O230" s="335">
        <v>0</v>
      </c>
      <c r="P230" s="335">
        <v>0</v>
      </c>
      <c r="Q230" s="335">
        <v>0</v>
      </c>
      <c r="R230" s="335">
        <v>0</v>
      </c>
      <c r="S230" s="335">
        <v>0</v>
      </c>
      <c r="T230" s="335">
        <v>439</v>
      </c>
      <c r="U230" s="335">
        <v>439</v>
      </c>
      <c r="V230" s="335">
        <v>439</v>
      </c>
      <c r="W230" s="335">
        <v>0</v>
      </c>
      <c r="X230" s="335">
        <v>0</v>
      </c>
      <c r="Y230" s="381">
        <f t="shared" si="3"/>
        <v>1971549</v>
      </c>
      <c r="Z230" s="335">
        <v>0</v>
      </c>
      <c r="AA230" s="335">
        <v>0</v>
      </c>
      <c r="AB230" s="335">
        <v>0</v>
      </c>
      <c r="AF230" s="394"/>
      <c r="AH230" s="366"/>
    </row>
    <row r="231" spans="1:34" ht="14.25">
      <c r="A231" s="366" t="s">
        <v>880</v>
      </c>
      <c r="B231" s="196" t="s">
        <v>297</v>
      </c>
      <c r="C231" s="196" t="s">
        <v>86</v>
      </c>
      <c r="D231" s="335">
        <v>0</v>
      </c>
      <c r="E231" s="335">
        <v>0</v>
      </c>
      <c r="F231" s="335">
        <v>0</v>
      </c>
      <c r="G231" s="335">
        <v>0</v>
      </c>
      <c r="H231" s="335">
        <v>0</v>
      </c>
      <c r="I231" s="335">
        <v>0</v>
      </c>
      <c r="J231" s="335">
        <v>0</v>
      </c>
      <c r="K231" s="335">
        <v>682</v>
      </c>
      <c r="L231" s="335">
        <v>682</v>
      </c>
      <c r="M231" s="335">
        <v>0</v>
      </c>
      <c r="N231" s="335">
        <v>0</v>
      </c>
      <c r="O231" s="335">
        <v>0</v>
      </c>
      <c r="P231" s="335">
        <v>0</v>
      </c>
      <c r="Q231" s="335">
        <v>0</v>
      </c>
      <c r="R231" s="335">
        <v>0</v>
      </c>
      <c r="S231" s="335">
        <v>0</v>
      </c>
      <c r="T231" s="335">
        <v>33</v>
      </c>
      <c r="U231" s="335">
        <v>33</v>
      </c>
      <c r="V231" s="335">
        <v>33</v>
      </c>
      <c r="W231" s="335">
        <v>0</v>
      </c>
      <c r="X231" s="335">
        <v>0</v>
      </c>
      <c r="Y231" s="381">
        <f t="shared" si="3"/>
        <v>148203</v>
      </c>
      <c r="Z231" s="335">
        <v>0</v>
      </c>
      <c r="AA231" s="335">
        <v>0</v>
      </c>
      <c r="AB231" s="335">
        <v>0</v>
      </c>
      <c r="AF231" s="394"/>
      <c r="AH231" s="366"/>
    </row>
    <row r="232" spans="1:34" ht="14.25">
      <c r="A232" s="366" t="s">
        <v>881</v>
      </c>
      <c r="B232" s="196" t="s">
        <v>623</v>
      </c>
      <c r="C232" s="196" t="s">
        <v>86</v>
      </c>
      <c r="D232" s="335">
        <v>10</v>
      </c>
      <c r="E232" s="335">
        <v>0</v>
      </c>
      <c r="F232" s="335">
        <v>0</v>
      </c>
      <c r="G232" s="335">
        <v>0</v>
      </c>
      <c r="H232" s="335">
        <v>0</v>
      </c>
      <c r="I232" s="335">
        <v>7</v>
      </c>
      <c r="J232" s="335">
        <v>104</v>
      </c>
      <c r="K232" s="335">
        <v>0</v>
      </c>
      <c r="L232" s="335">
        <v>121</v>
      </c>
      <c r="M232" s="335">
        <v>7</v>
      </c>
      <c r="N232" s="335">
        <v>0</v>
      </c>
      <c r="O232" s="335">
        <v>0</v>
      </c>
      <c r="P232" s="335">
        <v>0</v>
      </c>
      <c r="Q232" s="335">
        <v>0</v>
      </c>
      <c r="R232" s="335">
        <v>3</v>
      </c>
      <c r="S232" s="335">
        <v>9</v>
      </c>
      <c r="T232" s="335">
        <v>0</v>
      </c>
      <c r="U232" s="335">
        <v>19</v>
      </c>
      <c r="V232" s="335">
        <v>15.5</v>
      </c>
      <c r="W232" s="335">
        <v>19</v>
      </c>
      <c r="X232" s="335">
        <v>15.5</v>
      </c>
      <c r="Y232" s="381">
        <f t="shared" si="3"/>
        <v>64604</v>
      </c>
      <c r="Z232" s="335">
        <v>0</v>
      </c>
      <c r="AA232" s="335">
        <v>0</v>
      </c>
      <c r="AB232" s="335">
        <v>0</v>
      </c>
      <c r="AF232" s="394"/>
      <c r="AH232" s="366"/>
    </row>
    <row r="233" spans="1:34" ht="14.25">
      <c r="A233" s="366" t="s">
        <v>882</v>
      </c>
      <c r="B233" s="196" t="s">
        <v>653</v>
      </c>
      <c r="C233" s="196" t="s">
        <v>86</v>
      </c>
      <c r="D233" s="335">
        <v>19</v>
      </c>
      <c r="E233" s="335">
        <v>0</v>
      </c>
      <c r="F233" s="335">
        <v>0</v>
      </c>
      <c r="G233" s="335">
        <v>0</v>
      </c>
      <c r="H233" s="335">
        <v>0</v>
      </c>
      <c r="I233" s="335">
        <v>20</v>
      </c>
      <c r="J233" s="335">
        <v>78</v>
      </c>
      <c r="K233" s="335">
        <v>0</v>
      </c>
      <c r="L233" s="335">
        <v>117</v>
      </c>
      <c r="M233" s="335">
        <v>10</v>
      </c>
      <c r="N233" s="335">
        <v>0</v>
      </c>
      <c r="O233" s="335">
        <v>0</v>
      </c>
      <c r="P233" s="335">
        <v>0</v>
      </c>
      <c r="Q233" s="335">
        <v>0</v>
      </c>
      <c r="R233" s="335">
        <v>10</v>
      </c>
      <c r="S233" s="335">
        <v>39</v>
      </c>
      <c r="T233" s="335">
        <v>0</v>
      </c>
      <c r="U233" s="335">
        <v>59</v>
      </c>
      <c r="V233" s="335">
        <v>54</v>
      </c>
      <c r="W233" s="335">
        <v>59</v>
      </c>
      <c r="X233" s="335">
        <v>54</v>
      </c>
      <c r="Y233" s="381">
        <f t="shared" si="3"/>
        <v>225072</v>
      </c>
      <c r="Z233" s="335">
        <v>0</v>
      </c>
      <c r="AA233" s="335">
        <v>0</v>
      </c>
      <c r="AB233" s="335">
        <v>0</v>
      </c>
      <c r="AF233" s="394"/>
      <c r="AH233" s="366"/>
    </row>
    <row r="234" spans="1:34" ht="28.5">
      <c r="A234" s="366" t="s">
        <v>883</v>
      </c>
      <c r="B234" s="196" t="s">
        <v>216</v>
      </c>
      <c r="C234" s="196" t="s">
        <v>607</v>
      </c>
      <c r="D234" s="335">
        <v>0</v>
      </c>
      <c r="E234" s="335">
        <v>19</v>
      </c>
      <c r="F234" s="335">
        <v>0</v>
      </c>
      <c r="G234" s="335">
        <v>0</v>
      </c>
      <c r="H234" s="335">
        <v>0</v>
      </c>
      <c r="I234" s="335">
        <v>34</v>
      </c>
      <c r="J234" s="335">
        <v>319</v>
      </c>
      <c r="K234" s="335">
        <v>0</v>
      </c>
      <c r="L234" s="335">
        <v>372</v>
      </c>
      <c r="M234" s="335">
        <v>0</v>
      </c>
      <c r="N234" s="335">
        <v>19</v>
      </c>
      <c r="O234" s="335">
        <v>0</v>
      </c>
      <c r="P234" s="335">
        <v>0</v>
      </c>
      <c r="Q234" s="335">
        <v>0</v>
      </c>
      <c r="R234" s="335">
        <v>34</v>
      </c>
      <c r="S234" s="335">
        <v>313</v>
      </c>
      <c r="T234" s="335">
        <v>0</v>
      </c>
      <c r="U234" s="335">
        <v>366</v>
      </c>
      <c r="V234" s="335">
        <v>358.4</v>
      </c>
      <c r="W234" s="335">
        <v>366</v>
      </c>
      <c r="X234" s="335">
        <v>358.4</v>
      </c>
      <c r="Y234" s="381">
        <f t="shared" si="3"/>
        <v>1493811.2</v>
      </c>
      <c r="Z234" s="335">
        <v>0</v>
      </c>
      <c r="AA234" s="335">
        <v>0</v>
      </c>
      <c r="AB234" s="335">
        <v>0</v>
      </c>
      <c r="AF234" s="394"/>
      <c r="AH234" s="366"/>
    </row>
    <row r="235" spans="1:34" ht="14.25">
      <c r="A235" s="366" t="s">
        <v>884</v>
      </c>
      <c r="B235" s="196" t="s">
        <v>216</v>
      </c>
      <c r="C235" s="196" t="s">
        <v>86</v>
      </c>
      <c r="D235" s="335">
        <v>0</v>
      </c>
      <c r="E235" s="335">
        <v>19</v>
      </c>
      <c r="F235" s="335">
        <v>0</v>
      </c>
      <c r="G235" s="335">
        <v>0</v>
      </c>
      <c r="H235" s="335">
        <v>0</v>
      </c>
      <c r="I235" s="335">
        <v>34</v>
      </c>
      <c r="J235" s="335">
        <v>319</v>
      </c>
      <c r="K235" s="335">
        <v>0</v>
      </c>
      <c r="L235" s="335">
        <v>372</v>
      </c>
      <c r="M235" s="335">
        <v>0</v>
      </c>
      <c r="N235" s="335">
        <v>0</v>
      </c>
      <c r="O235" s="335">
        <v>0</v>
      </c>
      <c r="P235" s="335">
        <v>0</v>
      </c>
      <c r="Q235" s="335">
        <v>0</v>
      </c>
      <c r="R235" s="335">
        <v>0</v>
      </c>
      <c r="S235" s="335">
        <v>3</v>
      </c>
      <c r="T235" s="335">
        <v>0</v>
      </c>
      <c r="U235" s="335">
        <v>3</v>
      </c>
      <c r="V235" s="335">
        <v>3</v>
      </c>
      <c r="W235" s="335">
        <v>3</v>
      </c>
      <c r="X235" s="335">
        <v>3</v>
      </c>
      <c r="Y235" s="381">
        <f t="shared" si="3"/>
        <v>12504</v>
      </c>
      <c r="Z235" s="335">
        <v>0</v>
      </c>
      <c r="AA235" s="335">
        <v>0</v>
      </c>
      <c r="AB235" s="335">
        <v>0</v>
      </c>
      <c r="AF235" s="394"/>
      <c r="AH235" s="366"/>
    </row>
    <row r="236" spans="1:34" ht="14.25">
      <c r="A236" s="366" t="s">
        <v>885</v>
      </c>
      <c r="B236" s="196" t="s">
        <v>624</v>
      </c>
      <c r="C236" s="196" t="s">
        <v>86</v>
      </c>
      <c r="D236" s="335">
        <v>14</v>
      </c>
      <c r="E236" s="335">
        <v>0</v>
      </c>
      <c r="F236" s="335">
        <v>0</v>
      </c>
      <c r="G236" s="335">
        <v>0</v>
      </c>
      <c r="H236" s="335">
        <v>0</v>
      </c>
      <c r="I236" s="335">
        <v>14</v>
      </c>
      <c r="J236" s="335">
        <v>67</v>
      </c>
      <c r="K236" s="335">
        <v>0</v>
      </c>
      <c r="L236" s="335">
        <v>95</v>
      </c>
      <c r="M236" s="335">
        <v>3</v>
      </c>
      <c r="N236" s="335">
        <v>0</v>
      </c>
      <c r="O236" s="335">
        <v>0</v>
      </c>
      <c r="P236" s="335">
        <v>0</v>
      </c>
      <c r="Q236" s="335">
        <v>0</v>
      </c>
      <c r="R236" s="335">
        <v>3</v>
      </c>
      <c r="S236" s="335">
        <v>18</v>
      </c>
      <c r="T236" s="335">
        <v>0</v>
      </c>
      <c r="U236" s="335">
        <v>24</v>
      </c>
      <c r="V236" s="335">
        <v>22.5</v>
      </c>
      <c r="W236" s="335">
        <v>24</v>
      </c>
      <c r="X236" s="335">
        <v>22.5</v>
      </c>
      <c r="Y236" s="381">
        <f t="shared" si="3"/>
        <v>93780</v>
      </c>
      <c r="Z236" s="335">
        <v>0</v>
      </c>
      <c r="AA236" s="335">
        <v>0</v>
      </c>
      <c r="AB236" s="335">
        <v>0</v>
      </c>
      <c r="AF236" s="394"/>
      <c r="AH236" s="366"/>
    </row>
    <row r="237" spans="1:34" ht="14.25">
      <c r="A237" s="366" t="s">
        <v>886</v>
      </c>
      <c r="B237" s="196" t="s">
        <v>298</v>
      </c>
      <c r="C237" s="196" t="s">
        <v>608</v>
      </c>
      <c r="D237" s="335">
        <v>0</v>
      </c>
      <c r="E237" s="335">
        <v>0</v>
      </c>
      <c r="F237" s="335">
        <v>0</v>
      </c>
      <c r="G237" s="335">
        <v>0</v>
      </c>
      <c r="H237" s="335">
        <v>0</v>
      </c>
      <c r="I237" s="335">
        <v>20</v>
      </c>
      <c r="J237" s="335">
        <v>153</v>
      </c>
      <c r="K237" s="335">
        <v>0</v>
      </c>
      <c r="L237" s="335">
        <v>173</v>
      </c>
      <c r="M237" s="335">
        <v>0</v>
      </c>
      <c r="N237" s="335">
        <v>0</v>
      </c>
      <c r="O237" s="335">
        <v>0</v>
      </c>
      <c r="P237" s="335">
        <v>0</v>
      </c>
      <c r="Q237" s="335">
        <v>0</v>
      </c>
      <c r="R237" s="335">
        <v>16</v>
      </c>
      <c r="S237" s="335">
        <v>109</v>
      </c>
      <c r="T237" s="335">
        <v>0</v>
      </c>
      <c r="U237" s="335">
        <v>125</v>
      </c>
      <c r="V237" s="335">
        <v>125</v>
      </c>
      <c r="W237" s="335">
        <v>125</v>
      </c>
      <c r="X237" s="335">
        <v>125</v>
      </c>
      <c r="Y237" s="381">
        <f t="shared" si="3"/>
        <v>521000</v>
      </c>
      <c r="Z237" s="335">
        <v>0</v>
      </c>
      <c r="AA237" s="335">
        <v>8</v>
      </c>
      <c r="AB237" s="335">
        <v>0</v>
      </c>
      <c r="AF237" s="394"/>
      <c r="AH237" s="366"/>
    </row>
    <row r="238" spans="1:34" ht="28.5">
      <c r="A238" s="366" t="s">
        <v>887</v>
      </c>
      <c r="B238" s="196" t="s">
        <v>271</v>
      </c>
      <c r="C238" s="196" t="s">
        <v>86</v>
      </c>
      <c r="D238" s="335">
        <v>9</v>
      </c>
      <c r="E238" s="335">
        <v>0</v>
      </c>
      <c r="F238" s="335">
        <v>0</v>
      </c>
      <c r="G238" s="335">
        <v>0</v>
      </c>
      <c r="H238" s="335">
        <v>0</v>
      </c>
      <c r="I238" s="335">
        <v>9</v>
      </c>
      <c r="J238" s="335">
        <v>43</v>
      </c>
      <c r="K238" s="335">
        <v>0</v>
      </c>
      <c r="L238" s="335">
        <v>61</v>
      </c>
      <c r="M238" s="335">
        <v>3</v>
      </c>
      <c r="N238" s="335">
        <v>0</v>
      </c>
      <c r="O238" s="335">
        <v>0</v>
      </c>
      <c r="P238" s="335">
        <v>0</v>
      </c>
      <c r="Q238" s="335">
        <v>0</v>
      </c>
      <c r="R238" s="335">
        <v>4</v>
      </c>
      <c r="S238" s="335">
        <v>17</v>
      </c>
      <c r="T238" s="335">
        <v>0</v>
      </c>
      <c r="U238" s="335">
        <v>24</v>
      </c>
      <c r="V238" s="335">
        <v>22.5</v>
      </c>
      <c r="W238" s="335">
        <v>24</v>
      </c>
      <c r="X238" s="335">
        <v>22.5</v>
      </c>
      <c r="Y238" s="381">
        <f t="shared" si="3"/>
        <v>93780</v>
      </c>
      <c r="Z238" s="335">
        <v>0</v>
      </c>
      <c r="AA238" s="335">
        <v>0</v>
      </c>
      <c r="AB238" s="335">
        <v>0</v>
      </c>
      <c r="AF238" s="394"/>
      <c r="AH238" s="366"/>
    </row>
    <row r="239" spans="1:34" ht="28.5">
      <c r="A239" s="366" t="s">
        <v>888</v>
      </c>
      <c r="B239" s="196" t="s">
        <v>532</v>
      </c>
      <c r="C239" s="196" t="s">
        <v>86</v>
      </c>
      <c r="D239" s="335">
        <v>0</v>
      </c>
      <c r="E239" s="335">
        <v>0</v>
      </c>
      <c r="F239" s="335">
        <v>13</v>
      </c>
      <c r="G239" s="335">
        <v>0</v>
      </c>
      <c r="H239" s="335">
        <v>0</v>
      </c>
      <c r="I239" s="335">
        <v>0</v>
      </c>
      <c r="J239" s="335">
        <v>68</v>
      </c>
      <c r="K239" s="335">
        <v>0</v>
      </c>
      <c r="L239" s="335">
        <v>81</v>
      </c>
      <c r="M239" s="335">
        <v>0</v>
      </c>
      <c r="N239" s="335">
        <v>0</v>
      </c>
      <c r="O239" s="335">
        <v>5</v>
      </c>
      <c r="P239" s="335">
        <v>0</v>
      </c>
      <c r="Q239" s="335">
        <v>0</v>
      </c>
      <c r="R239" s="335">
        <v>0</v>
      </c>
      <c r="S239" s="335">
        <v>38</v>
      </c>
      <c r="T239" s="335">
        <v>0</v>
      </c>
      <c r="U239" s="335">
        <v>43</v>
      </c>
      <c r="V239" s="335">
        <v>40.5</v>
      </c>
      <c r="W239" s="335">
        <v>43</v>
      </c>
      <c r="X239" s="335">
        <v>40.5</v>
      </c>
      <c r="Y239" s="381">
        <f t="shared" si="3"/>
        <v>168804</v>
      </c>
      <c r="Z239" s="335">
        <v>0</v>
      </c>
      <c r="AA239" s="335">
        <v>0</v>
      </c>
      <c r="AB239" s="335">
        <v>0</v>
      </c>
      <c r="AF239" s="394"/>
      <c r="AH239" s="366"/>
    </row>
    <row r="240" spans="1:34" ht="14.25">
      <c r="A240" s="366" t="s">
        <v>889</v>
      </c>
      <c r="B240" s="196" t="s">
        <v>125</v>
      </c>
      <c r="C240" s="196" t="s">
        <v>86</v>
      </c>
      <c r="D240" s="335">
        <v>0</v>
      </c>
      <c r="E240" s="335">
        <v>0</v>
      </c>
      <c r="F240" s="335">
        <v>0</v>
      </c>
      <c r="G240" s="335">
        <v>0</v>
      </c>
      <c r="H240" s="335">
        <v>0</v>
      </c>
      <c r="I240" s="335">
        <v>63</v>
      </c>
      <c r="J240" s="335">
        <v>500</v>
      </c>
      <c r="K240" s="335">
        <v>201</v>
      </c>
      <c r="L240" s="335">
        <v>764</v>
      </c>
      <c r="M240" s="335">
        <v>0</v>
      </c>
      <c r="N240" s="335">
        <v>0</v>
      </c>
      <c r="O240" s="335">
        <v>0</v>
      </c>
      <c r="P240" s="335">
        <v>0</v>
      </c>
      <c r="Q240" s="335">
        <v>0</v>
      </c>
      <c r="R240" s="335">
        <v>10</v>
      </c>
      <c r="S240" s="335">
        <v>104</v>
      </c>
      <c r="T240" s="335">
        <v>39</v>
      </c>
      <c r="U240" s="335">
        <v>153</v>
      </c>
      <c r="V240" s="335">
        <v>153</v>
      </c>
      <c r="W240" s="335">
        <v>114</v>
      </c>
      <c r="X240" s="335">
        <v>114</v>
      </c>
      <c r="Y240" s="381">
        <f t="shared" si="3"/>
        <v>650301</v>
      </c>
      <c r="Z240" s="335">
        <v>0</v>
      </c>
      <c r="AA240" s="335">
        <v>0</v>
      </c>
      <c r="AB240" s="335">
        <v>0</v>
      </c>
      <c r="AF240" s="394"/>
      <c r="AH240" s="366"/>
    </row>
    <row r="241" spans="1:34" ht="14.25">
      <c r="A241" s="366" t="s">
        <v>890</v>
      </c>
      <c r="B241" s="196" t="s">
        <v>477</v>
      </c>
      <c r="C241" s="196" t="s">
        <v>608</v>
      </c>
      <c r="D241" s="335">
        <v>0</v>
      </c>
      <c r="E241" s="335">
        <v>35</v>
      </c>
      <c r="F241" s="335">
        <v>0</v>
      </c>
      <c r="G241" s="335">
        <v>0</v>
      </c>
      <c r="H241" s="335">
        <v>0</v>
      </c>
      <c r="I241" s="335">
        <v>30</v>
      </c>
      <c r="J241" s="335">
        <v>306</v>
      </c>
      <c r="K241" s="335">
        <v>0</v>
      </c>
      <c r="L241" s="335">
        <v>371</v>
      </c>
      <c r="M241" s="335">
        <v>0</v>
      </c>
      <c r="N241" s="335">
        <v>34</v>
      </c>
      <c r="O241" s="335">
        <v>0</v>
      </c>
      <c r="P241" s="335">
        <v>0</v>
      </c>
      <c r="Q241" s="335">
        <v>0</v>
      </c>
      <c r="R241" s="335">
        <v>28</v>
      </c>
      <c r="S241" s="335">
        <v>292</v>
      </c>
      <c r="T241" s="335">
        <v>0</v>
      </c>
      <c r="U241" s="335">
        <v>354</v>
      </c>
      <c r="V241" s="335">
        <v>340.4</v>
      </c>
      <c r="W241" s="335">
        <v>354</v>
      </c>
      <c r="X241" s="335">
        <v>340.4</v>
      </c>
      <c r="Y241" s="381">
        <f t="shared" si="3"/>
        <v>1418787.2</v>
      </c>
      <c r="Z241" s="335">
        <v>0</v>
      </c>
      <c r="AA241" s="335">
        <v>0</v>
      </c>
      <c r="AB241" s="335">
        <v>0</v>
      </c>
      <c r="AF241" s="394"/>
      <c r="AH241" s="366"/>
    </row>
    <row r="242" spans="1:34" ht="14.25">
      <c r="A242" s="366" t="s">
        <v>891</v>
      </c>
      <c r="B242" s="196" t="s">
        <v>477</v>
      </c>
      <c r="C242" s="196" t="s">
        <v>86</v>
      </c>
      <c r="D242" s="335">
        <v>0</v>
      </c>
      <c r="E242" s="335">
        <v>35</v>
      </c>
      <c r="F242" s="335">
        <v>0</v>
      </c>
      <c r="G242" s="335">
        <v>0</v>
      </c>
      <c r="H242" s="335">
        <v>0</v>
      </c>
      <c r="I242" s="335">
        <v>30</v>
      </c>
      <c r="J242" s="335">
        <v>306</v>
      </c>
      <c r="K242" s="335">
        <v>0</v>
      </c>
      <c r="L242" s="335">
        <v>371</v>
      </c>
      <c r="M242" s="335">
        <v>0</v>
      </c>
      <c r="N242" s="335">
        <v>0</v>
      </c>
      <c r="O242" s="335">
        <v>0</v>
      </c>
      <c r="P242" s="335">
        <v>0</v>
      </c>
      <c r="Q242" s="335">
        <v>0</v>
      </c>
      <c r="R242" s="335">
        <v>1</v>
      </c>
      <c r="S242" s="335">
        <v>2</v>
      </c>
      <c r="T242" s="335">
        <v>0</v>
      </c>
      <c r="U242" s="335">
        <v>3</v>
      </c>
      <c r="V242" s="335">
        <v>3</v>
      </c>
      <c r="W242" s="335">
        <v>3</v>
      </c>
      <c r="X242" s="335">
        <v>3</v>
      </c>
      <c r="Y242" s="381">
        <f t="shared" si="3"/>
        <v>12504</v>
      </c>
      <c r="Z242" s="335">
        <v>0</v>
      </c>
      <c r="AA242" s="335">
        <v>0</v>
      </c>
      <c r="AB242" s="335">
        <v>0</v>
      </c>
      <c r="AF242" s="394"/>
      <c r="AH242" s="366"/>
    </row>
    <row r="243" spans="1:34" ht="28.5">
      <c r="A243" s="366" t="s">
        <v>892</v>
      </c>
      <c r="B243" s="196" t="s">
        <v>217</v>
      </c>
      <c r="C243" s="196" t="s">
        <v>607</v>
      </c>
      <c r="D243" s="335">
        <v>0</v>
      </c>
      <c r="E243" s="335">
        <v>0</v>
      </c>
      <c r="F243" s="335">
        <v>0</v>
      </c>
      <c r="G243" s="335">
        <v>0</v>
      </c>
      <c r="H243" s="335">
        <v>0</v>
      </c>
      <c r="I243" s="335">
        <v>0</v>
      </c>
      <c r="J243" s="335">
        <v>23</v>
      </c>
      <c r="K243" s="335">
        <v>29</v>
      </c>
      <c r="L243" s="335">
        <v>52</v>
      </c>
      <c r="M243" s="335">
        <v>0</v>
      </c>
      <c r="N243" s="335">
        <v>0</v>
      </c>
      <c r="O243" s="335">
        <v>0</v>
      </c>
      <c r="P243" s="335">
        <v>0</v>
      </c>
      <c r="Q243" s="335">
        <v>0</v>
      </c>
      <c r="R243" s="335">
        <v>0</v>
      </c>
      <c r="S243" s="335">
        <v>23</v>
      </c>
      <c r="T243" s="335">
        <v>29</v>
      </c>
      <c r="U243" s="335">
        <v>52</v>
      </c>
      <c r="V243" s="335">
        <v>52</v>
      </c>
      <c r="W243" s="335">
        <v>23</v>
      </c>
      <c r="X243" s="335">
        <v>23</v>
      </c>
      <c r="Y243" s="381">
        <f t="shared" si="3"/>
        <v>226103</v>
      </c>
      <c r="Z243" s="335">
        <v>0</v>
      </c>
      <c r="AA243" s="335">
        <v>0</v>
      </c>
      <c r="AB243" s="335">
        <v>0</v>
      </c>
      <c r="AF243" s="394"/>
      <c r="AH243" s="366"/>
    </row>
    <row r="244" spans="1:34" ht="28.5">
      <c r="A244" s="366" t="s">
        <v>893</v>
      </c>
      <c r="B244" s="196" t="s">
        <v>179</v>
      </c>
      <c r="C244" s="196" t="s">
        <v>607</v>
      </c>
      <c r="D244" s="335">
        <v>0</v>
      </c>
      <c r="E244" s="335">
        <v>23</v>
      </c>
      <c r="F244" s="335">
        <v>0</v>
      </c>
      <c r="G244" s="335">
        <v>0</v>
      </c>
      <c r="H244" s="335">
        <v>0</v>
      </c>
      <c r="I244" s="335">
        <v>37</v>
      </c>
      <c r="J244" s="335">
        <v>239</v>
      </c>
      <c r="K244" s="335">
        <v>0</v>
      </c>
      <c r="L244" s="335">
        <v>299</v>
      </c>
      <c r="M244" s="335">
        <v>0</v>
      </c>
      <c r="N244" s="335">
        <v>21</v>
      </c>
      <c r="O244" s="335">
        <v>0</v>
      </c>
      <c r="P244" s="335">
        <v>0</v>
      </c>
      <c r="Q244" s="335">
        <v>0</v>
      </c>
      <c r="R244" s="335">
        <v>33</v>
      </c>
      <c r="S244" s="335">
        <v>203</v>
      </c>
      <c r="T244" s="335">
        <v>0</v>
      </c>
      <c r="U244" s="335">
        <v>257</v>
      </c>
      <c r="V244" s="335">
        <v>248.6</v>
      </c>
      <c r="W244" s="335">
        <v>257</v>
      </c>
      <c r="X244" s="335">
        <v>248.6</v>
      </c>
      <c r="Y244" s="381">
        <f t="shared" si="3"/>
        <v>1036164.7999999999</v>
      </c>
      <c r="Z244" s="335">
        <v>2</v>
      </c>
      <c r="AA244" s="335">
        <v>0</v>
      </c>
      <c r="AB244" s="335">
        <v>0</v>
      </c>
      <c r="AF244" s="394"/>
      <c r="AH244" s="366"/>
    </row>
    <row r="245" spans="1:34" ht="14.25">
      <c r="A245" s="366" t="s">
        <v>894</v>
      </c>
      <c r="B245" s="196" t="s">
        <v>179</v>
      </c>
      <c r="C245" s="196" t="s">
        <v>86</v>
      </c>
      <c r="D245" s="335">
        <v>0</v>
      </c>
      <c r="E245" s="335">
        <v>23</v>
      </c>
      <c r="F245" s="335">
        <v>0</v>
      </c>
      <c r="G245" s="335">
        <v>0</v>
      </c>
      <c r="H245" s="335">
        <v>0</v>
      </c>
      <c r="I245" s="335">
        <v>37</v>
      </c>
      <c r="J245" s="335">
        <v>239</v>
      </c>
      <c r="K245" s="335">
        <v>0</v>
      </c>
      <c r="L245" s="335">
        <v>299</v>
      </c>
      <c r="M245" s="335">
        <v>0</v>
      </c>
      <c r="N245" s="335">
        <v>1</v>
      </c>
      <c r="O245" s="335">
        <v>0</v>
      </c>
      <c r="P245" s="335">
        <v>0</v>
      </c>
      <c r="Q245" s="335">
        <v>0</v>
      </c>
      <c r="R245" s="335">
        <v>0</v>
      </c>
      <c r="S245" s="335">
        <v>9</v>
      </c>
      <c r="T245" s="335">
        <v>0</v>
      </c>
      <c r="U245" s="335">
        <v>10</v>
      </c>
      <c r="V245" s="335">
        <v>9.6</v>
      </c>
      <c r="W245" s="335">
        <v>10</v>
      </c>
      <c r="X245" s="335">
        <v>9.6</v>
      </c>
      <c r="Y245" s="381">
        <f t="shared" si="3"/>
        <v>40012.799999999996</v>
      </c>
      <c r="Z245" s="335">
        <v>0</v>
      </c>
      <c r="AA245" s="335">
        <v>0</v>
      </c>
      <c r="AB245" s="335">
        <v>0</v>
      </c>
      <c r="AF245" s="394"/>
      <c r="AH245" s="366"/>
    </row>
    <row r="246" spans="1:34" ht="14.25">
      <c r="A246" s="366" t="s">
        <v>895</v>
      </c>
      <c r="B246" s="196" t="s">
        <v>478</v>
      </c>
      <c r="C246" s="196" t="s">
        <v>86</v>
      </c>
      <c r="D246" s="335">
        <v>18</v>
      </c>
      <c r="E246" s="335">
        <v>0</v>
      </c>
      <c r="F246" s="335">
        <v>0</v>
      </c>
      <c r="G246" s="335">
        <v>0</v>
      </c>
      <c r="H246" s="335">
        <v>0</v>
      </c>
      <c r="I246" s="335">
        <v>13</v>
      </c>
      <c r="J246" s="335">
        <v>101</v>
      </c>
      <c r="K246" s="335">
        <v>0</v>
      </c>
      <c r="L246" s="335">
        <v>132</v>
      </c>
      <c r="M246" s="335">
        <v>12</v>
      </c>
      <c r="N246" s="335">
        <v>0</v>
      </c>
      <c r="O246" s="335">
        <v>0</v>
      </c>
      <c r="P246" s="335">
        <v>0</v>
      </c>
      <c r="Q246" s="335">
        <v>0</v>
      </c>
      <c r="R246" s="335">
        <v>6</v>
      </c>
      <c r="S246" s="335">
        <v>49</v>
      </c>
      <c r="T246" s="335">
        <v>0</v>
      </c>
      <c r="U246" s="335">
        <v>67</v>
      </c>
      <c r="V246" s="335">
        <v>61</v>
      </c>
      <c r="W246" s="335">
        <v>67</v>
      </c>
      <c r="X246" s="335">
        <v>61</v>
      </c>
      <c r="Y246" s="381">
        <f t="shared" si="3"/>
        <v>254248</v>
      </c>
      <c r="Z246" s="335">
        <v>0</v>
      </c>
      <c r="AA246" s="335">
        <v>0</v>
      </c>
      <c r="AB246" s="335">
        <v>0</v>
      </c>
      <c r="AF246" s="394"/>
      <c r="AH246" s="366"/>
    </row>
    <row r="247" spans="1:34" ht="14.25">
      <c r="A247" s="366" t="s">
        <v>896</v>
      </c>
      <c r="B247" s="196" t="s">
        <v>126</v>
      </c>
      <c r="C247" s="196" t="s">
        <v>86</v>
      </c>
      <c r="D247" s="335">
        <v>0</v>
      </c>
      <c r="E247" s="335">
        <v>0</v>
      </c>
      <c r="F247" s="335">
        <v>0</v>
      </c>
      <c r="G247" s="335">
        <v>0</v>
      </c>
      <c r="H247" s="335">
        <v>0</v>
      </c>
      <c r="I247" s="335">
        <v>25</v>
      </c>
      <c r="J247" s="335">
        <v>164</v>
      </c>
      <c r="K247" s="335">
        <v>78</v>
      </c>
      <c r="L247" s="335">
        <v>267</v>
      </c>
      <c r="M247" s="335">
        <v>0</v>
      </c>
      <c r="N247" s="335">
        <v>0</v>
      </c>
      <c r="O247" s="335">
        <v>0</v>
      </c>
      <c r="P247" s="335">
        <v>0</v>
      </c>
      <c r="Q247" s="335">
        <v>0</v>
      </c>
      <c r="R247" s="335">
        <v>17</v>
      </c>
      <c r="S247" s="335">
        <v>136</v>
      </c>
      <c r="T247" s="335">
        <v>62</v>
      </c>
      <c r="U247" s="335">
        <v>215</v>
      </c>
      <c r="V247" s="335">
        <v>215</v>
      </c>
      <c r="W247" s="335">
        <v>153</v>
      </c>
      <c r="X247" s="335">
        <v>153</v>
      </c>
      <c r="Y247" s="381">
        <f t="shared" si="3"/>
        <v>916146</v>
      </c>
      <c r="Z247" s="335">
        <v>0</v>
      </c>
      <c r="AA247" s="335">
        <v>0</v>
      </c>
      <c r="AB247" s="335">
        <v>0</v>
      </c>
      <c r="AF247" s="394"/>
      <c r="AH247" s="366"/>
    </row>
    <row r="248" spans="1:34" ht="14.25">
      <c r="A248" s="366" t="s">
        <v>897</v>
      </c>
      <c r="B248" s="196" t="s">
        <v>510</v>
      </c>
      <c r="C248" s="196" t="s">
        <v>86</v>
      </c>
      <c r="D248" s="335">
        <v>55</v>
      </c>
      <c r="E248" s="335">
        <v>0</v>
      </c>
      <c r="F248" s="335">
        <v>0</v>
      </c>
      <c r="G248" s="335">
        <v>0</v>
      </c>
      <c r="H248" s="335">
        <v>0</v>
      </c>
      <c r="I248" s="335">
        <v>34</v>
      </c>
      <c r="J248" s="335">
        <v>370</v>
      </c>
      <c r="K248" s="335">
        <v>238</v>
      </c>
      <c r="L248" s="335">
        <v>697</v>
      </c>
      <c r="M248" s="335">
        <v>14</v>
      </c>
      <c r="N248" s="335">
        <v>0</v>
      </c>
      <c r="O248" s="335">
        <v>0</v>
      </c>
      <c r="P248" s="335">
        <v>0</v>
      </c>
      <c r="Q248" s="335">
        <v>0</v>
      </c>
      <c r="R248" s="335">
        <v>8</v>
      </c>
      <c r="S248" s="335">
        <v>143</v>
      </c>
      <c r="T248" s="335">
        <v>84</v>
      </c>
      <c r="U248" s="335">
        <v>249</v>
      </c>
      <c r="V248" s="335">
        <v>242</v>
      </c>
      <c r="W248" s="335">
        <v>165</v>
      </c>
      <c r="X248" s="335">
        <v>158</v>
      </c>
      <c r="Y248" s="381">
        <f t="shared" si="3"/>
        <v>1035788</v>
      </c>
      <c r="Z248" s="335">
        <v>0</v>
      </c>
      <c r="AA248" s="335">
        <v>0</v>
      </c>
      <c r="AB248" s="335">
        <v>0</v>
      </c>
      <c r="AF248" s="394"/>
      <c r="AH248" s="366"/>
    </row>
    <row r="249" spans="1:34" ht="14.25">
      <c r="A249" s="366" t="s">
        <v>898</v>
      </c>
      <c r="B249" s="196" t="s">
        <v>381</v>
      </c>
      <c r="C249" s="196" t="s">
        <v>86</v>
      </c>
      <c r="D249" s="335">
        <v>20</v>
      </c>
      <c r="E249" s="335">
        <v>0</v>
      </c>
      <c r="F249" s="335">
        <v>0</v>
      </c>
      <c r="G249" s="335">
        <v>0</v>
      </c>
      <c r="H249" s="335">
        <v>0</v>
      </c>
      <c r="I249" s="335">
        <v>19</v>
      </c>
      <c r="J249" s="335">
        <v>104</v>
      </c>
      <c r="K249" s="335">
        <v>0</v>
      </c>
      <c r="L249" s="335">
        <v>143</v>
      </c>
      <c r="M249" s="335">
        <v>4</v>
      </c>
      <c r="N249" s="335">
        <v>0</v>
      </c>
      <c r="O249" s="335">
        <v>0</v>
      </c>
      <c r="P249" s="335">
        <v>0</v>
      </c>
      <c r="Q249" s="335">
        <v>0</v>
      </c>
      <c r="R249" s="335">
        <v>9</v>
      </c>
      <c r="S249" s="335">
        <v>36</v>
      </c>
      <c r="T249" s="335">
        <v>0</v>
      </c>
      <c r="U249" s="335">
        <v>49</v>
      </c>
      <c r="V249" s="335">
        <v>47</v>
      </c>
      <c r="W249" s="335">
        <v>49</v>
      </c>
      <c r="X249" s="335">
        <v>47</v>
      </c>
      <c r="Y249" s="381">
        <f t="shared" si="3"/>
        <v>195896</v>
      </c>
      <c r="Z249" s="335">
        <v>0</v>
      </c>
      <c r="AA249" s="335">
        <v>0</v>
      </c>
      <c r="AB249" s="335">
        <v>0</v>
      </c>
      <c r="AF249" s="394"/>
      <c r="AH249" s="366"/>
    </row>
    <row r="250" spans="1:34" ht="28.5">
      <c r="A250" s="366" t="s">
        <v>899</v>
      </c>
      <c r="B250" s="196" t="s">
        <v>218</v>
      </c>
      <c r="C250" s="196" t="s">
        <v>607</v>
      </c>
      <c r="D250" s="335">
        <v>0</v>
      </c>
      <c r="E250" s="335">
        <v>21</v>
      </c>
      <c r="F250" s="335">
        <v>0</v>
      </c>
      <c r="G250" s="335">
        <v>0</v>
      </c>
      <c r="H250" s="335">
        <v>0</v>
      </c>
      <c r="I250" s="335">
        <v>37</v>
      </c>
      <c r="J250" s="335">
        <v>339</v>
      </c>
      <c r="K250" s="335">
        <v>0</v>
      </c>
      <c r="L250" s="335">
        <v>397</v>
      </c>
      <c r="M250" s="335">
        <v>0</v>
      </c>
      <c r="N250" s="335">
        <v>20</v>
      </c>
      <c r="O250" s="335">
        <v>0</v>
      </c>
      <c r="P250" s="335">
        <v>0</v>
      </c>
      <c r="Q250" s="335">
        <v>0</v>
      </c>
      <c r="R250" s="335">
        <v>35</v>
      </c>
      <c r="S250" s="335">
        <v>324</v>
      </c>
      <c r="T250" s="335">
        <v>0</v>
      </c>
      <c r="U250" s="335">
        <v>379</v>
      </c>
      <c r="V250" s="335">
        <v>371</v>
      </c>
      <c r="W250" s="335">
        <v>379</v>
      </c>
      <c r="X250" s="335">
        <v>371</v>
      </c>
      <c r="Y250" s="381">
        <f t="shared" si="3"/>
        <v>1546328</v>
      </c>
      <c r="Z250" s="335">
        <v>0</v>
      </c>
      <c r="AA250" s="335">
        <v>0</v>
      </c>
      <c r="AB250" s="335">
        <v>0</v>
      </c>
      <c r="AF250" s="394"/>
      <c r="AH250" s="366"/>
    </row>
    <row r="251" spans="1:34" ht="14.25">
      <c r="A251" s="366" t="s">
        <v>900</v>
      </c>
      <c r="B251" s="196" t="s">
        <v>218</v>
      </c>
      <c r="C251" s="196" t="s">
        <v>86</v>
      </c>
      <c r="D251" s="335">
        <v>0</v>
      </c>
      <c r="E251" s="335">
        <v>21</v>
      </c>
      <c r="F251" s="335">
        <v>0</v>
      </c>
      <c r="G251" s="335">
        <v>0</v>
      </c>
      <c r="H251" s="335">
        <v>0</v>
      </c>
      <c r="I251" s="335">
        <v>37</v>
      </c>
      <c r="J251" s="335">
        <v>339</v>
      </c>
      <c r="K251" s="335">
        <v>0</v>
      </c>
      <c r="L251" s="335">
        <v>397</v>
      </c>
      <c r="M251" s="335">
        <v>0</v>
      </c>
      <c r="N251" s="335">
        <v>0</v>
      </c>
      <c r="O251" s="335">
        <v>0</v>
      </c>
      <c r="P251" s="335">
        <v>0</v>
      </c>
      <c r="Q251" s="335">
        <v>0</v>
      </c>
      <c r="R251" s="335">
        <v>1</v>
      </c>
      <c r="S251" s="335">
        <v>10</v>
      </c>
      <c r="T251" s="335">
        <v>0</v>
      </c>
      <c r="U251" s="335">
        <v>11</v>
      </c>
      <c r="V251" s="335">
        <v>11</v>
      </c>
      <c r="W251" s="335">
        <v>11</v>
      </c>
      <c r="X251" s="335">
        <v>11</v>
      </c>
      <c r="Y251" s="381">
        <f t="shared" si="3"/>
        <v>45848</v>
      </c>
      <c r="Z251" s="335">
        <v>0</v>
      </c>
      <c r="AA251" s="335">
        <v>0</v>
      </c>
      <c r="AB251" s="335">
        <v>0</v>
      </c>
      <c r="AF251" s="394"/>
      <c r="AH251" s="366"/>
    </row>
    <row r="252" spans="1:34" ht="28.5">
      <c r="A252" s="366" t="s">
        <v>901</v>
      </c>
      <c r="B252" s="196" t="s">
        <v>180</v>
      </c>
      <c r="C252" s="196" t="s">
        <v>607</v>
      </c>
      <c r="D252" s="335">
        <v>10</v>
      </c>
      <c r="E252" s="335">
        <v>0</v>
      </c>
      <c r="F252" s="335">
        <v>0</v>
      </c>
      <c r="G252" s="335">
        <v>0</v>
      </c>
      <c r="H252" s="335">
        <v>0</v>
      </c>
      <c r="I252" s="335">
        <v>9</v>
      </c>
      <c r="J252" s="335">
        <v>88</v>
      </c>
      <c r="K252" s="335">
        <v>0</v>
      </c>
      <c r="L252" s="335">
        <v>107</v>
      </c>
      <c r="M252" s="335">
        <v>6</v>
      </c>
      <c r="N252" s="335">
        <v>0</v>
      </c>
      <c r="O252" s="335">
        <v>0</v>
      </c>
      <c r="P252" s="335">
        <v>0</v>
      </c>
      <c r="Q252" s="335">
        <v>0</v>
      </c>
      <c r="R252" s="335">
        <v>6</v>
      </c>
      <c r="S252" s="335">
        <v>60</v>
      </c>
      <c r="T252" s="335">
        <v>0</v>
      </c>
      <c r="U252" s="335">
        <v>72</v>
      </c>
      <c r="V252" s="335">
        <v>69</v>
      </c>
      <c r="W252" s="335">
        <v>72</v>
      </c>
      <c r="X252" s="335">
        <v>69</v>
      </c>
      <c r="Y252" s="381">
        <f t="shared" si="3"/>
        <v>287592</v>
      </c>
      <c r="Z252" s="335">
        <v>0</v>
      </c>
      <c r="AA252" s="335">
        <v>0</v>
      </c>
      <c r="AB252" s="335">
        <v>0</v>
      </c>
      <c r="AF252" s="394"/>
      <c r="AH252" s="366"/>
    </row>
    <row r="253" spans="1:34" ht="14.25">
      <c r="A253" s="366" t="s">
        <v>902</v>
      </c>
      <c r="B253" s="196" t="s">
        <v>180</v>
      </c>
      <c r="C253" s="196" t="s">
        <v>86</v>
      </c>
      <c r="D253" s="335">
        <v>10</v>
      </c>
      <c r="E253" s="335">
        <v>0</v>
      </c>
      <c r="F253" s="335">
        <v>0</v>
      </c>
      <c r="G253" s="335">
        <v>0</v>
      </c>
      <c r="H253" s="335">
        <v>0</v>
      </c>
      <c r="I253" s="335">
        <v>9</v>
      </c>
      <c r="J253" s="335">
        <v>88</v>
      </c>
      <c r="K253" s="335">
        <v>0</v>
      </c>
      <c r="L253" s="335">
        <v>107</v>
      </c>
      <c r="M253" s="335">
        <v>2</v>
      </c>
      <c r="N253" s="335">
        <v>0</v>
      </c>
      <c r="O253" s="335">
        <v>0</v>
      </c>
      <c r="P253" s="335">
        <v>0</v>
      </c>
      <c r="Q253" s="335">
        <v>0</v>
      </c>
      <c r="R253" s="335">
        <v>2</v>
      </c>
      <c r="S253" s="335">
        <v>12</v>
      </c>
      <c r="T253" s="335">
        <v>0</v>
      </c>
      <c r="U253" s="335">
        <v>16</v>
      </c>
      <c r="V253" s="335">
        <v>15</v>
      </c>
      <c r="W253" s="335">
        <v>16</v>
      </c>
      <c r="X253" s="335">
        <v>15</v>
      </c>
      <c r="Y253" s="381">
        <f t="shared" si="3"/>
        <v>62520</v>
      </c>
      <c r="Z253" s="335">
        <v>0</v>
      </c>
      <c r="AA253" s="335">
        <v>0</v>
      </c>
      <c r="AB253" s="335">
        <v>0</v>
      </c>
      <c r="AF253" s="394"/>
      <c r="AH253" s="366"/>
    </row>
    <row r="254" spans="1:34" ht="14.25">
      <c r="A254" s="366" t="s">
        <v>903</v>
      </c>
      <c r="B254" s="196" t="s">
        <v>382</v>
      </c>
      <c r="C254" s="196" t="s">
        <v>86</v>
      </c>
      <c r="D254" s="335">
        <v>5</v>
      </c>
      <c r="E254" s="335">
        <v>0</v>
      </c>
      <c r="F254" s="335">
        <v>0</v>
      </c>
      <c r="G254" s="335">
        <v>0</v>
      </c>
      <c r="H254" s="335">
        <v>0</v>
      </c>
      <c r="I254" s="335">
        <v>13</v>
      </c>
      <c r="J254" s="335">
        <v>118</v>
      </c>
      <c r="K254" s="335">
        <v>0</v>
      </c>
      <c r="L254" s="335">
        <v>136</v>
      </c>
      <c r="M254" s="335">
        <v>3</v>
      </c>
      <c r="N254" s="335">
        <v>0</v>
      </c>
      <c r="O254" s="335">
        <v>0</v>
      </c>
      <c r="P254" s="335">
        <v>0</v>
      </c>
      <c r="Q254" s="335">
        <v>0</v>
      </c>
      <c r="R254" s="335">
        <v>5</v>
      </c>
      <c r="S254" s="335">
        <v>47</v>
      </c>
      <c r="T254" s="335">
        <v>0</v>
      </c>
      <c r="U254" s="335">
        <v>55</v>
      </c>
      <c r="V254" s="335">
        <v>53.5</v>
      </c>
      <c r="W254" s="335">
        <v>55</v>
      </c>
      <c r="X254" s="335">
        <v>53.5</v>
      </c>
      <c r="Y254" s="381">
        <f t="shared" si="3"/>
        <v>222988</v>
      </c>
      <c r="Z254" s="335">
        <v>0</v>
      </c>
      <c r="AA254" s="335">
        <v>0</v>
      </c>
      <c r="AB254" s="335">
        <v>0</v>
      </c>
      <c r="AF254" s="394"/>
      <c r="AH254" s="366"/>
    </row>
    <row r="255" spans="1:34" ht="28.5">
      <c r="A255" s="366" t="s">
        <v>904</v>
      </c>
      <c r="B255" s="196" t="s">
        <v>320</v>
      </c>
      <c r="C255" s="196" t="s">
        <v>607</v>
      </c>
      <c r="D255" s="335">
        <v>0</v>
      </c>
      <c r="E255" s="335">
        <v>69</v>
      </c>
      <c r="F255" s="335">
        <v>0</v>
      </c>
      <c r="G255" s="335">
        <v>0</v>
      </c>
      <c r="H255" s="335">
        <v>0</v>
      </c>
      <c r="I255" s="335">
        <v>86</v>
      </c>
      <c r="J255" s="335">
        <v>805</v>
      </c>
      <c r="K255" s="335">
        <v>474</v>
      </c>
      <c r="L255" s="335">
        <v>1434</v>
      </c>
      <c r="M255" s="335">
        <v>0</v>
      </c>
      <c r="N255" s="335">
        <v>67</v>
      </c>
      <c r="O255" s="335">
        <v>0</v>
      </c>
      <c r="P255" s="335">
        <v>0</v>
      </c>
      <c r="Q255" s="335">
        <v>0</v>
      </c>
      <c r="R255" s="335">
        <v>85</v>
      </c>
      <c r="S255" s="335">
        <v>774</v>
      </c>
      <c r="T255" s="335">
        <v>473</v>
      </c>
      <c r="U255" s="335">
        <v>1399</v>
      </c>
      <c r="V255" s="335">
        <v>1372.2</v>
      </c>
      <c r="W255" s="335">
        <v>926</v>
      </c>
      <c r="X255" s="335">
        <v>899.2</v>
      </c>
      <c r="Y255" s="381">
        <f t="shared" si="3"/>
        <v>5872108.6</v>
      </c>
      <c r="Z255" s="335">
        <v>1</v>
      </c>
      <c r="AA255" s="335">
        <v>0</v>
      </c>
      <c r="AB255" s="335">
        <v>0</v>
      </c>
      <c r="AF255" s="394"/>
      <c r="AH255" s="366"/>
    </row>
    <row r="256" spans="1:34" ht="14.25">
      <c r="A256" s="366" t="s">
        <v>905</v>
      </c>
      <c r="B256" s="196" t="s">
        <v>383</v>
      </c>
      <c r="C256" s="196" t="s">
        <v>86</v>
      </c>
      <c r="D256" s="335">
        <v>15</v>
      </c>
      <c r="E256" s="335">
        <v>0</v>
      </c>
      <c r="F256" s="335">
        <v>0</v>
      </c>
      <c r="G256" s="335">
        <v>0</v>
      </c>
      <c r="H256" s="335">
        <v>0</v>
      </c>
      <c r="I256" s="335">
        <v>12</v>
      </c>
      <c r="J256" s="335">
        <v>48</v>
      </c>
      <c r="K256" s="335">
        <v>0</v>
      </c>
      <c r="L256" s="335">
        <v>75</v>
      </c>
      <c r="M256" s="335">
        <v>3</v>
      </c>
      <c r="N256" s="335">
        <v>0</v>
      </c>
      <c r="O256" s="335">
        <v>0</v>
      </c>
      <c r="P256" s="335">
        <v>0</v>
      </c>
      <c r="Q256" s="335">
        <v>0</v>
      </c>
      <c r="R256" s="335">
        <v>4</v>
      </c>
      <c r="S256" s="335">
        <v>15</v>
      </c>
      <c r="T256" s="335">
        <v>0</v>
      </c>
      <c r="U256" s="335">
        <v>22</v>
      </c>
      <c r="V256" s="335">
        <v>20.5</v>
      </c>
      <c r="W256" s="335">
        <v>22</v>
      </c>
      <c r="X256" s="335">
        <v>20.5</v>
      </c>
      <c r="Y256" s="381">
        <f t="shared" si="3"/>
        <v>85444</v>
      </c>
      <c r="Z256" s="335">
        <v>0</v>
      </c>
      <c r="AA256" s="335">
        <v>0</v>
      </c>
      <c r="AB256" s="335">
        <v>0</v>
      </c>
      <c r="AF256" s="394"/>
      <c r="AH256" s="366"/>
    </row>
    <row r="257" spans="1:34" ht="28.5">
      <c r="A257" s="366" t="s">
        <v>906</v>
      </c>
      <c r="B257" s="196" t="s">
        <v>479</v>
      </c>
      <c r="C257" s="196" t="s">
        <v>86</v>
      </c>
      <c r="D257" s="335">
        <v>5</v>
      </c>
      <c r="E257" s="335">
        <v>0</v>
      </c>
      <c r="F257" s="335">
        <v>0</v>
      </c>
      <c r="G257" s="335">
        <v>0</v>
      </c>
      <c r="H257" s="335">
        <v>0</v>
      </c>
      <c r="I257" s="335">
        <v>5</v>
      </c>
      <c r="J257" s="335">
        <v>48</v>
      </c>
      <c r="K257" s="335">
        <v>0</v>
      </c>
      <c r="L257" s="335">
        <v>58</v>
      </c>
      <c r="M257" s="335">
        <v>1</v>
      </c>
      <c r="N257" s="335">
        <v>0</v>
      </c>
      <c r="O257" s="335">
        <v>0</v>
      </c>
      <c r="P257" s="335">
        <v>0</v>
      </c>
      <c r="Q257" s="335">
        <v>0</v>
      </c>
      <c r="R257" s="335">
        <v>0</v>
      </c>
      <c r="S257" s="335">
        <v>15</v>
      </c>
      <c r="T257" s="335">
        <v>0</v>
      </c>
      <c r="U257" s="335">
        <v>16</v>
      </c>
      <c r="V257" s="335">
        <v>15.5</v>
      </c>
      <c r="W257" s="335">
        <v>16</v>
      </c>
      <c r="X257" s="335">
        <v>15.5</v>
      </c>
      <c r="Y257" s="381">
        <f t="shared" si="3"/>
        <v>64604</v>
      </c>
      <c r="Z257" s="335">
        <v>0</v>
      </c>
      <c r="AA257" s="335">
        <v>0</v>
      </c>
      <c r="AB257" s="335">
        <v>0</v>
      </c>
      <c r="AF257" s="394"/>
      <c r="AH257" s="366"/>
    </row>
    <row r="258" spans="1:34" ht="28.5">
      <c r="A258" s="366" t="s">
        <v>907</v>
      </c>
      <c r="B258" s="196" t="s">
        <v>321</v>
      </c>
      <c r="C258" s="196" t="s">
        <v>607</v>
      </c>
      <c r="D258" s="335">
        <v>0</v>
      </c>
      <c r="E258" s="335">
        <v>69</v>
      </c>
      <c r="F258" s="335">
        <v>0</v>
      </c>
      <c r="G258" s="335">
        <v>0</v>
      </c>
      <c r="H258" s="335">
        <v>0</v>
      </c>
      <c r="I258" s="335">
        <v>68</v>
      </c>
      <c r="J258" s="335">
        <v>734</v>
      </c>
      <c r="K258" s="335">
        <v>556</v>
      </c>
      <c r="L258" s="335">
        <v>1427</v>
      </c>
      <c r="M258" s="335">
        <v>0</v>
      </c>
      <c r="N258" s="335">
        <v>61</v>
      </c>
      <c r="O258" s="335">
        <v>0</v>
      </c>
      <c r="P258" s="335">
        <v>0</v>
      </c>
      <c r="Q258" s="335">
        <v>0</v>
      </c>
      <c r="R258" s="335">
        <v>60</v>
      </c>
      <c r="S258" s="335">
        <v>626</v>
      </c>
      <c r="T258" s="335">
        <v>505</v>
      </c>
      <c r="U258" s="335">
        <v>1252</v>
      </c>
      <c r="V258" s="335">
        <v>1227.6</v>
      </c>
      <c r="W258" s="335">
        <v>747</v>
      </c>
      <c r="X258" s="335">
        <v>722.6</v>
      </c>
      <c r="Y258" s="381">
        <f t="shared" si="3"/>
        <v>5279751.800000001</v>
      </c>
      <c r="Z258" s="335">
        <v>107</v>
      </c>
      <c r="AA258" s="335">
        <v>0</v>
      </c>
      <c r="AB258" s="335">
        <v>0</v>
      </c>
      <c r="AF258" s="394"/>
      <c r="AH258" s="366"/>
    </row>
    <row r="259" spans="1:34" ht="28.5">
      <c r="A259" s="366" t="s">
        <v>908</v>
      </c>
      <c r="B259" s="196" t="s">
        <v>321</v>
      </c>
      <c r="C259" s="196" t="s">
        <v>86</v>
      </c>
      <c r="D259" s="335">
        <v>0</v>
      </c>
      <c r="E259" s="335">
        <v>69</v>
      </c>
      <c r="F259" s="335">
        <v>0</v>
      </c>
      <c r="G259" s="335">
        <v>0</v>
      </c>
      <c r="H259" s="335">
        <v>0</v>
      </c>
      <c r="I259" s="335">
        <v>68</v>
      </c>
      <c r="J259" s="335">
        <v>734</v>
      </c>
      <c r="K259" s="335">
        <v>556</v>
      </c>
      <c r="L259" s="335">
        <v>1427</v>
      </c>
      <c r="M259" s="335">
        <v>0</v>
      </c>
      <c r="N259" s="335">
        <v>3</v>
      </c>
      <c r="O259" s="335">
        <v>0</v>
      </c>
      <c r="P259" s="335">
        <v>0</v>
      </c>
      <c r="Q259" s="335">
        <v>0</v>
      </c>
      <c r="R259" s="335">
        <v>0</v>
      </c>
      <c r="S259" s="335">
        <v>38</v>
      </c>
      <c r="T259" s="335">
        <v>18</v>
      </c>
      <c r="U259" s="335">
        <v>59</v>
      </c>
      <c r="V259" s="335">
        <v>57.8</v>
      </c>
      <c r="W259" s="335">
        <v>41</v>
      </c>
      <c r="X259" s="335">
        <v>39.8</v>
      </c>
      <c r="Y259" s="381">
        <f t="shared" si="3"/>
        <v>246724.4</v>
      </c>
      <c r="Z259" s="335">
        <v>0</v>
      </c>
      <c r="AA259" s="335">
        <v>0</v>
      </c>
      <c r="AB259" s="335">
        <v>0</v>
      </c>
      <c r="AF259" s="394"/>
      <c r="AH259" s="366"/>
    </row>
    <row r="260" spans="1:34" ht="14.25">
      <c r="A260" s="366" t="s">
        <v>909</v>
      </c>
      <c r="B260" s="196" t="s">
        <v>384</v>
      </c>
      <c r="C260" s="196" t="s">
        <v>86</v>
      </c>
      <c r="D260" s="335">
        <v>8</v>
      </c>
      <c r="E260" s="335">
        <v>0</v>
      </c>
      <c r="F260" s="335">
        <v>0</v>
      </c>
      <c r="G260" s="335">
        <v>6</v>
      </c>
      <c r="H260" s="335">
        <v>0</v>
      </c>
      <c r="I260" s="335">
        <v>0</v>
      </c>
      <c r="J260" s="335">
        <v>57</v>
      </c>
      <c r="K260" s="335">
        <v>13</v>
      </c>
      <c r="L260" s="335">
        <v>84</v>
      </c>
      <c r="M260" s="335">
        <v>3</v>
      </c>
      <c r="N260" s="335">
        <v>0</v>
      </c>
      <c r="O260" s="335">
        <v>0</v>
      </c>
      <c r="P260" s="335">
        <v>3</v>
      </c>
      <c r="Q260" s="335">
        <v>0</v>
      </c>
      <c r="R260" s="335">
        <v>0</v>
      </c>
      <c r="S260" s="335">
        <v>11</v>
      </c>
      <c r="T260" s="335">
        <v>3</v>
      </c>
      <c r="U260" s="335">
        <v>20</v>
      </c>
      <c r="V260" s="335">
        <v>17.3</v>
      </c>
      <c r="W260" s="335">
        <v>17</v>
      </c>
      <c r="X260" s="335">
        <v>14.3</v>
      </c>
      <c r="Y260" s="381">
        <f t="shared" si="3"/>
        <v>73075.4</v>
      </c>
      <c r="Z260" s="335">
        <v>0</v>
      </c>
      <c r="AA260" s="335">
        <v>0</v>
      </c>
      <c r="AB260" s="335">
        <v>0</v>
      </c>
      <c r="AF260" s="394"/>
      <c r="AH260" s="366"/>
    </row>
    <row r="261" spans="1:34" ht="14.25">
      <c r="A261" s="366" t="s">
        <v>910</v>
      </c>
      <c r="B261" s="196" t="s">
        <v>272</v>
      </c>
      <c r="C261" s="196" t="s">
        <v>86</v>
      </c>
      <c r="D261" s="335">
        <v>3</v>
      </c>
      <c r="E261" s="335">
        <v>0</v>
      </c>
      <c r="F261" s="335">
        <v>0</v>
      </c>
      <c r="G261" s="335">
        <v>0</v>
      </c>
      <c r="H261" s="335">
        <v>0</v>
      </c>
      <c r="I261" s="335">
        <v>10</v>
      </c>
      <c r="J261" s="335">
        <v>66</v>
      </c>
      <c r="K261" s="335">
        <v>0</v>
      </c>
      <c r="L261" s="335">
        <v>79</v>
      </c>
      <c r="M261" s="335">
        <v>3</v>
      </c>
      <c r="N261" s="335">
        <v>0</v>
      </c>
      <c r="O261" s="335">
        <v>0</v>
      </c>
      <c r="P261" s="335">
        <v>0</v>
      </c>
      <c r="Q261" s="335">
        <v>0</v>
      </c>
      <c r="R261" s="335">
        <v>1</v>
      </c>
      <c r="S261" s="335">
        <v>15</v>
      </c>
      <c r="T261" s="335">
        <v>0</v>
      </c>
      <c r="U261" s="335">
        <v>19</v>
      </c>
      <c r="V261" s="335">
        <v>17.5</v>
      </c>
      <c r="W261" s="335">
        <v>19</v>
      </c>
      <c r="X261" s="335">
        <v>17.5</v>
      </c>
      <c r="Y261" s="381">
        <f aca="true" t="shared" si="4" ref="Y261:Y324">((T261*CY_9_12_Pmt)+(X261*CY_K_8_Pmt))/2</f>
        <v>72940</v>
      </c>
      <c r="Z261" s="335">
        <v>0</v>
      </c>
      <c r="AA261" s="335">
        <v>0</v>
      </c>
      <c r="AB261" s="335">
        <v>0</v>
      </c>
      <c r="AF261" s="394"/>
      <c r="AH261" s="366"/>
    </row>
    <row r="262" spans="1:34" ht="28.5">
      <c r="A262" s="366" t="s">
        <v>911</v>
      </c>
      <c r="B262" s="196" t="s">
        <v>127</v>
      </c>
      <c r="C262" s="196" t="s">
        <v>607</v>
      </c>
      <c r="D262" s="335">
        <v>0</v>
      </c>
      <c r="E262" s="335">
        <v>15</v>
      </c>
      <c r="F262" s="335">
        <v>0</v>
      </c>
      <c r="G262" s="335">
        <v>0</v>
      </c>
      <c r="H262" s="335">
        <v>0</v>
      </c>
      <c r="I262" s="335">
        <v>22</v>
      </c>
      <c r="J262" s="335">
        <v>92</v>
      </c>
      <c r="K262" s="335">
        <v>0</v>
      </c>
      <c r="L262" s="335">
        <v>129</v>
      </c>
      <c r="M262" s="335">
        <v>0</v>
      </c>
      <c r="N262" s="335">
        <v>15</v>
      </c>
      <c r="O262" s="335">
        <v>0</v>
      </c>
      <c r="P262" s="335">
        <v>0</v>
      </c>
      <c r="Q262" s="335">
        <v>0</v>
      </c>
      <c r="R262" s="335">
        <v>22</v>
      </c>
      <c r="S262" s="335">
        <v>92</v>
      </c>
      <c r="T262" s="335">
        <v>0</v>
      </c>
      <c r="U262" s="335">
        <v>129</v>
      </c>
      <c r="V262" s="335">
        <v>123</v>
      </c>
      <c r="W262" s="335">
        <v>129</v>
      </c>
      <c r="X262" s="335">
        <v>123</v>
      </c>
      <c r="Y262" s="381">
        <f t="shared" si="4"/>
        <v>512664</v>
      </c>
      <c r="Z262" s="335">
        <v>0</v>
      </c>
      <c r="AA262" s="335">
        <v>0</v>
      </c>
      <c r="AB262" s="335">
        <v>0</v>
      </c>
      <c r="AF262" s="394"/>
      <c r="AH262" s="366"/>
    </row>
    <row r="263" spans="1:34" ht="28.5">
      <c r="A263" s="366" t="s">
        <v>912</v>
      </c>
      <c r="B263" s="196" t="s">
        <v>480</v>
      </c>
      <c r="C263" s="196" t="s">
        <v>607</v>
      </c>
      <c r="D263" s="335">
        <v>0</v>
      </c>
      <c r="E263" s="335">
        <v>18</v>
      </c>
      <c r="F263" s="335">
        <v>0</v>
      </c>
      <c r="G263" s="335">
        <v>0</v>
      </c>
      <c r="H263" s="335">
        <v>0</v>
      </c>
      <c r="I263" s="335">
        <v>14</v>
      </c>
      <c r="J263" s="335">
        <v>161</v>
      </c>
      <c r="K263" s="335">
        <v>0</v>
      </c>
      <c r="L263" s="335">
        <v>193</v>
      </c>
      <c r="M263" s="335">
        <v>0</v>
      </c>
      <c r="N263" s="335">
        <v>12</v>
      </c>
      <c r="O263" s="335">
        <v>0</v>
      </c>
      <c r="P263" s="335">
        <v>0</v>
      </c>
      <c r="Q263" s="335">
        <v>0</v>
      </c>
      <c r="R263" s="335">
        <v>7</v>
      </c>
      <c r="S263" s="335">
        <v>107</v>
      </c>
      <c r="T263" s="335">
        <v>0</v>
      </c>
      <c r="U263" s="335">
        <v>126</v>
      </c>
      <c r="V263" s="335">
        <v>121.2</v>
      </c>
      <c r="W263" s="335">
        <v>126</v>
      </c>
      <c r="X263" s="335">
        <v>121.2</v>
      </c>
      <c r="Y263" s="381">
        <f t="shared" si="4"/>
        <v>505161.60000000003</v>
      </c>
      <c r="Z263" s="335">
        <v>0</v>
      </c>
      <c r="AA263" s="335">
        <v>0</v>
      </c>
      <c r="AB263" s="335">
        <v>0</v>
      </c>
      <c r="AF263" s="394"/>
      <c r="AH263" s="366"/>
    </row>
    <row r="264" spans="1:34" ht="28.5">
      <c r="A264" s="366" t="s">
        <v>913</v>
      </c>
      <c r="B264" s="196" t="s">
        <v>480</v>
      </c>
      <c r="C264" s="196" t="s">
        <v>86</v>
      </c>
      <c r="D264" s="335">
        <v>0</v>
      </c>
      <c r="E264" s="335">
        <v>18</v>
      </c>
      <c r="F264" s="335">
        <v>0</v>
      </c>
      <c r="G264" s="335">
        <v>0</v>
      </c>
      <c r="H264" s="335">
        <v>0</v>
      </c>
      <c r="I264" s="335">
        <v>14</v>
      </c>
      <c r="J264" s="335">
        <v>161</v>
      </c>
      <c r="K264" s="335">
        <v>0</v>
      </c>
      <c r="L264" s="335">
        <v>193</v>
      </c>
      <c r="M264" s="335">
        <v>0</v>
      </c>
      <c r="N264" s="335">
        <v>0</v>
      </c>
      <c r="O264" s="335">
        <v>0</v>
      </c>
      <c r="P264" s="335">
        <v>0</v>
      </c>
      <c r="Q264" s="335">
        <v>0</v>
      </c>
      <c r="R264" s="335">
        <v>2</v>
      </c>
      <c r="S264" s="335">
        <v>10</v>
      </c>
      <c r="T264" s="335">
        <v>0</v>
      </c>
      <c r="U264" s="335">
        <v>12</v>
      </c>
      <c r="V264" s="335">
        <v>12</v>
      </c>
      <c r="W264" s="335">
        <v>12</v>
      </c>
      <c r="X264" s="335">
        <v>12</v>
      </c>
      <c r="Y264" s="381">
        <f t="shared" si="4"/>
        <v>50016</v>
      </c>
      <c r="Z264" s="335">
        <v>0</v>
      </c>
      <c r="AA264" s="335">
        <v>0</v>
      </c>
      <c r="AB264" s="335">
        <v>0</v>
      </c>
      <c r="AF264" s="394"/>
      <c r="AH264" s="366"/>
    </row>
    <row r="265" spans="1:34" ht="14.25">
      <c r="A265" s="366" t="s">
        <v>914</v>
      </c>
      <c r="B265" s="196" t="s">
        <v>481</v>
      </c>
      <c r="C265" s="196" t="s">
        <v>86</v>
      </c>
      <c r="D265" s="335">
        <v>13</v>
      </c>
      <c r="E265" s="335">
        <v>0</v>
      </c>
      <c r="F265" s="335">
        <v>0</v>
      </c>
      <c r="G265" s="335">
        <v>0</v>
      </c>
      <c r="H265" s="335">
        <v>0</v>
      </c>
      <c r="I265" s="335">
        <v>12</v>
      </c>
      <c r="J265" s="335">
        <v>76</v>
      </c>
      <c r="K265" s="335">
        <v>0</v>
      </c>
      <c r="L265" s="335">
        <v>101</v>
      </c>
      <c r="M265" s="335">
        <v>1</v>
      </c>
      <c r="N265" s="335">
        <v>0</v>
      </c>
      <c r="O265" s="335">
        <v>0</v>
      </c>
      <c r="P265" s="335">
        <v>0</v>
      </c>
      <c r="Q265" s="335">
        <v>0</v>
      </c>
      <c r="R265" s="335">
        <v>3</v>
      </c>
      <c r="S265" s="335">
        <v>10</v>
      </c>
      <c r="T265" s="335">
        <v>0</v>
      </c>
      <c r="U265" s="335">
        <v>14</v>
      </c>
      <c r="V265" s="335">
        <v>13.5</v>
      </c>
      <c r="W265" s="335">
        <v>14</v>
      </c>
      <c r="X265" s="335">
        <v>13.5</v>
      </c>
      <c r="Y265" s="381">
        <f t="shared" si="4"/>
        <v>56268</v>
      </c>
      <c r="Z265" s="335">
        <v>0</v>
      </c>
      <c r="AA265" s="335">
        <v>0</v>
      </c>
      <c r="AB265" s="335">
        <v>0</v>
      </c>
      <c r="AF265" s="394"/>
      <c r="AH265" s="366"/>
    </row>
    <row r="266" spans="1:34" ht="14.25">
      <c r="A266" s="366" t="s">
        <v>915</v>
      </c>
      <c r="B266" s="196" t="s">
        <v>533</v>
      </c>
      <c r="C266" s="196" t="s">
        <v>86</v>
      </c>
      <c r="D266" s="335">
        <v>0</v>
      </c>
      <c r="E266" s="335">
        <v>0</v>
      </c>
      <c r="F266" s="335">
        <v>0</v>
      </c>
      <c r="G266" s="335">
        <v>0</v>
      </c>
      <c r="H266" s="335">
        <v>0</v>
      </c>
      <c r="I266" s="335">
        <v>11</v>
      </c>
      <c r="J266" s="335">
        <v>43</v>
      </c>
      <c r="K266" s="335">
        <v>0</v>
      </c>
      <c r="L266" s="335">
        <v>54</v>
      </c>
      <c r="M266" s="335">
        <v>0</v>
      </c>
      <c r="N266" s="335">
        <v>0</v>
      </c>
      <c r="O266" s="335">
        <v>0</v>
      </c>
      <c r="P266" s="335">
        <v>0</v>
      </c>
      <c r="Q266" s="335">
        <v>0</v>
      </c>
      <c r="R266" s="335">
        <v>3</v>
      </c>
      <c r="S266" s="335">
        <v>11</v>
      </c>
      <c r="T266" s="335">
        <v>0</v>
      </c>
      <c r="U266" s="335">
        <v>14</v>
      </c>
      <c r="V266" s="335">
        <v>14</v>
      </c>
      <c r="W266" s="335">
        <v>14</v>
      </c>
      <c r="X266" s="335">
        <v>14</v>
      </c>
      <c r="Y266" s="381">
        <f t="shared" si="4"/>
        <v>58352</v>
      </c>
      <c r="Z266" s="335">
        <v>0</v>
      </c>
      <c r="AA266" s="335">
        <v>0</v>
      </c>
      <c r="AB266" s="335">
        <v>0</v>
      </c>
      <c r="AF266" s="394"/>
      <c r="AH266" s="366"/>
    </row>
    <row r="267" spans="1:34" ht="28.5">
      <c r="A267" s="366" t="s">
        <v>916</v>
      </c>
      <c r="B267" s="196" t="s">
        <v>385</v>
      </c>
      <c r="C267" s="196" t="s">
        <v>86</v>
      </c>
      <c r="D267" s="335">
        <v>8</v>
      </c>
      <c r="E267" s="335">
        <v>0</v>
      </c>
      <c r="F267" s="335">
        <v>0</v>
      </c>
      <c r="G267" s="335">
        <v>0</v>
      </c>
      <c r="H267" s="335">
        <v>0</v>
      </c>
      <c r="I267" s="335">
        <v>13</v>
      </c>
      <c r="J267" s="335">
        <v>88</v>
      </c>
      <c r="K267" s="335">
        <v>0</v>
      </c>
      <c r="L267" s="335">
        <v>109</v>
      </c>
      <c r="M267" s="335">
        <v>4</v>
      </c>
      <c r="N267" s="335">
        <v>0</v>
      </c>
      <c r="O267" s="335">
        <v>0</v>
      </c>
      <c r="P267" s="335">
        <v>0</v>
      </c>
      <c r="Q267" s="335">
        <v>0</v>
      </c>
      <c r="R267" s="335">
        <v>4</v>
      </c>
      <c r="S267" s="335">
        <v>39</v>
      </c>
      <c r="T267" s="335">
        <v>0</v>
      </c>
      <c r="U267" s="335">
        <v>47</v>
      </c>
      <c r="V267" s="335">
        <v>45</v>
      </c>
      <c r="W267" s="335">
        <v>47</v>
      </c>
      <c r="X267" s="335">
        <v>45</v>
      </c>
      <c r="Y267" s="381">
        <f t="shared" si="4"/>
        <v>187560</v>
      </c>
      <c r="Z267" s="335">
        <v>0</v>
      </c>
      <c r="AA267" s="335">
        <v>0</v>
      </c>
      <c r="AB267" s="335">
        <v>0</v>
      </c>
      <c r="AF267" s="394"/>
      <c r="AH267" s="366"/>
    </row>
    <row r="268" spans="1:34" ht="28.5">
      <c r="A268" s="366" t="s">
        <v>917</v>
      </c>
      <c r="B268" s="196" t="s">
        <v>511</v>
      </c>
      <c r="C268" s="196" t="s">
        <v>86</v>
      </c>
      <c r="D268" s="335">
        <v>85</v>
      </c>
      <c r="E268" s="335">
        <v>0</v>
      </c>
      <c r="F268" s="335">
        <v>0</v>
      </c>
      <c r="G268" s="335">
        <v>0</v>
      </c>
      <c r="H268" s="335">
        <v>0</v>
      </c>
      <c r="I268" s="335">
        <v>90</v>
      </c>
      <c r="J268" s="335">
        <v>765</v>
      </c>
      <c r="K268" s="335">
        <v>484</v>
      </c>
      <c r="L268" s="335">
        <v>1424</v>
      </c>
      <c r="M268" s="335">
        <v>20</v>
      </c>
      <c r="N268" s="335">
        <v>0</v>
      </c>
      <c r="O268" s="335">
        <v>0</v>
      </c>
      <c r="P268" s="335">
        <v>0</v>
      </c>
      <c r="Q268" s="335">
        <v>0</v>
      </c>
      <c r="R268" s="335">
        <v>18</v>
      </c>
      <c r="S268" s="335">
        <v>182</v>
      </c>
      <c r="T268" s="335">
        <v>82</v>
      </c>
      <c r="U268" s="335">
        <v>302</v>
      </c>
      <c r="V268" s="335">
        <v>292</v>
      </c>
      <c r="W268" s="335">
        <v>220</v>
      </c>
      <c r="X268" s="335">
        <v>210</v>
      </c>
      <c r="Y268" s="381">
        <f t="shared" si="4"/>
        <v>1243542</v>
      </c>
      <c r="Z268" s="335">
        <v>0</v>
      </c>
      <c r="AA268" s="335">
        <v>0</v>
      </c>
      <c r="AB268" s="335">
        <v>0</v>
      </c>
      <c r="AF268" s="394"/>
      <c r="AH268" s="366"/>
    </row>
    <row r="269" spans="1:34" ht="28.5">
      <c r="A269" s="366" t="s">
        <v>918</v>
      </c>
      <c r="B269" s="196" t="s">
        <v>534</v>
      </c>
      <c r="C269" s="196" t="s">
        <v>86</v>
      </c>
      <c r="D269" s="335">
        <v>12</v>
      </c>
      <c r="E269" s="335">
        <v>0</v>
      </c>
      <c r="F269" s="335">
        <v>0</v>
      </c>
      <c r="G269" s="335">
        <v>0</v>
      </c>
      <c r="H269" s="335">
        <v>0</v>
      </c>
      <c r="I269" s="335">
        <v>12</v>
      </c>
      <c r="J269" s="335">
        <v>99</v>
      </c>
      <c r="K269" s="335">
        <v>0</v>
      </c>
      <c r="L269" s="335">
        <v>123</v>
      </c>
      <c r="M269" s="335">
        <v>5</v>
      </c>
      <c r="N269" s="335">
        <v>0</v>
      </c>
      <c r="O269" s="335">
        <v>0</v>
      </c>
      <c r="P269" s="335">
        <v>0</v>
      </c>
      <c r="Q269" s="335">
        <v>0</v>
      </c>
      <c r="R269" s="335">
        <v>7</v>
      </c>
      <c r="S269" s="335">
        <v>36</v>
      </c>
      <c r="T269" s="335">
        <v>0</v>
      </c>
      <c r="U269" s="335">
        <v>48</v>
      </c>
      <c r="V269" s="335">
        <v>45.5</v>
      </c>
      <c r="W269" s="335">
        <v>48</v>
      </c>
      <c r="X269" s="335">
        <v>45.5</v>
      </c>
      <c r="Y269" s="381">
        <f t="shared" si="4"/>
        <v>189644</v>
      </c>
      <c r="Z269" s="335">
        <v>0</v>
      </c>
      <c r="AA269" s="335">
        <v>0</v>
      </c>
      <c r="AB269" s="335">
        <v>0</v>
      </c>
      <c r="AF269" s="394"/>
      <c r="AH269" s="366"/>
    </row>
    <row r="270" spans="1:34" ht="28.5">
      <c r="A270" s="366" t="s">
        <v>919</v>
      </c>
      <c r="B270" s="196" t="s">
        <v>512</v>
      </c>
      <c r="C270" s="196" t="s">
        <v>86</v>
      </c>
      <c r="D270" s="335">
        <v>10</v>
      </c>
      <c r="E270" s="335">
        <v>0</v>
      </c>
      <c r="F270" s="335">
        <v>0</v>
      </c>
      <c r="G270" s="335">
        <v>0</v>
      </c>
      <c r="H270" s="335">
        <v>0</v>
      </c>
      <c r="I270" s="335">
        <v>9</v>
      </c>
      <c r="J270" s="335">
        <v>123</v>
      </c>
      <c r="K270" s="335">
        <v>0</v>
      </c>
      <c r="L270" s="335">
        <v>142</v>
      </c>
      <c r="M270" s="335">
        <v>3</v>
      </c>
      <c r="N270" s="335">
        <v>0</v>
      </c>
      <c r="O270" s="335">
        <v>0</v>
      </c>
      <c r="P270" s="335">
        <v>0</v>
      </c>
      <c r="Q270" s="335">
        <v>0</v>
      </c>
      <c r="R270" s="335">
        <v>2</v>
      </c>
      <c r="S270" s="335">
        <v>21</v>
      </c>
      <c r="T270" s="335">
        <v>0</v>
      </c>
      <c r="U270" s="335">
        <v>26</v>
      </c>
      <c r="V270" s="335">
        <v>24.5</v>
      </c>
      <c r="W270" s="335">
        <v>26</v>
      </c>
      <c r="X270" s="335">
        <v>24.5</v>
      </c>
      <c r="Y270" s="381">
        <f t="shared" si="4"/>
        <v>102116</v>
      </c>
      <c r="Z270" s="335">
        <v>0</v>
      </c>
      <c r="AA270" s="335">
        <v>0</v>
      </c>
      <c r="AB270" s="335">
        <v>0</v>
      </c>
      <c r="AF270" s="394"/>
      <c r="AH270" s="366"/>
    </row>
    <row r="271" spans="1:34" ht="28.5">
      <c r="A271" s="366" t="s">
        <v>920</v>
      </c>
      <c r="B271" s="196" t="s">
        <v>219</v>
      </c>
      <c r="C271" s="196" t="s">
        <v>607</v>
      </c>
      <c r="D271" s="335">
        <v>13</v>
      </c>
      <c r="E271" s="335">
        <v>0</v>
      </c>
      <c r="F271" s="335">
        <v>0</v>
      </c>
      <c r="G271" s="335">
        <v>0</v>
      </c>
      <c r="H271" s="335">
        <v>0</v>
      </c>
      <c r="I271" s="335">
        <v>8</v>
      </c>
      <c r="J271" s="335">
        <v>141</v>
      </c>
      <c r="K271" s="335">
        <v>0</v>
      </c>
      <c r="L271" s="335">
        <v>162</v>
      </c>
      <c r="M271" s="335">
        <v>12</v>
      </c>
      <c r="N271" s="335">
        <v>0</v>
      </c>
      <c r="O271" s="335">
        <v>0</v>
      </c>
      <c r="P271" s="335">
        <v>0</v>
      </c>
      <c r="Q271" s="335">
        <v>0</v>
      </c>
      <c r="R271" s="335">
        <v>7</v>
      </c>
      <c r="S271" s="335">
        <v>131</v>
      </c>
      <c r="T271" s="335">
        <v>0</v>
      </c>
      <c r="U271" s="335">
        <v>150</v>
      </c>
      <c r="V271" s="335">
        <v>144</v>
      </c>
      <c r="W271" s="335">
        <v>150</v>
      </c>
      <c r="X271" s="335">
        <v>144</v>
      </c>
      <c r="Y271" s="381">
        <f t="shared" si="4"/>
        <v>600192</v>
      </c>
      <c r="Z271" s="335">
        <v>0</v>
      </c>
      <c r="AA271" s="335">
        <v>0</v>
      </c>
      <c r="AB271" s="335">
        <v>0</v>
      </c>
      <c r="AF271" s="394"/>
      <c r="AH271" s="366"/>
    </row>
    <row r="272" spans="1:34" ht="14.25">
      <c r="A272" s="366" t="s">
        <v>921</v>
      </c>
      <c r="B272" s="196" t="s">
        <v>219</v>
      </c>
      <c r="C272" s="196" t="s">
        <v>86</v>
      </c>
      <c r="D272" s="335">
        <v>13</v>
      </c>
      <c r="E272" s="335">
        <v>0</v>
      </c>
      <c r="F272" s="335">
        <v>0</v>
      </c>
      <c r="G272" s="335">
        <v>0</v>
      </c>
      <c r="H272" s="335">
        <v>0</v>
      </c>
      <c r="I272" s="335">
        <v>8</v>
      </c>
      <c r="J272" s="335">
        <v>141</v>
      </c>
      <c r="K272" s="335">
        <v>0</v>
      </c>
      <c r="L272" s="335">
        <v>162</v>
      </c>
      <c r="M272" s="335">
        <v>0</v>
      </c>
      <c r="N272" s="335">
        <v>0</v>
      </c>
      <c r="O272" s="335">
        <v>0</v>
      </c>
      <c r="P272" s="335">
        <v>0</v>
      </c>
      <c r="Q272" s="335">
        <v>0</v>
      </c>
      <c r="R272" s="335">
        <v>0</v>
      </c>
      <c r="S272" s="335">
        <v>4</v>
      </c>
      <c r="T272" s="335">
        <v>0</v>
      </c>
      <c r="U272" s="335">
        <v>4</v>
      </c>
      <c r="V272" s="335">
        <v>4</v>
      </c>
      <c r="W272" s="335">
        <v>4</v>
      </c>
      <c r="X272" s="335">
        <v>4</v>
      </c>
      <c r="Y272" s="381">
        <f t="shared" si="4"/>
        <v>16672</v>
      </c>
      <c r="Z272" s="335">
        <v>0</v>
      </c>
      <c r="AA272" s="335">
        <v>0</v>
      </c>
      <c r="AB272" s="335">
        <v>0</v>
      </c>
      <c r="AF272" s="394"/>
      <c r="AH272" s="366"/>
    </row>
    <row r="273" spans="1:34" ht="28.5">
      <c r="A273" s="366" t="s">
        <v>922</v>
      </c>
      <c r="B273" s="196" t="s">
        <v>386</v>
      </c>
      <c r="C273" s="196" t="s">
        <v>86</v>
      </c>
      <c r="D273" s="335">
        <v>28</v>
      </c>
      <c r="E273" s="335">
        <v>0</v>
      </c>
      <c r="F273" s="335">
        <v>0</v>
      </c>
      <c r="G273" s="335">
        <v>0</v>
      </c>
      <c r="H273" s="335">
        <v>0</v>
      </c>
      <c r="I273" s="335">
        <v>26</v>
      </c>
      <c r="J273" s="335">
        <v>157</v>
      </c>
      <c r="K273" s="335">
        <v>30</v>
      </c>
      <c r="L273" s="335">
        <v>241</v>
      </c>
      <c r="M273" s="335">
        <v>10</v>
      </c>
      <c r="N273" s="335">
        <v>0</v>
      </c>
      <c r="O273" s="335">
        <v>0</v>
      </c>
      <c r="P273" s="335">
        <v>0</v>
      </c>
      <c r="Q273" s="335">
        <v>0</v>
      </c>
      <c r="R273" s="335">
        <v>12</v>
      </c>
      <c r="S273" s="335">
        <v>45</v>
      </c>
      <c r="T273" s="335">
        <v>9</v>
      </c>
      <c r="U273" s="335">
        <v>76</v>
      </c>
      <c r="V273" s="335">
        <v>71</v>
      </c>
      <c r="W273" s="335">
        <v>67</v>
      </c>
      <c r="X273" s="335">
        <v>62</v>
      </c>
      <c r="Y273" s="381">
        <f t="shared" si="4"/>
        <v>298835</v>
      </c>
      <c r="Z273" s="335">
        <v>0</v>
      </c>
      <c r="AA273" s="335">
        <v>0</v>
      </c>
      <c r="AB273" s="335">
        <v>0</v>
      </c>
      <c r="AF273" s="394"/>
      <c r="AH273" s="366"/>
    </row>
    <row r="274" spans="1:34" ht="28.5">
      <c r="A274" s="366" t="s">
        <v>923</v>
      </c>
      <c r="B274" s="196" t="s">
        <v>387</v>
      </c>
      <c r="C274" s="196" t="s">
        <v>607</v>
      </c>
      <c r="D274" s="335">
        <v>24</v>
      </c>
      <c r="E274" s="335">
        <v>0</v>
      </c>
      <c r="F274" s="335">
        <v>4</v>
      </c>
      <c r="G274" s="335">
        <v>0</v>
      </c>
      <c r="H274" s="335">
        <v>0</v>
      </c>
      <c r="I274" s="335">
        <v>18</v>
      </c>
      <c r="J274" s="335">
        <v>181</v>
      </c>
      <c r="K274" s="335">
        <v>0</v>
      </c>
      <c r="L274" s="335">
        <v>227</v>
      </c>
      <c r="M274" s="335">
        <v>4</v>
      </c>
      <c r="N274" s="335">
        <v>0</v>
      </c>
      <c r="O274" s="335">
        <v>2</v>
      </c>
      <c r="P274" s="335">
        <v>0</v>
      </c>
      <c r="Q274" s="335">
        <v>0</v>
      </c>
      <c r="R274" s="335">
        <v>3</v>
      </c>
      <c r="S274" s="335">
        <v>36</v>
      </c>
      <c r="T274" s="335">
        <v>0</v>
      </c>
      <c r="U274" s="335">
        <v>45</v>
      </c>
      <c r="V274" s="335">
        <v>42</v>
      </c>
      <c r="W274" s="335">
        <v>45</v>
      </c>
      <c r="X274" s="335">
        <v>42</v>
      </c>
      <c r="Y274" s="381">
        <f t="shared" si="4"/>
        <v>175056</v>
      </c>
      <c r="Z274" s="335">
        <v>0</v>
      </c>
      <c r="AA274" s="335">
        <v>0</v>
      </c>
      <c r="AB274" s="335">
        <v>0</v>
      </c>
      <c r="AF274" s="394"/>
      <c r="AH274" s="366"/>
    </row>
    <row r="275" spans="1:34" ht="14.25">
      <c r="A275" s="366" t="s">
        <v>924</v>
      </c>
      <c r="B275" s="196" t="s">
        <v>387</v>
      </c>
      <c r="C275" s="196" t="s">
        <v>86</v>
      </c>
      <c r="D275" s="335">
        <v>24</v>
      </c>
      <c r="E275" s="335">
        <v>0</v>
      </c>
      <c r="F275" s="335">
        <v>4</v>
      </c>
      <c r="G275" s="335">
        <v>0</v>
      </c>
      <c r="H275" s="335">
        <v>0</v>
      </c>
      <c r="I275" s="335">
        <v>18</v>
      </c>
      <c r="J275" s="335">
        <v>181</v>
      </c>
      <c r="K275" s="335">
        <v>0</v>
      </c>
      <c r="L275" s="335">
        <v>227</v>
      </c>
      <c r="M275" s="335">
        <v>6</v>
      </c>
      <c r="N275" s="335">
        <v>0</v>
      </c>
      <c r="O275" s="335">
        <v>1</v>
      </c>
      <c r="P275" s="335">
        <v>0</v>
      </c>
      <c r="Q275" s="335">
        <v>0</v>
      </c>
      <c r="R275" s="335">
        <v>4</v>
      </c>
      <c r="S275" s="335">
        <v>17</v>
      </c>
      <c r="T275" s="335">
        <v>0</v>
      </c>
      <c r="U275" s="335">
        <v>28</v>
      </c>
      <c r="V275" s="335">
        <v>24.5</v>
      </c>
      <c r="W275" s="335">
        <v>28</v>
      </c>
      <c r="X275" s="335">
        <v>24.5</v>
      </c>
      <c r="Y275" s="381">
        <f t="shared" si="4"/>
        <v>102116</v>
      </c>
      <c r="Z275" s="335">
        <v>0</v>
      </c>
      <c r="AA275" s="335">
        <v>0</v>
      </c>
      <c r="AB275" s="335">
        <v>0</v>
      </c>
      <c r="AF275" s="394"/>
      <c r="AH275" s="366"/>
    </row>
    <row r="276" spans="1:34" ht="28.5">
      <c r="A276" s="366" t="s">
        <v>925</v>
      </c>
      <c r="B276" s="196" t="s">
        <v>446</v>
      </c>
      <c r="C276" s="196" t="s">
        <v>86</v>
      </c>
      <c r="D276" s="335">
        <v>0</v>
      </c>
      <c r="E276" s="335">
        <v>0</v>
      </c>
      <c r="F276" s="335">
        <v>0</v>
      </c>
      <c r="G276" s="335">
        <v>0</v>
      </c>
      <c r="H276" s="335">
        <v>0</v>
      </c>
      <c r="I276" s="335">
        <v>22</v>
      </c>
      <c r="J276" s="335">
        <v>185</v>
      </c>
      <c r="K276" s="335">
        <v>0</v>
      </c>
      <c r="L276" s="335">
        <v>207</v>
      </c>
      <c r="M276" s="335">
        <v>0</v>
      </c>
      <c r="N276" s="335">
        <v>0</v>
      </c>
      <c r="O276" s="335">
        <v>0</v>
      </c>
      <c r="P276" s="335">
        <v>0</v>
      </c>
      <c r="Q276" s="335">
        <v>0</v>
      </c>
      <c r="R276" s="335">
        <v>6</v>
      </c>
      <c r="S276" s="335">
        <v>66</v>
      </c>
      <c r="T276" s="335">
        <v>0</v>
      </c>
      <c r="U276" s="335">
        <v>72</v>
      </c>
      <c r="V276" s="335">
        <v>72</v>
      </c>
      <c r="W276" s="335">
        <v>72</v>
      </c>
      <c r="X276" s="335">
        <v>72</v>
      </c>
      <c r="Y276" s="381">
        <f t="shared" si="4"/>
        <v>300096</v>
      </c>
      <c r="Z276" s="335">
        <v>0</v>
      </c>
      <c r="AA276" s="335">
        <v>0</v>
      </c>
      <c r="AB276" s="335">
        <v>0</v>
      </c>
      <c r="AF276" s="394"/>
      <c r="AH276" s="366"/>
    </row>
    <row r="277" spans="1:34" ht="14.25">
      <c r="A277" s="366" t="s">
        <v>926</v>
      </c>
      <c r="B277" s="196" t="s">
        <v>273</v>
      </c>
      <c r="C277" s="196" t="s">
        <v>86</v>
      </c>
      <c r="D277" s="335">
        <v>17</v>
      </c>
      <c r="E277" s="335">
        <v>0</v>
      </c>
      <c r="F277" s="335">
        <v>0</v>
      </c>
      <c r="G277" s="335">
        <v>0</v>
      </c>
      <c r="H277" s="335">
        <v>0</v>
      </c>
      <c r="I277" s="335">
        <v>15</v>
      </c>
      <c r="J277" s="335">
        <v>150</v>
      </c>
      <c r="K277" s="335">
        <v>0</v>
      </c>
      <c r="L277" s="335">
        <v>182</v>
      </c>
      <c r="M277" s="335">
        <v>3</v>
      </c>
      <c r="N277" s="335">
        <v>0</v>
      </c>
      <c r="O277" s="335">
        <v>0</v>
      </c>
      <c r="P277" s="335">
        <v>0</v>
      </c>
      <c r="Q277" s="335">
        <v>0</v>
      </c>
      <c r="R277" s="335">
        <v>3</v>
      </c>
      <c r="S277" s="335">
        <v>33</v>
      </c>
      <c r="T277" s="335">
        <v>0</v>
      </c>
      <c r="U277" s="335">
        <v>39</v>
      </c>
      <c r="V277" s="335">
        <v>37.5</v>
      </c>
      <c r="W277" s="335">
        <v>39</v>
      </c>
      <c r="X277" s="335">
        <v>37.5</v>
      </c>
      <c r="Y277" s="381">
        <f t="shared" si="4"/>
        <v>156300</v>
      </c>
      <c r="Z277" s="335">
        <v>0</v>
      </c>
      <c r="AA277" s="335">
        <v>0</v>
      </c>
      <c r="AB277" s="335">
        <v>0</v>
      </c>
      <c r="AF277" s="394"/>
      <c r="AH277" s="366"/>
    </row>
    <row r="278" spans="1:34" ht="28.5">
      <c r="A278" s="366" t="s">
        <v>927</v>
      </c>
      <c r="B278" s="196" t="s">
        <v>128</v>
      </c>
      <c r="C278" s="196" t="s">
        <v>607</v>
      </c>
      <c r="D278" s="335">
        <v>0</v>
      </c>
      <c r="E278" s="335">
        <v>0</v>
      </c>
      <c r="F278" s="335">
        <v>0</v>
      </c>
      <c r="G278" s="335">
        <v>0</v>
      </c>
      <c r="H278" s="335">
        <v>0</v>
      </c>
      <c r="I278" s="335">
        <v>0</v>
      </c>
      <c r="J278" s="335">
        <v>0</v>
      </c>
      <c r="K278" s="335">
        <v>183</v>
      </c>
      <c r="L278" s="335">
        <v>183</v>
      </c>
      <c r="M278" s="335">
        <v>0</v>
      </c>
      <c r="N278" s="335">
        <v>0</v>
      </c>
      <c r="O278" s="335">
        <v>0</v>
      </c>
      <c r="P278" s="335">
        <v>0</v>
      </c>
      <c r="Q278" s="335">
        <v>0</v>
      </c>
      <c r="R278" s="335">
        <v>0</v>
      </c>
      <c r="S278" s="335">
        <v>0</v>
      </c>
      <c r="T278" s="335">
        <v>181</v>
      </c>
      <c r="U278" s="335">
        <v>181</v>
      </c>
      <c r="V278" s="335">
        <v>181</v>
      </c>
      <c r="W278" s="335">
        <v>0</v>
      </c>
      <c r="X278" s="335">
        <v>0</v>
      </c>
      <c r="Y278" s="381">
        <f t="shared" si="4"/>
        <v>812871</v>
      </c>
      <c r="Z278" s="335">
        <v>0</v>
      </c>
      <c r="AA278" s="335">
        <v>0</v>
      </c>
      <c r="AB278" s="335">
        <v>0</v>
      </c>
      <c r="AF278" s="394"/>
      <c r="AH278" s="366"/>
    </row>
    <row r="279" spans="1:34" ht="14.25">
      <c r="A279" s="366" t="s">
        <v>928</v>
      </c>
      <c r="B279" s="196" t="s">
        <v>128</v>
      </c>
      <c r="C279" s="196" t="s">
        <v>86</v>
      </c>
      <c r="D279" s="335">
        <v>0</v>
      </c>
      <c r="E279" s="335">
        <v>0</v>
      </c>
      <c r="F279" s="335">
        <v>0</v>
      </c>
      <c r="G279" s="335">
        <v>0</v>
      </c>
      <c r="H279" s="335">
        <v>0</v>
      </c>
      <c r="I279" s="335">
        <v>0</v>
      </c>
      <c r="J279" s="335">
        <v>0</v>
      </c>
      <c r="K279" s="335">
        <v>183</v>
      </c>
      <c r="L279" s="335">
        <v>183</v>
      </c>
      <c r="M279" s="335">
        <v>0</v>
      </c>
      <c r="N279" s="335">
        <v>0</v>
      </c>
      <c r="O279" s="335">
        <v>0</v>
      </c>
      <c r="P279" s="335">
        <v>0</v>
      </c>
      <c r="Q279" s="335">
        <v>0</v>
      </c>
      <c r="R279" s="335">
        <v>0</v>
      </c>
      <c r="S279" s="335">
        <v>0</v>
      </c>
      <c r="T279" s="335">
        <v>2</v>
      </c>
      <c r="U279" s="335">
        <v>2</v>
      </c>
      <c r="V279" s="335">
        <v>2</v>
      </c>
      <c r="W279" s="335">
        <v>0</v>
      </c>
      <c r="X279" s="335">
        <v>0</v>
      </c>
      <c r="Y279" s="381">
        <f t="shared" si="4"/>
        <v>8982</v>
      </c>
      <c r="Z279" s="335">
        <v>0</v>
      </c>
      <c r="AA279" s="335">
        <v>0</v>
      </c>
      <c r="AB279" s="335">
        <v>0</v>
      </c>
      <c r="AF279" s="394"/>
      <c r="AH279" s="366"/>
    </row>
    <row r="280" spans="1:34" ht="28.5">
      <c r="A280" s="366" t="s">
        <v>929</v>
      </c>
      <c r="B280" s="196" t="s">
        <v>535</v>
      </c>
      <c r="C280" s="196" t="s">
        <v>86</v>
      </c>
      <c r="D280" s="335">
        <v>15</v>
      </c>
      <c r="E280" s="335">
        <v>0</v>
      </c>
      <c r="F280" s="335">
        <v>0</v>
      </c>
      <c r="G280" s="335">
        <v>0</v>
      </c>
      <c r="H280" s="335">
        <v>0</v>
      </c>
      <c r="I280" s="335">
        <v>12</v>
      </c>
      <c r="J280" s="335">
        <v>98</v>
      </c>
      <c r="K280" s="335">
        <v>0</v>
      </c>
      <c r="L280" s="335">
        <v>125</v>
      </c>
      <c r="M280" s="335">
        <v>5</v>
      </c>
      <c r="N280" s="335">
        <v>0</v>
      </c>
      <c r="O280" s="335">
        <v>0</v>
      </c>
      <c r="P280" s="335">
        <v>0</v>
      </c>
      <c r="Q280" s="335">
        <v>0</v>
      </c>
      <c r="R280" s="335">
        <v>2</v>
      </c>
      <c r="S280" s="335">
        <v>21</v>
      </c>
      <c r="T280" s="335">
        <v>0</v>
      </c>
      <c r="U280" s="335">
        <v>28</v>
      </c>
      <c r="V280" s="335">
        <v>25.5</v>
      </c>
      <c r="W280" s="335">
        <v>28</v>
      </c>
      <c r="X280" s="335">
        <v>25.5</v>
      </c>
      <c r="Y280" s="381">
        <f t="shared" si="4"/>
        <v>106284</v>
      </c>
      <c r="Z280" s="335">
        <v>0</v>
      </c>
      <c r="AA280" s="335">
        <v>0</v>
      </c>
      <c r="AB280" s="335">
        <v>0</v>
      </c>
      <c r="AF280" s="394"/>
      <c r="AH280" s="366"/>
    </row>
    <row r="281" spans="1:34" ht="28.5">
      <c r="A281" s="366" t="s">
        <v>930</v>
      </c>
      <c r="B281" s="196" t="s">
        <v>625</v>
      </c>
      <c r="C281" s="196" t="s">
        <v>86</v>
      </c>
      <c r="D281" s="335">
        <v>13</v>
      </c>
      <c r="E281" s="335">
        <v>0</v>
      </c>
      <c r="F281" s="335">
        <v>0</v>
      </c>
      <c r="G281" s="335">
        <v>0</v>
      </c>
      <c r="H281" s="335">
        <v>0</v>
      </c>
      <c r="I281" s="335">
        <v>14</v>
      </c>
      <c r="J281" s="335">
        <v>46</v>
      </c>
      <c r="K281" s="335">
        <v>0</v>
      </c>
      <c r="L281" s="335">
        <v>73</v>
      </c>
      <c r="M281" s="335">
        <v>3</v>
      </c>
      <c r="N281" s="335">
        <v>0</v>
      </c>
      <c r="O281" s="335">
        <v>0</v>
      </c>
      <c r="P281" s="335">
        <v>0</v>
      </c>
      <c r="Q281" s="335">
        <v>0</v>
      </c>
      <c r="R281" s="335">
        <v>5</v>
      </c>
      <c r="S281" s="335">
        <v>16</v>
      </c>
      <c r="T281" s="335">
        <v>0</v>
      </c>
      <c r="U281" s="335">
        <v>24</v>
      </c>
      <c r="V281" s="335">
        <v>22.5</v>
      </c>
      <c r="W281" s="335">
        <v>24</v>
      </c>
      <c r="X281" s="335">
        <v>22.5</v>
      </c>
      <c r="Y281" s="381">
        <f t="shared" si="4"/>
        <v>93780</v>
      </c>
      <c r="Z281" s="335">
        <v>0</v>
      </c>
      <c r="AA281" s="335">
        <v>0</v>
      </c>
      <c r="AB281" s="335">
        <v>0</v>
      </c>
      <c r="AF281" s="394"/>
      <c r="AH281" s="366"/>
    </row>
    <row r="282" spans="1:34" ht="28.5">
      <c r="A282" s="366" t="s">
        <v>931</v>
      </c>
      <c r="B282" s="196" t="s">
        <v>482</v>
      </c>
      <c r="C282" s="196" t="s">
        <v>86</v>
      </c>
      <c r="D282" s="335">
        <v>10</v>
      </c>
      <c r="E282" s="335">
        <v>0</v>
      </c>
      <c r="F282" s="335">
        <v>0</v>
      </c>
      <c r="G282" s="335">
        <v>0</v>
      </c>
      <c r="H282" s="335">
        <v>0</v>
      </c>
      <c r="I282" s="335">
        <v>6</v>
      </c>
      <c r="J282" s="335">
        <v>36</v>
      </c>
      <c r="K282" s="335">
        <v>0</v>
      </c>
      <c r="L282" s="335">
        <v>52</v>
      </c>
      <c r="M282" s="335">
        <v>1</v>
      </c>
      <c r="N282" s="335">
        <v>0</v>
      </c>
      <c r="O282" s="335">
        <v>0</v>
      </c>
      <c r="P282" s="335">
        <v>0</v>
      </c>
      <c r="Q282" s="335">
        <v>0</v>
      </c>
      <c r="R282" s="335">
        <v>1</v>
      </c>
      <c r="S282" s="335">
        <v>4</v>
      </c>
      <c r="T282" s="335">
        <v>0</v>
      </c>
      <c r="U282" s="335">
        <v>6</v>
      </c>
      <c r="V282" s="335">
        <v>5.5</v>
      </c>
      <c r="W282" s="335">
        <v>6</v>
      </c>
      <c r="X282" s="335">
        <v>5.5</v>
      </c>
      <c r="Y282" s="381">
        <f t="shared" si="4"/>
        <v>22924</v>
      </c>
      <c r="Z282" s="335">
        <v>0</v>
      </c>
      <c r="AA282" s="335">
        <v>0</v>
      </c>
      <c r="AB282" s="335">
        <v>0</v>
      </c>
      <c r="AF282" s="394"/>
      <c r="AH282" s="366"/>
    </row>
    <row r="283" spans="1:34" ht="14.25">
      <c r="A283" s="366" t="s">
        <v>932</v>
      </c>
      <c r="B283" s="196" t="s">
        <v>483</v>
      </c>
      <c r="C283" s="196" t="s">
        <v>86</v>
      </c>
      <c r="D283" s="335">
        <v>46</v>
      </c>
      <c r="E283" s="335">
        <v>0</v>
      </c>
      <c r="F283" s="335">
        <v>0</v>
      </c>
      <c r="G283" s="335">
        <v>0</v>
      </c>
      <c r="H283" s="335">
        <v>0</v>
      </c>
      <c r="I283" s="335">
        <v>20</v>
      </c>
      <c r="J283" s="335">
        <v>136</v>
      </c>
      <c r="K283" s="335">
        <v>0</v>
      </c>
      <c r="L283" s="335">
        <v>202</v>
      </c>
      <c r="M283" s="335">
        <v>4</v>
      </c>
      <c r="N283" s="335">
        <v>0</v>
      </c>
      <c r="O283" s="335">
        <v>0</v>
      </c>
      <c r="P283" s="335">
        <v>0</v>
      </c>
      <c r="Q283" s="335">
        <v>0</v>
      </c>
      <c r="R283" s="335">
        <v>3</v>
      </c>
      <c r="S283" s="335">
        <v>25</v>
      </c>
      <c r="T283" s="335">
        <v>0</v>
      </c>
      <c r="U283" s="335">
        <v>32</v>
      </c>
      <c r="V283" s="335">
        <v>30</v>
      </c>
      <c r="W283" s="335">
        <v>32</v>
      </c>
      <c r="X283" s="335">
        <v>30</v>
      </c>
      <c r="Y283" s="381">
        <f t="shared" si="4"/>
        <v>125040</v>
      </c>
      <c r="Z283" s="335">
        <v>0</v>
      </c>
      <c r="AA283" s="335">
        <v>0</v>
      </c>
      <c r="AB283" s="335">
        <v>0</v>
      </c>
      <c r="AF283" s="394"/>
      <c r="AH283" s="366"/>
    </row>
    <row r="284" spans="1:34" ht="14.25">
      <c r="A284" s="366" t="s">
        <v>933</v>
      </c>
      <c r="B284" s="196" t="s">
        <v>274</v>
      </c>
      <c r="C284" s="196" t="s">
        <v>86</v>
      </c>
      <c r="D284" s="335">
        <v>0</v>
      </c>
      <c r="E284" s="335">
        <v>0</v>
      </c>
      <c r="F284" s="335">
        <v>0</v>
      </c>
      <c r="G284" s="335">
        <v>0</v>
      </c>
      <c r="H284" s="335">
        <v>0</v>
      </c>
      <c r="I284" s="335">
        <v>11</v>
      </c>
      <c r="J284" s="335">
        <v>44</v>
      </c>
      <c r="K284" s="335">
        <v>0</v>
      </c>
      <c r="L284" s="335">
        <v>55</v>
      </c>
      <c r="M284" s="335">
        <v>0</v>
      </c>
      <c r="N284" s="335">
        <v>0</v>
      </c>
      <c r="O284" s="335">
        <v>0</v>
      </c>
      <c r="P284" s="335">
        <v>0</v>
      </c>
      <c r="Q284" s="335">
        <v>0</v>
      </c>
      <c r="R284" s="335">
        <v>5</v>
      </c>
      <c r="S284" s="335">
        <v>18</v>
      </c>
      <c r="T284" s="335">
        <v>0</v>
      </c>
      <c r="U284" s="335">
        <v>23</v>
      </c>
      <c r="V284" s="335">
        <v>23</v>
      </c>
      <c r="W284" s="335">
        <v>23</v>
      </c>
      <c r="X284" s="335">
        <v>23</v>
      </c>
      <c r="Y284" s="381">
        <f t="shared" si="4"/>
        <v>95864</v>
      </c>
      <c r="Z284" s="335">
        <v>0</v>
      </c>
      <c r="AA284" s="335">
        <v>0</v>
      </c>
      <c r="AB284" s="335">
        <v>0</v>
      </c>
      <c r="AF284" s="394"/>
      <c r="AH284" s="366"/>
    </row>
    <row r="285" spans="1:34" ht="14.25">
      <c r="A285" s="366" t="s">
        <v>934</v>
      </c>
      <c r="B285" s="196" t="s">
        <v>626</v>
      </c>
      <c r="C285" s="196" t="s">
        <v>86</v>
      </c>
      <c r="D285" s="335">
        <v>13</v>
      </c>
      <c r="E285" s="335">
        <v>0</v>
      </c>
      <c r="F285" s="335">
        <v>0</v>
      </c>
      <c r="G285" s="335">
        <v>0</v>
      </c>
      <c r="H285" s="335">
        <v>0</v>
      </c>
      <c r="I285" s="335">
        <v>22</v>
      </c>
      <c r="J285" s="335">
        <v>102</v>
      </c>
      <c r="K285" s="335">
        <v>0</v>
      </c>
      <c r="L285" s="335">
        <v>137</v>
      </c>
      <c r="M285" s="335">
        <v>0</v>
      </c>
      <c r="N285" s="335">
        <v>0</v>
      </c>
      <c r="O285" s="335">
        <v>0</v>
      </c>
      <c r="P285" s="335">
        <v>0</v>
      </c>
      <c r="Q285" s="335">
        <v>0</v>
      </c>
      <c r="R285" s="335">
        <v>11</v>
      </c>
      <c r="S285" s="335">
        <v>6</v>
      </c>
      <c r="T285" s="335">
        <v>0</v>
      </c>
      <c r="U285" s="335">
        <v>17</v>
      </c>
      <c r="V285" s="335">
        <v>17</v>
      </c>
      <c r="W285" s="335">
        <v>17</v>
      </c>
      <c r="X285" s="335">
        <v>17</v>
      </c>
      <c r="Y285" s="381">
        <f t="shared" si="4"/>
        <v>70856</v>
      </c>
      <c r="Z285" s="335">
        <v>0</v>
      </c>
      <c r="AA285" s="335">
        <v>0</v>
      </c>
      <c r="AB285" s="335">
        <v>0</v>
      </c>
      <c r="AF285" s="394"/>
      <c r="AH285" s="366"/>
    </row>
    <row r="286" spans="1:34" ht="14.25">
      <c r="A286" s="366" t="s">
        <v>935</v>
      </c>
      <c r="B286" s="196" t="s">
        <v>627</v>
      </c>
      <c r="C286" s="196" t="s">
        <v>86</v>
      </c>
      <c r="D286" s="335">
        <v>0</v>
      </c>
      <c r="E286" s="335">
        <v>0</v>
      </c>
      <c r="F286" s="335">
        <v>0</v>
      </c>
      <c r="G286" s="335">
        <v>0</v>
      </c>
      <c r="H286" s="335">
        <v>0</v>
      </c>
      <c r="I286" s="335">
        <v>2</v>
      </c>
      <c r="J286" s="335">
        <v>35</v>
      </c>
      <c r="K286" s="335">
        <v>0</v>
      </c>
      <c r="L286" s="335">
        <v>37</v>
      </c>
      <c r="M286" s="335">
        <v>0</v>
      </c>
      <c r="N286" s="335">
        <v>0</v>
      </c>
      <c r="O286" s="335">
        <v>0</v>
      </c>
      <c r="P286" s="335">
        <v>0</v>
      </c>
      <c r="Q286" s="335">
        <v>0</v>
      </c>
      <c r="R286" s="335">
        <v>0</v>
      </c>
      <c r="S286" s="335">
        <v>24</v>
      </c>
      <c r="T286" s="335">
        <v>0</v>
      </c>
      <c r="U286" s="335">
        <v>24</v>
      </c>
      <c r="V286" s="335">
        <v>24</v>
      </c>
      <c r="W286" s="335">
        <v>24</v>
      </c>
      <c r="X286" s="335">
        <v>24</v>
      </c>
      <c r="Y286" s="381">
        <f t="shared" si="4"/>
        <v>100032</v>
      </c>
      <c r="Z286" s="335">
        <v>0</v>
      </c>
      <c r="AA286" s="335">
        <v>0</v>
      </c>
      <c r="AB286" s="335">
        <v>0</v>
      </c>
      <c r="AF286" s="394"/>
      <c r="AH286" s="366"/>
    </row>
    <row r="287" spans="1:34" ht="14.25">
      <c r="A287" s="366" t="s">
        <v>936</v>
      </c>
      <c r="B287" s="196" t="s">
        <v>220</v>
      </c>
      <c r="C287" s="196" t="s">
        <v>86</v>
      </c>
      <c r="D287" s="335">
        <v>20</v>
      </c>
      <c r="E287" s="335">
        <v>0</v>
      </c>
      <c r="F287" s="335">
        <v>0</v>
      </c>
      <c r="G287" s="335">
        <v>0</v>
      </c>
      <c r="H287" s="335">
        <v>0</v>
      </c>
      <c r="I287" s="335">
        <v>21</v>
      </c>
      <c r="J287" s="335">
        <v>147</v>
      </c>
      <c r="K287" s="335">
        <v>0</v>
      </c>
      <c r="L287" s="335">
        <v>188</v>
      </c>
      <c r="M287" s="335">
        <v>3</v>
      </c>
      <c r="N287" s="335">
        <v>0</v>
      </c>
      <c r="O287" s="335">
        <v>0</v>
      </c>
      <c r="P287" s="335">
        <v>0</v>
      </c>
      <c r="Q287" s="335">
        <v>0</v>
      </c>
      <c r="R287" s="335">
        <v>5</v>
      </c>
      <c r="S287" s="335">
        <v>39</v>
      </c>
      <c r="T287" s="335">
        <v>0</v>
      </c>
      <c r="U287" s="335">
        <v>47</v>
      </c>
      <c r="V287" s="335">
        <v>45.5</v>
      </c>
      <c r="W287" s="335">
        <v>47</v>
      </c>
      <c r="X287" s="335">
        <v>45.5</v>
      </c>
      <c r="Y287" s="381">
        <f t="shared" si="4"/>
        <v>189644</v>
      </c>
      <c r="Z287" s="335">
        <v>0</v>
      </c>
      <c r="AA287" s="335">
        <v>0</v>
      </c>
      <c r="AB287" s="335">
        <v>0</v>
      </c>
      <c r="AF287" s="394"/>
      <c r="AH287" s="366"/>
    </row>
    <row r="288" spans="1:34" ht="14.25">
      <c r="A288" s="366" t="s">
        <v>937</v>
      </c>
      <c r="B288" s="196" t="s">
        <v>484</v>
      </c>
      <c r="C288" s="196" t="s">
        <v>86</v>
      </c>
      <c r="D288" s="335">
        <v>15</v>
      </c>
      <c r="E288" s="335">
        <v>0</v>
      </c>
      <c r="F288" s="335">
        <v>0</v>
      </c>
      <c r="G288" s="335">
        <v>0</v>
      </c>
      <c r="H288" s="335">
        <v>0</v>
      </c>
      <c r="I288" s="335">
        <v>5</v>
      </c>
      <c r="J288" s="335">
        <v>28</v>
      </c>
      <c r="K288" s="335">
        <v>0</v>
      </c>
      <c r="L288" s="335">
        <v>48</v>
      </c>
      <c r="M288" s="335">
        <v>4</v>
      </c>
      <c r="N288" s="335">
        <v>0</v>
      </c>
      <c r="O288" s="335">
        <v>0</v>
      </c>
      <c r="P288" s="335">
        <v>0</v>
      </c>
      <c r="Q288" s="335">
        <v>0</v>
      </c>
      <c r="R288" s="335">
        <v>4</v>
      </c>
      <c r="S288" s="335">
        <v>12</v>
      </c>
      <c r="T288" s="335">
        <v>0</v>
      </c>
      <c r="U288" s="335">
        <v>20</v>
      </c>
      <c r="V288" s="335">
        <v>18</v>
      </c>
      <c r="W288" s="335">
        <v>20</v>
      </c>
      <c r="X288" s="335">
        <v>18</v>
      </c>
      <c r="Y288" s="381">
        <f t="shared" si="4"/>
        <v>75024</v>
      </c>
      <c r="Z288" s="335">
        <v>0</v>
      </c>
      <c r="AA288" s="335">
        <v>0</v>
      </c>
      <c r="AB288" s="335">
        <v>0</v>
      </c>
      <c r="AF288" s="394"/>
      <c r="AH288" s="366"/>
    </row>
    <row r="289" spans="1:34" ht="28.5">
      <c r="A289" s="366" t="s">
        <v>938</v>
      </c>
      <c r="B289" s="196" t="s">
        <v>628</v>
      </c>
      <c r="C289" s="196" t="s">
        <v>86</v>
      </c>
      <c r="D289" s="335">
        <v>0</v>
      </c>
      <c r="E289" s="335">
        <v>13</v>
      </c>
      <c r="F289" s="335">
        <v>0</v>
      </c>
      <c r="G289" s="335">
        <v>0</v>
      </c>
      <c r="H289" s="335">
        <v>0</v>
      </c>
      <c r="I289" s="335">
        <v>14</v>
      </c>
      <c r="J289" s="335">
        <v>93</v>
      </c>
      <c r="K289" s="335">
        <v>19</v>
      </c>
      <c r="L289" s="335">
        <v>139</v>
      </c>
      <c r="M289" s="335">
        <v>0</v>
      </c>
      <c r="N289" s="335">
        <v>4</v>
      </c>
      <c r="O289" s="335">
        <v>0</v>
      </c>
      <c r="P289" s="335">
        <v>0</v>
      </c>
      <c r="Q289" s="335">
        <v>0</v>
      </c>
      <c r="R289" s="335">
        <v>6</v>
      </c>
      <c r="S289" s="335">
        <v>29</v>
      </c>
      <c r="T289" s="335">
        <v>6</v>
      </c>
      <c r="U289" s="335">
        <v>45</v>
      </c>
      <c r="V289" s="335">
        <v>43.4</v>
      </c>
      <c r="W289" s="335">
        <v>39</v>
      </c>
      <c r="X289" s="335">
        <v>37.4</v>
      </c>
      <c r="Y289" s="381">
        <f t="shared" si="4"/>
        <v>182829.19999999998</v>
      </c>
      <c r="Z289" s="335">
        <v>0</v>
      </c>
      <c r="AA289" s="335">
        <v>0</v>
      </c>
      <c r="AB289" s="335">
        <v>0</v>
      </c>
      <c r="AF289" s="394"/>
      <c r="AH289" s="366"/>
    </row>
    <row r="290" spans="1:34" ht="28.5">
      <c r="A290" s="366" t="s">
        <v>939</v>
      </c>
      <c r="B290" s="196" t="s">
        <v>513</v>
      </c>
      <c r="C290" s="196" t="s">
        <v>607</v>
      </c>
      <c r="D290" s="335">
        <v>0</v>
      </c>
      <c r="E290" s="335">
        <v>16</v>
      </c>
      <c r="F290" s="335">
        <v>0</v>
      </c>
      <c r="G290" s="335">
        <v>0</v>
      </c>
      <c r="H290" s="335">
        <v>0</v>
      </c>
      <c r="I290" s="335">
        <v>23</v>
      </c>
      <c r="J290" s="335">
        <v>193</v>
      </c>
      <c r="K290" s="335">
        <v>0</v>
      </c>
      <c r="L290" s="335">
        <v>232</v>
      </c>
      <c r="M290" s="335">
        <v>0</v>
      </c>
      <c r="N290" s="335">
        <v>16</v>
      </c>
      <c r="O290" s="335">
        <v>0</v>
      </c>
      <c r="P290" s="335">
        <v>0</v>
      </c>
      <c r="Q290" s="335">
        <v>0</v>
      </c>
      <c r="R290" s="335">
        <v>23</v>
      </c>
      <c r="S290" s="335">
        <v>193</v>
      </c>
      <c r="T290" s="335">
        <v>0</v>
      </c>
      <c r="U290" s="335">
        <v>232</v>
      </c>
      <c r="V290" s="335">
        <v>225.6</v>
      </c>
      <c r="W290" s="335">
        <v>232</v>
      </c>
      <c r="X290" s="335">
        <v>225.6</v>
      </c>
      <c r="Y290" s="381">
        <f t="shared" si="4"/>
        <v>940300.7999999999</v>
      </c>
      <c r="Z290" s="335">
        <v>0</v>
      </c>
      <c r="AA290" s="335">
        <v>0</v>
      </c>
      <c r="AB290" s="335">
        <v>0</v>
      </c>
      <c r="AF290" s="394"/>
      <c r="AH290" s="366"/>
    </row>
    <row r="291" spans="1:34" ht="28.5">
      <c r="A291" s="366" t="s">
        <v>940</v>
      </c>
      <c r="B291" s="196" t="s">
        <v>536</v>
      </c>
      <c r="C291" s="196" t="s">
        <v>86</v>
      </c>
      <c r="D291" s="335">
        <v>2</v>
      </c>
      <c r="E291" s="335">
        <v>0</v>
      </c>
      <c r="F291" s="335">
        <v>0</v>
      </c>
      <c r="G291" s="335">
        <v>0</v>
      </c>
      <c r="H291" s="335">
        <v>0</v>
      </c>
      <c r="I291" s="335">
        <v>6</v>
      </c>
      <c r="J291" s="335">
        <v>25</v>
      </c>
      <c r="K291" s="335">
        <v>0</v>
      </c>
      <c r="L291" s="335">
        <v>33</v>
      </c>
      <c r="M291" s="335">
        <v>0</v>
      </c>
      <c r="N291" s="335">
        <v>0</v>
      </c>
      <c r="O291" s="335">
        <v>0</v>
      </c>
      <c r="P291" s="335">
        <v>0</v>
      </c>
      <c r="Q291" s="335">
        <v>0</v>
      </c>
      <c r="R291" s="335">
        <v>2</v>
      </c>
      <c r="S291" s="335">
        <v>4</v>
      </c>
      <c r="T291" s="335">
        <v>0</v>
      </c>
      <c r="U291" s="335">
        <v>6</v>
      </c>
      <c r="V291" s="335">
        <v>6</v>
      </c>
      <c r="W291" s="335">
        <v>6</v>
      </c>
      <c r="X291" s="335">
        <v>6</v>
      </c>
      <c r="Y291" s="381">
        <f t="shared" si="4"/>
        <v>25008</v>
      </c>
      <c r="Z291" s="335">
        <v>0</v>
      </c>
      <c r="AA291" s="335">
        <v>0</v>
      </c>
      <c r="AB291" s="335">
        <v>0</v>
      </c>
      <c r="AF291" s="394"/>
      <c r="AH291" s="366"/>
    </row>
    <row r="292" spans="1:34" ht="28.5">
      <c r="A292" s="366" t="s">
        <v>941</v>
      </c>
      <c r="B292" s="196" t="s">
        <v>485</v>
      </c>
      <c r="C292" s="196" t="s">
        <v>86</v>
      </c>
      <c r="D292" s="335">
        <v>7</v>
      </c>
      <c r="E292" s="335">
        <v>0</v>
      </c>
      <c r="F292" s="335">
        <v>0</v>
      </c>
      <c r="G292" s="335">
        <v>0</v>
      </c>
      <c r="H292" s="335">
        <v>0</v>
      </c>
      <c r="I292" s="335">
        <v>4</v>
      </c>
      <c r="J292" s="335">
        <v>46</v>
      </c>
      <c r="K292" s="335">
        <v>0</v>
      </c>
      <c r="L292" s="335">
        <v>57</v>
      </c>
      <c r="M292" s="335">
        <v>1</v>
      </c>
      <c r="N292" s="335">
        <v>0</v>
      </c>
      <c r="O292" s="335">
        <v>0</v>
      </c>
      <c r="P292" s="335">
        <v>0</v>
      </c>
      <c r="Q292" s="335">
        <v>0</v>
      </c>
      <c r="R292" s="335">
        <v>0</v>
      </c>
      <c r="S292" s="335">
        <v>11</v>
      </c>
      <c r="T292" s="335">
        <v>0</v>
      </c>
      <c r="U292" s="335">
        <v>12</v>
      </c>
      <c r="V292" s="335">
        <v>11.5</v>
      </c>
      <c r="W292" s="335">
        <v>12</v>
      </c>
      <c r="X292" s="335">
        <v>11.5</v>
      </c>
      <c r="Y292" s="381">
        <f t="shared" si="4"/>
        <v>47932</v>
      </c>
      <c r="Z292" s="335">
        <v>0</v>
      </c>
      <c r="AA292" s="335">
        <v>0</v>
      </c>
      <c r="AB292" s="335">
        <v>0</v>
      </c>
      <c r="AF292" s="394"/>
      <c r="AH292" s="366"/>
    </row>
    <row r="293" spans="1:34" ht="14.25">
      <c r="A293" s="366" t="s">
        <v>942</v>
      </c>
      <c r="B293" s="196" t="s">
        <v>486</v>
      </c>
      <c r="C293" s="196" t="s">
        <v>86</v>
      </c>
      <c r="D293" s="335">
        <v>5</v>
      </c>
      <c r="E293" s="335">
        <v>0</v>
      </c>
      <c r="F293" s="335">
        <v>0</v>
      </c>
      <c r="G293" s="335">
        <v>0</v>
      </c>
      <c r="H293" s="335">
        <v>0</v>
      </c>
      <c r="I293" s="335">
        <v>3</v>
      </c>
      <c r="J293" s="335">
        <v>39</v>
      </c>
      <c r="K293" s="335">
        <v>0</v>
      </c>
      <c r="L293" s="335">
        <v>47</v>
      </c>
      <c r="M293" s="335">
        <v>1</v>
      </c>
      <c r="N293" s="335">
        <v>0</v>
      </c>
      <c r="O293" s="335">
        <v>0</v>
      </c>
      <c r="P293" s="335">
        <v>0</v>
      </c>
      <c r="Q293" s="335">
        <v>0</v>
      </c>
      <c r="R293" s="335">
        <v>0</v>
      </c>
      <c r="S293" s="335">
        <v>15</v>
      </c>
      <c r="T293" s="335">
        <v>0</v>
      </c>
      <c r="U293" s="335">
        <v>16</v>
      </c>
      <c r="V293" s="335">
        <v>15.5</v>
      </c>
      <c r="W293" s="335">
        <v>16</v>
      </c>
      <c r="X293" s="335">
        <v>15.5</v>
      </c>
      <c r="Y293" s="381">
        <f t="shared" si="4"/>
        <v>64604</v>
      </c>
      <c r="Z293" s="335">
        <v>0</v>
      </c>
      <c r="AA293" s="335">
        <v>0</v>
      </c>
      <c r="AB293" s="335">
        <v>0</v>
      </c>
      <c r="AF293" s="394"/>
      <c r="AH293" s="366"/>
    </row>
    <row r="294" spans="1:34" ht="28.5">
      <c r="A294" s="366" t="s">
        <v>943</v>
      </c>
      <c r="B294" s="196" t="s">
        <v>388</v>
      </c>
      <c r="C294" s="196" t="s">
        <v>86</v>
      </c>
      <c r="D294" s="335">
        <v>0</v>
      </c>
      <c r="E294" s="335">
        <v>0</v>
      </c>
      <c r="F294" s="335">
        <v>0</v>
      </c>
      <c r="G294" s="335">
        <v>0</v>
      </c>
      <c r="H294" s="335">
        <v>0</v>
      </c>
      <c r="I294" s="335">
        <v>13</v>
      </c>
      <c r="J294" s="335">
        <v>122</v>
      </c>
      <c r="K294" s="335">
        <v>0</v>
      </c>
      <c r="L294" s="335">
        <v>135</v>
      </c>
      <c r="M294" s="335">
        <v>0</v>
      </c>
      <c r="N294" s="335">
        <v>0</v>
      </c>
      <c r="O294" s="335">
        <v>0</v>
      </c>
      <c r="P294" s="335">
        <v>0</v>
      </c>
      <c r="Q294" s="335">
        <v>0</v>
      </c>
      <c r="R294" s="335">
        <v>3</v>
      </c>
      <c r="S294" s="335">
        <v>11</v>
      </c>
      <c r="T294" s="335">
        <v>0</v>
      </c>
      <c r="U294" s="335">
        <v>14</v>
      </c>
      <c r="V294" s="335">
        <v>14</v>
      </c>
      <c r="W294" s="335">
        <v>14</v>
      </c>
      <c r="X294" s="335">
        <v>14</v>
      </c>
      <c r="Y294" s="381">
        <f t="shared" si="4"/>
        <v>58352</v>
      </c>
      <c r="Z294" s="335">
        <v>0</v>
      </c>
      <c r="AA294" s="335">
        <v>0</v>
      </c>
      <c r="AB294" s="335">
        <v>0</v>
      </c>
      <c r="AF294" s="394"/>
      <c r="AH294" s="366"/>
    </row>
    <row r="295" spans="1:34" ht="28.5">
      <c r="A295" s="366" t="s">
        <v>944</v>
      </c>
      <c r="B295" s="196" t="s">
        <v>299</v>
      </c>
      <c r="C295" s="196" t="s">
        <v>607</v>
      </c>
      <c r="D295" s="335">
        <v>17</v>
      </c>
      <c r="E295" s="335">
        <v>0</v>
      </c>
      <c r="F295" s="335">
        <v>0</v>
      </c>
      <c r="G295" s="335">
        <v>0</v>
      </c>
      <c r="H295" s="335">
        <v>0</v>
      </c>
      <c r="I295" s="335">
        <v>12</v>
      </c>
      <c r="J295" s="335">
        <v>95</v>
      </c>
      <c r="K295" s="335">
        <v>0</v>
      </c>
      <c r="L295" s="335">
        <v>124</v>
      </c>
      <c r="M295" s="335">
        <v>1</v>
      </c>
      <c r="N295" s="335">
        <v>0</v>
      </c>
      <c r="O295" s="335">
        <v>0</v>
      </c>
      <c r="P295" s="335">
        <v>0</v>
      </c>
      <c r="Q295" s="335">
        <v>0</v>
      </c>
      <c r="R295" s="335">
        <v>6</v>
      </c>
      <c r="S295" s="335">
        <v>30</v>
      </c>
      <c r="T295" s="335">
        <v>0</v>
      </c>
      <c r="U295" s="335">
        <v>37</v>
      </c>
      <c r="V295" s="335">
        <v>36.5</v>
      </c>
      <c r="W295" s="335">
        <v>37</v>
      </c>
      <c r="X295" s="335">
        <v>36.5</v>
      </c>
      <c r="Y295" s="381">
        <f t="shared" si="4"/>
        <v>152132</v>
      </c>
      <c r="Z295" s="335">
        <v>0</v>
      </c>
      <c r="AA295" s="335">
        <v>0</v>
      </c>
      <c r="AB295" s="335">
        <v>0</v>
      </c>
      <c r="AF295" s="394"/>
      <c r="AH295" s="366"/>
    </row>
    <row r="296" spans="1:34" ht="14.25">
      <c r="A296" s="366" t="s">
        <v>945</v>
      </c>
      <c r="B296" s="196" t="s">
        <v>299</v>
      </c>
      <c r="C296" s="196" t="s">
        <v>86</v>
      </c>
      <c r="D296" s="335">
        <v>17</v>
      </c>
      <c r="E296" s="335">
        <v>0</v>
      </c>
      <c r="F296" s="335">
        <v>0</v>
      </c>
      <c r="G296" s="335">
        <v>0</v>
      </c>
      <c r="H296" s="335">
        <v>0</v>
      </c>
      <c r="I296" s="335">
        <v>12</v>
      </c>
      <c r="J296" s="335">
        <v>95</v>
      </c>
      <c r="K296" s="335">
        <v>0</v>
      </c>
      <c r="L296" s="335">
        <v>124</v>
      </c>
      <c r="M296" s="335">
        <v>4</v>
      </c>
      <c r="N296" s="335">
        <v>0</v>
      </c>
      <c r="O296" s="335">
        <v>0</v>
      </c>
      <c r="P296" s="335">
        <v>0</v>
      </c>
      <c r="Q296" s="335">
        <v>0</v>
      </c>
      <c r="R296" s="335">
        <v>0</v>
      </c>
      <c r="S296" s="335">
        <v>18</v>
      </c>
      <c r="T296" s="335">
        <v>0</v>
      </c>
      <c r="U296" s="335">
        <v>22</v>
      </c>
      <c r="V296" s="335">
        <v>20</v>
      </c>
      <c r="W296" s="335">
        <v>22</v>
      </c>
      <c r="X296" s="335">
        <v>20</v>
      </c>
      <c r="Y296" s="381">
        <f t="shared" si="4"/>
        <v>83360</v>
      </c>
      <c r="Z296" s="335">
        <v>0</v>
      </c>
      <c r="AA296" s="335">
        <v>0</v>
      </c>
      <c r="AB296" s="335">
        <v>0</v>
      </c>
      <c r="AF296" s="394"/>
      <c r="AH296" s="366"/>
    </row>
    <row r="297" spans="1:34" ht="28.5">
      <c r="A297" s="366" t="s">
        <v>946</v>
      </c>
      <c r="B297" s="196" t="s">
        <v>389</v>
      </c>
      <c r="C297" s="196" t="s">
        <v>86</v>
      </c>
      <c r="D297" s="335">
        <v>15</v>
      </c>
      <c r="E297" s="335">
        <v>0</v>
      </c>
      <c r="F297" s="335">
        <v>0</v>
      </c>
      <c r="G297" s="335">
        <v>0</v>
      </c>
      <c r="H297" s="335">
        <v>0</v>
      </c>
      <c r="I297" s="335">
        <v>9</v>
      </c>
      <c r="J297" s="335">
        <v>61</v>
      </c>
      <c r="K297" s="335">
        <v>0</v>
      </c>
      <c r="L297" s="335">
        <v>85</v>
      </c>
      <c r="M297" s="335">
        <v>2</v>
      </c>
      <c r="N297" s="335">
        <v>0</v>
      </c>
      <c r="O297" s="335">
        <v>0</v>
      </c>
      <c r="P297" s="335">
        <v>0</v>
      </c>
      <c r="Q297" s="335">
        <v>0</v>
      </c>
      <c r="R297" s="335">
        <v>3</v>
      </c>
      <c r="S297" s="335">
        <v>17</v>
      </c>
      <c r="T297" s="335">
        <v>0</v>
      </c>
      <c r="U297" s="335">
        <v>22</v>
      </c>
      <c r="V297" s="335">
        <v>21</v>
      </c>
      <c r="W297" s="335">
        <v>22</v>
      </c>
      <c r="X297" s="335">
        <v>21</v>
      </c>
      <c r="Y297" s="381">
        <f t="shared" si="4"/>
        <v>87528</v>
      </c>
      <c r="Z297" s="335">
        <v>0</v>
      </c>
      <c r="AA297" s="335">
        <v>0</v>
      </c>
      <c r="AB297" s="335">
        <v>0</v>
      </c>
      <c r="AF297" s="394"/>
      <c r="AH297" s="366"/>
    </row>
    <row r="298" spans="1:34" ht="28.5">
      <c r="A298" s="366" t="s">
        <v>947</v>
      </c>
      <c r="B298" s="196" t="s">
        <v>487</v>
      </c>
      <c r="C298" s="196" t="s">
        <v>86</v>
      </c>
      <c r="D298" s="335">
        <v>11</v>
      </c>
      <c r="E298" s="335">
        <v>0</v>
      </c>
      <c r="F298" s="335">
        <v>0</v>
      </c>
      <c r="G298" s="335">
        <v>0</v>
      </c>
      <c r="H298" s="335">
        <v>0</v>
      </c>
      <c r="I298" s="335">
        <v>13</v>
      </c>
      <c r="J298" s="335">
        <v>65</v>
      </c>
      <c r="K298" s="335">
        <v>0</v>
      </c>
      <c r="L298" s="335">
        <v>89</v>
      </c>
      <c r="M298" s="335">
        <v>3</v>
      </c>
      <c r="N298" s="335">
        <v>0</v>
      </c>
      <c r="O298" s="335">
        <v>0</v>
      </c>
      <c r="P298" s="335">
        <v>0</v>
      </c>
      <c r="Q298" s="335">
        <v>0</v>
      </c>
      <c r="R298" s="335">
        <v>3</v>
      </c>
      <c r="S298" s="335">
        <v>22</v>
      </c>
      <c r="T298" s="335">
        <v>0</v>
      </c>
      <c r="U298" s="335">
        <v>28</v>
      </c>
      <c r="V298" s="335">
        <v>26.5</v>
      </c>
      <c r="W298" s="335">
        <v>28</v>
      </c>
      <c r="X298" s="335">
        <v>26.5</v>
      </c>
      <c r="Y298" s="381">
        <f t="shared" si="4"/>
        <v>110452</v>
      </c>
      <c r="Z298" s="335">
        <v>0</v>
      </c>
      <c r="AA298" s="335">
        <v>0</v>
      </c>
      <c r="AB298" s="335">
        <v>0</v>
      </c>
      <c r="AF298" s="394"/>
      <c r="AH298" s="366"/>
    </row>
    <row r="299" spans="1:34" ht="28.5">
      <c r="A299" s="366" t="s">
        <v>948</v>
      </c>
      <c r="B299" s="196" t="s">
        <v>537</v>
      </c>
      <c r="C299" s="196" t="s">
        <v>86</v>
      </c>
      <c r="D299" s="335">
        <v>3</v>
      </c>
      <c r="E299" s="335">
        <v>0</v>
      </c>
      <c r="F299" s="335">
        <v>0</v>
      </c>
      <c r="G299" s="335">
        <v>0</v>
      </c>
      <c r="H299" s="335">
        <v>0</v>
      </c>
      <c r="I299" s="335">
        <v>6</v>
      </c>
      <c r="J299" s="335">
        <v>60</v>
      </c>
      <c r="K299" s="335">
        <v>0</v>
      </c>
      <c r="L299" s="335">
        <v>69</v>
      </c>
      <c r="M299" s="335">
        <v>0</v>
      </c>
      <c r="N299" s="335">
        <v>0</v>
      </c>
      <c r="O299" s="335">
        <v>0</v>
      </c>
      <c r="P299" s="335">
        <v>0</v>
      </c>
      <c r="Q299" s="335">
        <v>0</v>
      </c>
      <c r="R299" s="335">
        <v>1</v>
      </c>
      <c r="S299" s="335">
        <v>25</v>
      </c>
      <c r="T299" s="335">
        <v>0</v>
      </c>
      <c r="U299" s="335">
        <v>26</v>
      </c>
      <c r="V299" s="335">
        <v>26</v>
      </c>
      <c r="W299" s="335">
        <v>26</v>
      </c>
      <c r="X299" s="335">
        <v>26</v>
      </c>
      <c r="Y299" s="381">
        <f t="shared" si="4"/>
        <v>108368</v>
      </c>
      <c r="Z299" s="335">
        <v>0</v>
      </c>
      <c r="AA299" s="335">
        <v>0</v>
      </c>
      <c r="AB299" s="335">
        <v>0</v>
      </c>
      <c r="AF299" s="394"/>
      <c r="AH299" s="366"/>
    </row>
    <row r="300" spans="1:34" ht="28.5">
      <c r="A300" s="366" t="s">
        <v>949</v>
      </c>
      <c r="B300" s="196" t="s">
        <v>158</v>
      </c>
      <c r="C300" s="196" t="s">
        <v>86</v>
      </c>
      <c r="D300" s="335">
        <v>15</v>
      </c>
      <c r="E300" s="335">
        <v>0</v>
      </c>
      <c r="F300" s="335">
        <v>4</v>
      </c>
      <c r="G300" s="335">
        <v>0</v>
      </c>
      <c r="H300" s="335">
        <v>2</v>
      </c>
      <c r="I300" s="335">
        <v>17</v>
      </c>
      <c r="J300" s="335">
        <v>87</v>
      </c>
      <c r="K300" s="335">
        <v>0</v>
      </c>
      <c r="L300" s="335">
        <v>125</v>
      </c>
      <c r="M300" s="335">
        <v>2</v>
      </c>
      <c r="N300" s="335">
        <v>0</v>
      </c>
      <c r="O300" s="335">
        <v>0</v>
      </c>
      <c r="P300" s="335">
        <v>0</v>
      </c>
      <c r="Q300" s="335">
        <v>0</v>
      </c>
      <c r="R300" s="335">
        <v>5</v>
      </c>
      <c r="S300" s="335">
        <v>44</v>
      </c>
      <c r="T300" s="335">
        <v>0</v>
      </c>
      <c r="U300" s="335">
        <v>51</v>
      </c>
      <c r="V300" s="335">
        <v>50</v>
      </c>
      <c r="W300" s="335">
        <v>51</v>
      </c>
      <c r="X300" s="335">
        <v>50</v>
      </c>
      <c r="Y300" s="381">
        <f t="shared" si="4"/>
        <v>208400</v>
      </c>
      <c r="Z300" s="335">
        <v>0</v>
      </c>
      <c r="AA300" s="335">
        <v>0</v>
      </c>
      <c r="AB300" s="335">
        <v>0</v>
      </c>
      <c r="AF300" s="394"/>
      <c r="AH300" s="366"/>
    </row>
    <row r="301" spans="1:34" ht="28.5">
      <c r="A301" s="366" t="s">
        <v>950</v>
      </c>
      <c r="B301" s="196" t="s">
        <v>221</v>
      </c>
      <c r="C301" s="196" t="s">
        <v>607</v>
      </c>
      <c r="D301" s="335">
        <v>14</v>
      </c>
      <c r="E301" s="335">
        <v>0</v>
      </c>
      <c r="F301" s="335">
        <v>0</v>
      </c>
      <c r="G301" s="335">
        <v>0</v>
      </c>
      <c r="H301" s="335">
        <v>0</v>
      </c>
      <c r="I301" s="335">
        <v>14</v>
      </c>
      <c r="J301" s="335">
        <v>70</v>
      </c>
      <c r="K301" s="335">
        <v>0</v>
      </c>
      <c r="L301" s="335">
        <v>98</v>
      </c>
      <c r="M301" s="335">
        <v>1</v>
      </c>
      <c r="N301" s="335">
        <v>0</v>
      </c>
      <c r="O301" s="335">
        <v>0</v>
      </c>
      <c r="P301" s="335">
        <v>0</v>
      </c>
      <c r="Q301" s="335">
        <v>0</v>
      </c>
      <c r="R301" s="335">
        <v>10</v>
      </c>
      <c r="S301" s="335">
        <v>41</v>
      </c>
      <c r="T301" s="335">
        <v>0</v>
      </c>
      <c r="U301" s="335">
        <v>52</v>
      </c>
      <c r="V301" s="335">
        <v>51.5</v>
      </c>
      <c r="W301" s="335">
        <v>52</v>
      </c>
      <c r="X301" s="335">
        <v>51.5</v>
      </c>
      <c r="Y301" s="381">
        <f t="shared" si="4"/>
        <v>214652</v>
      </c>
      <c r="Z301" s="335">
        <v>0</v>
      </c>
      <c r="AA301" s="335">
        <v>0</v>
      </c>
      <c r="AB301" s="335">
        <v>0</v>
      </c>
      <c r="AF301" s="394"/>
      <c r="AH301" s="366"/>
    </row>
    <row r="302" spans="1:34" ht="28.5">
      <c r="A302" s="366" t="s">
        <v>951</v>
      </c>
      <c r="B302" s="196" t="s">
        <v>221</v>
      </c>
      <c r="C302" s="196" t="s">
        <v>86</v>
      </c>
      <c r="D302" s="335">
        <v>14</v>
      </c>
      <c r="E302" s="335">
        <v>0</v>
      </c>
      <c r="F302" s="335">
        <v>0</v>
      </c>
      <c r="G302" s="335">
        <v>0</v>
      </c>
      <c r="H302" s="335">
        <v>0</v>
      </c>
      <c r="I302" s="335">
        <v>14</v>
      </c>
      <c r="J302" s="335">
        <v>70</v>
      </c>
      <c r="K302" s="335">
        <v>0</v>
      </c>
      <c r="L302" s="335">
        <v>98</v>
      </c>
      <c r="M302" s="335">
        <v>0</v>
      </c>
      <c r="N302" s="335">
        <v>0</v>
      </c>
      <c r="O302" s="335">
        <v>0</v>
      </c>
      <c r="P302" s="335">
        <v>0</v>
      </c>
      <c r="Q302" s="335">
        <v>0</v>
      </c>
      <c r="R302" s="335">
        <v>2</v>
      </c>
      <c r="S302" s="335">
        <v>5</v>
      </c>
      <c r="T302" s="335">
        <v>0</v>
      </c>
      <c r="U302" s="335">
        <v>7</v>
      </c>
      <c r="V302" s="335">
        <v>7</v>
      </c>
      <c r="W302" s="335">
        <v>7</v>
      </c>
      <c r="X302" s="335">
        <v>7</v>
      </c>
      <c r="Y302" s="381">
        <f t="shared" si="4"/>
        <v>29176</v>
      </c>
      <c r="Z302" s="335">
        <v>0</v>
      </c>
      <c r="AA302" s="335">
        <v>0</v>
      </c>
      <c r="AB302" s="335">
        <v>0</v>
      </c>
      <c r="AF302" s="394"/>
      <c r="AH302" s="366"/>
    </row>
    <row r="303" spans="1:34" ht="28.5">
      <c r="A303" s="366" t="s">
        <v>952</v>
      </c>
      <c r="B303" s="196" t="s">
        <v>300</v>
      </c>
      <c r="C303" s="196" t="s">
        <v>607</v>
      </c>
      <c r="D303" s="335">
        <v>14</v>
      </c>
      <c r="E303" s="335">
        <v>0</v>
      </c>
      <c r="F303" s="335">
        <v>0</v>
      </c>
      <c r="G303" s="335">
        <v>0</v>
      </c>
      <c r="H303" s="335">
        <v>0</v>
      </c>
      <c r="I303" s="335">
        <v>12</v>
      </c>
      <c r="J303" s="335">
        <v>76</v>
      </c>
      <c r="K303" s="335">
        <v>0</v>
      </c>
      <c r="L303" s="335">
        <v>102</v>
      </c>
      <c r="M303" s="335">
        <v>2</v>
      </c>
      <c r="N303" s="335">
        <v>0</v>
      </c>
      <c r="O303" s="335">
        <v>0</v>
      </c>
      <c r="P303" s="335">
        <v>0</v>
      </c>
      <c r="Q303" s="335">
        <v>0</v>
      </c>
      <c r="R303" s="335">
        <v>1</v>
      </c>
      <c r="S303" s="335">
        <v>5</v>
      </c>
      <c r="T303" s="335">
        <v>0</v>
      </c>
      <c r="U303" s="335">
        <v>8</v>
      </c>
      <c r="V303" s="335">
        <v>7</v>
      </c>
      <c r="W303" s="335">
        <v>8</v>
      </c>
      <c r="X303" s="335">
        <v>7</v>
      </c>
      <c r="Y303" s="381">
        <f t="shared" si="4"/>
        <v>29176</v>
      </c>
      <c r="Z303" s="335">
        <v>0</v>
      </c>
      <c r="AA303" s="335">
        <v>0</v>
      </c>
      <c r="AB303" s="335">
        <v>0</v>
      </c>
      <c r="AF303" s="394"/>
      <c r="AH303" s="366"/>
    </row>
    <row r="304" spans="1:34" ht="14.25">
      <c r="A304" s="366" t="s">
        <v>953</v>
      </c>
      <c r="B304" s="196" t="s">
        <v>300</v>
      </c>
      <c r="C304" s="196" t="s">
        <v>86</v>
      </c>
      <c r="D304" s="335">
        <v>14</v>
      </c>
      <c r="E304" s="335">
        <v>0</v>
      </c>
      <c r="F304" s="335">
        <v>0</v>
      </c>
      <c r="G304" s="335">
        <v>0</v>
      </c>
      <c r="H304" s="335">
        <v>0</v>
      </c>
      <c r="I304" s="335">
        <v>12</v>
      </c>
      <c r="J304" s="335">
        <v>76</v>
      </c>
      <c r="K304" s="335">
        <v>0</v>
      </c>
      <c r="L304" s="335">
        <v>102</v>
      </c>
      <c r="M304" s="335">
        <v>0</v>
      </c>
      <c r="N304" s="335">
        <v>0</v>
      </c>
      <c r="O304" s="335">
        <v>0</v>
      </c>
      <c r="P304" s="335">
        <v>0</v>
      </c>
      <c r="Q304" s="335">
        <v>0</v>
      </c>
      <c r="R304" s="335">
        <v>5</v>
      </c>
      <c r="S304" s="335">
        <v>17</v>
      </c>
      <c r="T304" s="335">
        <v>0</v>
      </c>
      <c r="U304" s="335">
        <v>22</v>
      </c>
      <c r="V304" s="335">
        <v>22</v>
      </c>
      <c r="W304" s="335">
        <v>22</v>
      </c>
      <c r="X304" s="335">
        <v>22</v>
      </c>
      <c r="Y304" s="381">
        <f t="shared" si="4"/>
        <v>91696</v>
      </c>
      <c r="Z304" s="335">
        <v>0</v>
      </c>
      <c r="AA304" s="335">
        <v>0</v>
      </c>
      <c r="AB304" s="335">
        <v>0</v>
      </c>
      <c r="AF304" s="394"/>
      <c r="AH304" s="366"/>
    </row>
    <row r="305" spans="1:34" ht="28.5">
      <c r="A305" s="366" t="s">
        <v>954</v>
      </c>
      <c r="B305" s="196" t="s">
        <v>301</v>
      </c>
      <c r="C305" s="196" t="s">
        <v>86</v>
      </c>
      <c r="D305" s="335">
        <v>0</v>
      </c>
      <c r="E305" s="335">
        <v>0</v>
      </c>
      <c r="F305" s="335">
        <v>0</v>
      </c>
      <c r="G305" s="335">
        <v>0</v>
      </c>
      <c r="H305" s="335">
        <v>0</v>
      </c>
      <c r="I305" s="335">
        <v>14</v>
      </c>
      <c r="J305" s="335">
        <v>98</v>
      </c>
      <c r="K305" s="335">
        <v>0</v>
      </c>
      <c r="L305" s="335">
        <v>112</v>
      </c>
      <c r="M305" s="335">
        <v>0</v>
      </c>
      <c r="N305" s="335">
        <v>0</v>
      </c>
      <c r="O305" s="335">
        <v>0</v>
      </c>
      <c r="P305" s="335">
        <v>0</v>
      </c>
      <c r="Q305" s="335">
        <v>0</v>
      </c>
      <c r="R305" s="335">
        <v>8</v>
      </c>
      <c r="S305" s="335">
        <v>29</v>
      </c>
      <c r="T305" s="335">
        <v>0</v>
      </c>
      <c r="U305" s="335">
        <v>37</v>
      </c>
      <c r="V305" s="335">
        <v>37</v>
      </c>
      <c r="W305" s="335">
        <v>37</v>
      </c>
      <c r="X305" s="335">
        <v>37</v>
      </c>
      <c r="Y305" s="381">
        <f t="shared" si="4"/>
        <v>154216</v>
      </c>
      <c r="Z305" s="335">
        <v>0</v>
      </c>
      <c r="AA305" s="335">
        <v>0</v>
      </c>
      <c r="AB305" s="335">
        <v>0</v>
      </c>
      <c r="AF305" s="394"/>
      <c r="AH305" s="366"/>
    </row>
    <row r="306" spans="1:34" ht="28.5">
      <c r="A306" s="366" t="s">
        <v>955</v>
      </c>
      <c r="B306" s="196" t="s">
        <v>390</v>
      </c>
      <c r="C306" s="196" t="s">
        <v>607</v>
      </c>
      <c r="D306" s="335">
        <v>0</v>
      </c>
      <c r="E306" s="335">
        <v>25</v>
      </c>
      <c r="F306" s="335">
        <v>0</v>
      </c>
      <c r="G306" s="335">
        <v>0</v>
      </c>
      <c r="H306" s="335">
        <v>0</v>
      </c>
      <c r="I306" s="335">
        <v>37</v>
      </c>
      <c r="J306" s="335">
        <v>231</v>
      </c>
      <c r="K306" s="335">
        <v>0</v>
      </c>
      <c r="L306" s="335">
        <v>293</v>
      </c>
      <c r="M306" s="335">
        <v>0</v>
      </c>
      <c r="N306" s="335">
        <v>17</v>
      </c>
      <c r="O306" s="335">
        <v>0</v>
      </c>
      <c r="P306" s="335">
        <v>0</v>
      </c>
      <c r="Q306" s="335">
        <v>0</v>
      </c>
      <c r="R306" s="335">
        <v>29</v>
      </c>
      <c r="S306" s="335">
        <v>175</v>
      </c>
      <c r="T306" s="335">
        <v>0</v>
      </c>
      <c r="U306" s="335">
        <v>221</v>
      </c>
      <c r="V306" s="335">
        <v>214.2</v>
      </c>
      <c r="W306" s="335">
        <v>221</v>
      </c>
      <c r="X306" s="335">
        <v>214.2</v>
      </c>
      <c r="Y306" s="381">
        <f t="shared" si="4"/>
        <v>892785.6</v>
      </c>
      <c r="Z306" s="335">
        <v>0</v>
      </c>
      <c r="AA306" s="335">
        <v>0</v>
      </c>
      <c r="AB306" s="335">
        <v>0</v>
      </c>
      <c r="AF306" s="394"/>
      <c r="AH306" s="366"/>
    </row>
    <row r="307" spans="1:34" ht="28.5">
      <c r="A307" s="366" t="s">
        <v>956</v>
      </c>
      <c r="B307" s="196" t="s">
        <v>390</v>
      </c>
      <c r="C307" s="196" t="s">
        <v>86</v>
      </c>
      <c r="D307" s="335">
        <v>0</v>
      </c>
      <c r="E307" s="335">
        <v>25</v>
      </c>
      <c r="F307" s="335">
        <v>0</v>
      </c>
      <c r="G307" s="335">
        <v>0</v>
      </c>
      <c r="H307" s="335">
        <v>0</v>
      </c>
      <c r="I307" s="335">
        <v>37</v>
      </c>
      <c r="J307" s="335">
        <v>231</v>
      </c>
      <c r="K307" s="335">
        <v>0</v>
      </c>
      <c r="L307" s="335">
        <v>293</v>
      </c>
      <c r="M307" s="335">
        <v>0</v>
      </c>
      <c r="N307" s="335">
        <v>1</v>
      </c>
      <c r="O307" s="335">
        <v>0</v>
      </c>
      <c r="P307" s="335">
        <v>0</v>
      </c>
      <c r="Q307" s="335">
        <v>0</v>
      </c>
      <c r="R307" s="335">
        <v>3</v>
      </c>
      <c r="S307" s="335">
        <v>22</v>
      </c>
      <c r="T307" s="335">
        <v>0</v>
      </c>
      <c r="U307" s="335">
        <v>26</v>
      </c>
      <c r="V307" s="335">
        <v>25.6</v>
      </c>
      <c r="W307" s="335">
        <v>26</v>
      </c>
      <c r="X307" s="335">
        <v>25.6</v>
      </c>
      <c r="Y307" s="381">
        <f t="shared" si="4"/>
        <v>106700.8</v>
      </c>
      <c r="Z307" s="335">
        <v>0</v>
      </c>
      <c r="AA307" s="335">
        <v>0</v>
      </c>
      <c r="AB307" s="335">
        <v>0</v>
      </c>
      <c r="AF307" s="394"/>
      <c r="AH307" s="366"/>
    </row>
    <row r="308" spans="1:34" ht="28.5">
      <c r="A308" s="366" t="s">
        <v>957</v>
      </c>
      <c r="B308" s="196" t="s">
        <v>488</v>
      </c>
      <c r="C308" s="196" t="s">
        <v>86</v>
      </c>
      <c r="D308" s="335">
        <v>9</v>
      </c>
      <c r="E308" s="335">
        <v>0</v>
      </c>
      <c r="F308" s="335">
        <v>0</v>
      </c>
      <c r="G308" s="335">
        <v>0</v>
      </c>
      <c r="H308" s="335">
        <v>0</v>
      </c>
      <c r="I308" s="335">
        <v>10</v>
      </c>
      <c r="J308" s="335">
        <v>66</v>
      </c>
      <c r="K308" s="335">
        <v>0</v>
      </c>
      <c r="L308" s="335">
        <v>85</v>
      </c>
      <c r="M308" s="335">
        <v>3</v>
      </c>
      <c r="N308" s="335">
        <v>0</v>
      </c>
      <c r="O308" s="335">
        <v>0</v>
      </c>
      <c r="P308" s="335">
        <v>0</v>
      </c>
      <c r="Q308" s="335">
        <v>0</v>
      </c>
      <c r="R308" s="335">
        <v>3</v>
      </c>
      <c r="S308" s="335">
        <v>28</v>
      </c>
      <c r="T308" s="335">
        <v>0</v>
      </c>
      <c r="U308" s="335">
        <v>34</v>
      </c>
      <c r="V308" s="335">
        <v>32.5</v>
      </c>
      <c r="W308" s="335">
        <v>34</v>
      </c>
      <c r="X308" s="335">
        <v>32.5</v>
      </c>
      <c r="Y308" s="381">
        <f t="shared" si="4"/>
        <v>135460</v>
      </c>
      <c r="Z308" s="335">
        <v>0</v>
      </c>
      <c r="AA308" s="335">
        <v>0</v>
      </c>
      <c r="AB308" s="335">
        <v>0</v>
      </c>
      <c r="AF308" s="394"/>
      <c r="AH308" s="366"/>
    </row>
    <row r="309" spans="1:34" ht="14.25">
      <c r="A309" s="366" t="s">
        <v>958</v>
      </c>
      <c r="B309" s="196" t="s">
        <v>222</v>
      </c>
      <c r="C309" s="196" t="s">
        <v>86</v>
      </c>
      <c r="D309" s="335">
        <v>0</v>
      </c>
      <c r="E309" s="335">
        <v>0</v>
      </c>
      <c r="F309" s="335">
        <v>0</v>
      </c>
      <c r="G309" s="335">
        <v>0</v>
      </c>
      <c r="H309" s="335">
        <v>0</v>
      </c>
      <c r="I309" s="335">
        <v>12</v>
      </c>
      <c r="J309" s="335">
        <v>66</v>
      </c>
      <c r="K309" s="335">
        <v>0</v>
      </c>
      <c r="L309" s="335">
        <v>78</v>
      </c>
      <c r="M309" s="335">
        <v>0</v>
      </c>
      <c r="N309" s="335">
        <v>0</v>
      </c>
      <c r="O309" s="335">
        <v>0</v>
      </c>
      <c r="P309" s="335">
        <v>0</v>
      </c>
      <c r="Q309" s="335">
        <v>0</v>
      </c>
      <c r="R309" s="335">
        <v>1</v>
      </c>
      <c r="S309" s="335">
        <v>21</v>
      </c>
      <c r="T309" s="335">
        <v>0</v>
      </c>
      <c r="U309" s="335">
        <v>22</v>
      </c>
      <c r="V309" s="335">
        <v>22</v>
      </c>
      <c r="W309" s="335">
        <v>22</v>
      </c>
      <c r="X309" s="335">
        <v>22</v>
      </c>
      <c r="Y309" s="381">
        <f t="shared" si="4"/>
        <v>91696</v>
      </c>
      <c r="Z309" s="335">
        <v>0</v>
      </c>
      <c r="AA309" s="335">
        <v>0</v>
      </c>
      <c r="AB309" s="335">
        <v>0</v>
      </c>
      <c r="AF309" s="394"/>
      <c r="AH309" s="366"/>
    </row>
    <row r="310" spans="1:34" ht="14.25">
      <c r="A310" s="366" t="s">
        <v>959</v>
      </c>
      <c r="B310" s="196" t="s">
        <v>129</v>
      </c>
      <c r="C310" s="196" t="s">
        <v>608</v>
      </c>
      <c r="D310" s="335">
        <v>21</v>
      </c>
      <c r="E310" s="335">
        <v>0</v>
      </c>
      <c r="F310" s="335">
        <v>2</v>
      </c>
      <c r="G310" s="335">
        <v>0</v>
      </c>
      <c r="H310" s="335">
        <v>0</v>
      </c>
      <c r="I310" s="335">
        <v>24</v>
      </c>
      <c r="J310" s="335">
        <v>193</v>
      </c>
      <c r="K310" s="335">
        <v>0</v>
      </c>
      <c r="L310" s="335">
        <v>240</v>
      </c>
      <c r="M310" s="335">
        <v>18</v>
      </c>
      <c r="N310" s="335">
        <v>0</v>
      </c>
      <c r="O310" s="335">
        <v>1</v>
      </c>
      <c r="P310" s="335">
        <v>0</v>
      </c>
      <c r="Q310" s="335">
        <v>0</v>
      </c>
      <c r="R310" s="335">
        <v>17</v>
      </c>
      <c r="S310" s="335">
        <v>152</v>
      </c>
      <c r="T310" s="335">
        <v>0</v>
      </c>
      <c r="U310" s="335">
        <v>188</v>
      </c>
      <c r="V310" s="335">
        <v>178.5</v>
      </c>
      <c r="W310" s="335">
        <v>188</v>
      </c>
      <c r="X310" s="335">
        <v>178.5</v>
      </c>
      <c r="Y310" s="381">
        <f t="shared" si="4"/>
        <v>743988</v>
      </c>
      <c r="Z310" s="335">
        <v>0</v>
      </c>
      <c r="AA310" s="335">
        <v>1</v>
      </c>
      <c r="AB310" s="335">
        <v>0</v>
      </c>
      <c r="AF310" s="394"/>
      <c r="AH310" s="366"/>
    </row>
    <row r="311" spans="1:34" ht="28.5">
      <c r="A311" s="366" t="s">
        <v>960</v>
      </c>
      <c r="B311" s="196" t="s">
        <v>391</v>
      </c>
      <c r="C311" s="196" t="s">
        <v>86</v>
      </c>
      <c r="D311" s="335">
        <v>20</v>
      </c>
      <c r="E311" s="335">
        <v>0</v>
      </c>
      <c r="F311" s="335">
        <v>0</v>
      </c>
      <c r="G311" s="335">
        <v>0</v>
      </c>
      <c r="H311" s="335">
        <v>0</v>
      </c>
      <c r="I311" s="335">
        <v>23</v>
      </c>
      <c r="J311" s="335">
        <v>103</v>
      </c>
      <c r="K311" s="335">
        <v>0</v>
      </c>
      <c r="L311" s="335">
        <v>146</v>
      </c>
      <c r="M311" s="335">
        <v>0</v>
      </c>
      <c r="N311" s="335">
        <v>0</v>
      </c>
      <c r="O311" s="335">
        <v>0</v>
      </c>
      <c r="P311" s="335">
        <v>0</v>
      </c>
      <c r="Q311" s="335">
        <v>0</v>
      </c>
      <c r="R311" s="335">
        <v>5</v>
      </c>
      <c r="S311" s="335">
        <v>18</v>
      </c>
      <c r="T311" s="335">
        <v>0</v>
      </c>
      <c r="U311" s="335">
        <v>23</v>
      </c>
      <c r="V311" s="335">
        <v>23</v>
      </c>
      <c r="W311" s="335">
        <v>23</v>
      </c>
      <c r="X311" s="335">
        <v>23</v>
      </c>
      <c r="Y311" s="381">
        <f t="shared" si="4"/>
        <v>95864</v>
      </c>
      <c r="Z311" s="335">
        <v>0</v>
      </c>
      <c r="AA311" s="335">
        <v>0</v>
      </c>
      <c r="AB311" s="335">
        <v>0</v>
      </c>
      <c r="AF311" s="394"/>
      <c r="AH311" s="366"/>
    </row>
    <row r="312" spans="1:34" ht="28.5">
      <c r="A312" s="366" t="s">
        <v>961</v>
      </c>
      <c r="B312" s="196" t="s">
        <v>392</v>
      </c>
      <c r="C312" s="196" t="s">
        <v>86</v>
      </c>
      <c r="D312" s="335">
        <v>40</v>
      </c>
      <c r="E312" s="335">
        <v>0</v>
      </c>
      <c r="F312" s="335">
        <v>0</v>
      </c>
      <c r="G312" s="335">
        <v>0</v>
      </c>
      <c r="H312" s="335">
        <v>0</v>
      </c>
      <c r="I312" s="335">
        <v>35</v>
      </c>
      <c r="J312" s="335">
        <v>193</v>
      </c>
      <c r="K312" s="335">
        <v>0</v>
      </c>
      <c r="L312" s="335">
        <v>268</v>
      </c>
      <c r="M312" s="335">
        <v>9</v>
      </c>
      <c r="N312" s="335">
        <v>0</v>
      </c>
      <c r="O312" s="335">
        <v>0</v>
      </c>
      <c r="P312" s="335">
        <v>0</v>
      </c>
      <c r="Q312" s="335">
        <v>0</v>
      </c>
      <c r="R312" s="335">
        <v>11</v>
      </c>
      <c r="S312" s="335">
        <v>49</v>
      </c>
      <c r="T312" s="335">
        <v>0</v>
      </c>
      <c r="U312" s="335">
        <v>69</v>
      </c>
      <c r="V312" s="335">
        <v>64.5</v>
      </c>
      <c r="W312" s="335">
        <v>69</v>
      </c>
      <c r="X312" s="335">
        <v>64.5</v>
      </c>
      <c r="Y312" s="381">
        <f t="shared" si="4"/>
        <v>268836</v>
      </c>
      <c r="Z312" s="335">
        <v>0</v>
      </c>
      <c r="AA312" s="335">
        <v>0</v>
      </c>
      <c r="AB312" s="335">
        <v>0</v>
      </c>
      <c r="AF312" s="394"/>
      <c r="AH312" s="366"/>
    </row>
    <row r="313" spans="1:34" ht="28.5">
      <c r="A313" s="366" t="s">
        <v>962</v>
      </c>
      <c r="B313" s="196" t="s">
        <v>629</v>
      </c>
      <c r="C313" s="196" t="s">
        <v>86</v>
      </c>
      <c r="D313" s="335">
        <v>35</v>
      </c>
      <c r="E313" s="335">
        <v>0</v>
      </c>
      <c r="F313" s="335">
        <v>0</v>
      </c>
      <c r="G313" s="335">
        <v>0</v>
      </c>
      <c r="H313" s="335">
        <v>0</v>
      </c>
      <c r="I313" s="335">
        <v>18</v>
      </c>
      <c r="J313" s="335">
        <v>76</v>
      </c>
      <c r="K313" s="335">
        <v>0</v>
      </c>
      <c r="L313" s="335">
        <v>129</v>
      </c>
      <c r="M313" s="335">
        <v>2</v>
      </c>
      <c r="N313" s="335">
        <v>0</v>
      </c>
      <c r="O313" s="335">
        <v>0</v>
      </c>
      <c r="P313" s="335">
        <v>0</v>
      </c>
      <c r="Q313" s="335">
        <v>0</v>
      </c>
      <c r="R313" s="335">
        <v>4</v>
      </c>
      <c r="S313" s="335">
        <v>17</v>
      </c>
      <c r="T313" s="335">
        <v>0</v>
      </c>
      <c r="U313" s="335">
        <v>23</v>
      </c>
      <c r="V313" s="335">
        <v>22</v>
      </c>
      <c r="W313" s="335">
        <v>23</v>
      </c>
      <c r="X313" s="335">
        <v>22</v>
      </c>
      <c r="Y313" s="381">
        <f t="shared" si="4"/>
        <v>91696</v>
      </c>
      <c r="Z313" s="335">
        <v>0</v>
      </c>
      <c r="AA313" s="335">
        <v>0</v>
      </c>
      <c r="AB313" s="335">
        <v>0</v>
      </c>
      <c r="AF313" s="394"/>
      <c r="AH313" s="366"/>
    </row>
    <row r="314" spans="1:34" ht="28.5">
      <c r="A314" s="366" t="s">
        <v>963</v>
      </c>
      <c r="B314" s="196" t="s">
        <v>130</v>
      </c>
      <c r="C314" s="196" t="s">
        <v>607</v>
      </c>
      <c r="D314" s="335">
        <v>0</v>
      </c>
      <c r="E314" s="335">
        <v>14</v>
      </c>
      <c r="F314" s="335">
        <v>0</v>
      </c>
      <c r="G314" s="335">
        <v>0</v>
      </c>
      <c r="H314" s="335">
        <v>0</v>
      </c>
      <c r="I314" s="335">
        <v>18</v>
      </c>
      <c r="J314" s="335">
        <v>166</v>
      </c>
      <c r="K314" s="335">
        <v>0</v>
      </c>
      <c r="L314" s="335">
        <v>198</v>
      </c>
      <c r="M314" s="335">
        <v>0</v>
      </c>
      <c r="N314" s="335">
        <v>13</v>
      </c>
      <c r="O314" s="335">
        <v>0</v>
      </c>
      <c r="P314" s="335">
        <v>0</v>
      </c>
      <c r="Q314" s="335">
        <v>0</v>
      </c>
      <c r="R314" s="335">
        <v>16</v>
      </c>
      <c r="S314" s="335">
        <v>160</v>
      </c>
      <c r="T314" s="335">
        <v>0</v>
      </c>
      <c r="U314" s="335">
        <v>189</v>
      </c>
      <c r="V314" s="335">
        <v>183.8</v>
      </c>
      <c r="W314" s="335">
        <v>189</v>
      </c>
      <c r="X314" s="335">
        <v>183.8</v>
      </c>
      <c r="Y314" s="381">
        <f t="shared" si="4"/>
        <v>766078.4</v>
      </c>
      <c r="Z314" s="335">
        <v>0</v>
      </c>
      <c r="AA314" s="335">
        <v>0</v>
      </c>
      <c r="AB314" s="335">
        <v>0</v>
      </c>
      <c r="AF314" s="394"/>
      <c r="AH314" s="366"/>
    </row>
    <row r="315" spans="1:34" ht="14.25">
      <c r="A315" s="366" t="s">
        <v>964</v>
      </c>
      <c r="B315" s="196" t="s">
        <v>130</v>
      </c>
      <c r="C315" s="196" t="s">
        <v>86</v>
      </c>
      <c r="D315" s="335">
        <v>0</v>
      </c>
      <c r="E315" s="335">
        <v>14</v>
      </c>
      <c r="F315" s="335">
        <v>0</v>
      </c>
      <c r="G315" s="335">
        <v>0</v>
      </c>
      <c r="H315" s="335">
        <v>0</v>
      </c>
      <c r="I315" s="335">
        <v>18</v>
      </c>
      <c r="J315" s="335">
        <v>166</v>
      </c>
      <c r="K315" s="335">
        <v>0</v>
      </c>
      <c r="L315" s="335">
        <v>198</v>
      </c>
      <c r="M315" s="335">
        <v>0</v>
      </c>
      <c r="N315" s="335">
        <v>0</v>
      </c>
      <c r="O315" s="335">
        <v>0</v>
      </c>
      <c r="P315" s="335">
        <v>0</v>
      </c>
      <c r="Q315" s="335">
        <v>0</v>
      </c>
      <c r="R315" s="335">
        <v>1</v>
      </c>
      <c r="S315" s="335">
        <v>0</v>
      </c>
      <c r="T315" s="335">
        <v>0</v>
      </c>
      <c r="U315" s="335">
        <v>1</v>
      </c>
      <c r="V315" s="335">
        <v>1</v>
      </c>
      <c r="W315" s="335">
        <v>1</v>
      </c>
      <c r="X315" s="335">
        <v>1</v>
      </c>
      <c r="Y315" s="381">
        <f t="shared" si="4"/>
        <v>4168</v>
      </c>
      <c r="Z315" s="335">
        <v>0</v>
      </c>
      <c r="AA315" s="335">
        <v>0</v>
      </c>
      <c r="AB315" s="335">
        <v>0</v>
      </c>
      <c r="AF315" s="394"/>
      <c r="AH315" s="366"/>
    </row>
    <row r="316" spans="1:34" ht="28.5">
      <c r="A316" s="366" t="s">
        <v>965</v>
      </c>
      <c r="B316" s="196" t="s">
        <v>131</v>
      </c>
      <c r="C316" s="196" t="s">
        <v>607</v>
      </c>
      <c r="D316" s="335">
        <v>0</v>
      </c>
      <c r="E316" s="335">
        <v>49</v>
      </c>
      <c r="F316" s="335">
        <v>0</v>
      </c>
      <c r="G316" s="335">
        <v>0</v>
      </c>
      <c r="H316" s="335">
        <v>0</v>
      </c>
      <c r="I316" s="335">
        <v>57</v>
      </c>
      <c r="J316" s="335">
        <v>351</v>
      </c>
      <c r="K316" s="335">
        <v>0</v>
      </c>
      <c r="L316" s="335">
        <v>457</v>
      </c>
      <c r="M316" s="335">
        <v>0</v>
      </c>
      <c r="N316" s="335">
        <v>48</v>
      </c>
      <c r="O316" s="335">
        <v>0</v>
      </c>
      <c r="P316" s="335">
        <v>0</v>
      </c>
      <c r="Q316" s="335">
        <v>0</v>
      </c>
      <c r="R316" s="335">
        <v>55</v>
      </c>
      <c r="S316" s="335">
        <v>338</v>
      </c>
      <c r="T316" s="335">
        <v>0</v>
      </c>
      <c r="U316" s="335">
        <v>441</v>
      </c>
      <c r="V316" s="335">
        <v>421.8</v>
      </c>
      <c r="W316" s="335">
        <v>441</v>
      </c>
      <c r="X316" s="335">
        <v>421.8</v>
      </c>
      <c r="Y316" s="381">
        <f t="shared" si="4"/>
        <v>1758062.4000000001</v>
      </c>
      <c r="Z316" s="335">
        <v>2</v>
      </c>
      <c r="AA316" s="335">
        <v>0</v>
      </c>
      <c r="AB316" s="335">
        <v>0</v>
      </c>
      <c r="AF316" s="394"/>
      <c r="AH316" s="366"/>
    </row>
    <row r="317" spans="1:34" ht="14.25">
      <c r="A317" s="366" t="s">
        <v>966</v>
      </c>
      <c r="B317" s="196" t="s">
        <v>131</v>
      </c>
      <c r="C317" s="196" t="s">
        <v>86</v>
      </c>
      <c r="D317" s="335">
        <v>0</v>
      </c>
      <c r="E317" s="335">
        <v>49</v>
      </c>
      <c r="F317" s="335">
        <v>0</v>
      </c>
      <c r="G317" s="335">
        <v>0</v>
      </c>
      <c r="H317" s="335">
        <v>0</v>
      </c>
      <c r="I317" s="335">
        <v>57</v>
      </c>
      <c r="J317" s="335">
        <v>351</v>
      </c>
      <c r="K317" s="335">
        <v>0</v>
      </c>
      <c r="L317" s="335">
        <v>457</v>
      </c>
      <c r="M317" s="335">
        <v>0</v>
      </c>
      <c r="N317" s="335">
        <v>2</v>
      </c>
      <c r="O317" s="335">
        <v>0</v>
      </c>
      <c r="P317" s="335">
        <v>0</v>
      </c>
      <c r="Q317" s="335">
        <v>0</v>
      </c>
      <c r="R317" s="335">
        <v>1</v>
      </c>
      <c r="S317" s="335">
        <v>11</v>
      </c>
      <c r="T317" s="335">
        <v>0</v>
      </c>
      <c r="U317" s="335">
        <v>14</v>
      </c>
      <c r="V317" s="335">
        <v>13.2</v>
      </c>
      <c r="W317" s="335">
        <v>14</v>
      </c>
      <c r="X317" s="335">
        <v>13.2</v>
      </c>
      <c r="Y317" s="381">
        <f t="shared" si="4"/>
        <v>55017.6</v>
      </c>
      <c r="Z317" s="335">
        <v>0</v>
      </c>
      <c r="AA317" s="335">
        <v>0</v>
      </c>
      <c r="AB317" s="335">
        <v>0</v>
      </c>
      <c r="AF317" s="394"/>
      <c r="AH317" s="366"/>
    </row>
    <row r="318" spans="1:34" ht="28.5">
      <c r="A318" s="366" t="s">
        <v>967</v>
      </c>
      <c r="B318" s="196" t="s">
        <v>132</v>
      </c>
      <c r="C318" s="196" t="s">
        <v>86</v>
      </c>
      <c r="D318" s="335">
        <v>43</v>
      </c>
      <c r="E318" s="335">
        <v>0</v>
      </c>
      <c r="F318" s="335">
        <v>0</v>
      </c>
      <c r="G318" s="335">
        <v>0</v>
      </c>
      <c r="H318" s="335">
        <v>0</v>
      </c>
      <c r="I318" s="335">
        <v>59</v>
      </c>
      <c r="J318" s="335">
        <v>458</v>
      </c>
      <c r="K318" s="335">
        <v>221</v>
      </c>
      <c r="L318" s="335">
        <v>781</v>
      </c>
      <c r="M318" s="335">
        <v>10</v>
      </c>
      <c r="N318" s="335">
        <v>0</v>
      </c>
      <c r="O318" s="335">
        <v>0</v>
      </c>
      <c r="P318" s="335">
        <v>0</v>
      </c>
      <c r="Q318" s="335">
        <v>0</v>
      </c>
      <c r="R318" s="335">
        <v>15</v>
      </c>
      <c r="S318" s="335">
        <v>118</v>
      </c>
      <c r="T318" s="335">
        <v>47</v>
      </c>
      <c r="U318" s="335">
        <v>190</v>
      </c>
      <c r="V318" s="335">
        <v>185</v>
      </c>
      <c r="W318" s="335">
        <v>143</v>
      </c>
      <c r="X318" s="335">
        <v>138</v>
      </c>
      <c r="Y318" s="381">
        <f t="shared" si="4"/>
        <v>786261</v>
      </c>
      <c r="Z318" s="335">
        <v>0</v>
      </c>
      <c r="AA318" s="335">
        <v>0</v>
      </c>
      <c r="AB318" s="335">
        <v>0</v>
      </c>
      <c r="AF318" s="394"/>
      <c r="AH318" s="366"/>
    </row>
    <row r="319" spans="1:34" ht="14.25">
      <c r="A319" s="366" t="s">
        <v>968</v>
      </c>
      <c r="B319" s="196" t="s">
        <v>159</v>
      </c>
      <c r="C319" s="196" t="s">
        <v>86</v>
      </c>
      <c r="D319" s="335">
        <v>5</v>
      </c>
      <c r="E319" s="335">
        <v>0</v>
      </c>
      <c r="F319" s="335">
        <v>0</v>
      </c>
      <c r="G319" s="335">
        <v>0</v>
      </c>
      <c r="H319" s="335">
        <v>0</v>
      </c>
      <c r="I319" s="335">
        <v>6</v>
      </c>
      <c r="J319" s="335">
        <v>26</v>
      </c>
      <c r="K319" s="335">
        <v>0</v>
      </c>
      <c r="L319" s="335">
        <v>37</v>
      </c>
      <c r="M319" s="335">
        <v>3</v>
      </c>
      <c r="N319" s="335">
        <v>0</v>
      </c>
      <c r="O319" s="335">
        <v>0</v>
      </c>
      <c r="P319" s="335">
        <v>0</v>
      </c>
      <c r="Q319" s="335">
        <v>0</v>
      </c>
      <c r="R319" s="335">
        <v>5</v>
      </c>
      <c r="S319" s="335">
        <v>9</v>
      </c>
      <c r="T319" s="335">
        <v>0</v>
      </c>
      <c r="U319" s="335">
        <v>17</v>
      </c>
      <c r="V319" s="335">
        <v>15.5</v>
      </c>
      <c r="W319" s="335">
        <v>17</v>
      </c>
      <c r="X319" s="335">
        <v>15.5</v>
      </c>
      <c r="Y319" s="381">
        <f t="shared" si="4"/>
        <v>64604</v>
      </c>
      <c r="Z319" s="335">
        <v>0</v>
      </c>
      <c r="AA319" s="335">
        <v>0</v>
      </c>
      <c r="AB319" s="335">
        <v>0</v>
      </c>
      <c r="AF319" s="394"/>
      <c r="AH319" s="366"/>
    </row>
    <row r="320" spans="1:34" ht="28.5">
      <c r="A320" s="366" t="s">
        <v>969</v>
      </c>
      <c r="B320" s="196" t="s">
        <v>538</v>
      </c>
      <c r="C320" s="196" t="s">
        <v>86</v>
      </c>
      <c r="D320" s="335">
        <v>3</v>
      </c>
      <c r="E320" s="335">
        <v>0</v>
      </c>
      <c r="F320" s="335">
        <v>0</v>
      </c>
      <c r="G320" s="335">
        <v>0</v>
      </c>
      <c r="H320" s="335">
        <v>0</v>
      </c>
      <c r="I320" s="335">
        <v>2</v>
      </c>
      <c r="J320" s="335">
        <v>35</v>
      </c>
      <c r="K320" s="335">
        <v>0</v>
      </c>
      <c r="L320" s="335">
        <v>40</v>
      </c>
      <c r="M320" s="335">
        <v>0</v>
      </c>
      <c r="N320" s="335">
        <v>0</v>
      </c>
      <c r="O320" s="335">
        <v>0</v>
      </c>
      <c r="P320" s="335">
        <v>0</v>
      </c>
      <c r="Q320" s="335">
        <v>0</v>
      </c>
      <c r="R320" s="335">
        <v>0</v>
      </c>
      <c r="S320" s="335">
        <v>5</v>
      </c>
      <c r="T320" s="335">
        <v>0</v>
      </c>
      <c r="U320" s="335">
        <v>5</v>
      </c>
      <c r="V320" s="335">
        <v>5</v>
      </c>
      <c r="W320" s="335">
        <v>5</v>
      </c>
      <c r="X320" s="335">
        <v>5</v>
      </c>
      <c r="Y320" s="381">
        <f t="shared" si="4"/>
        <v>20840</v>
      </c>
      <c r="Z320" s="335">
        <v>0</v>
      </c>
      <c r="AA320" s="335">
        <v>0</v>
      </c>
      <c r="AB320" s="335">
        <v>0</v>
      </c>
      <c r="AF320" s="394"/>
      <c r="AH320" s="366"/>
    </row>
    <row r="321" spans="1:34" ht="14.25">
      <c r="A321" s="366" t="s">
        <v>970</v>
      </c>
      <c r="B321" s="196" t="s">
        <v>302</v>
      </c>
      <c r="C321" s="196" t="s">
        <v>86</v>
      </c>
      <c r="D321" s="335">
        <v>21</v>
      </c>
      <c r="E321" s="335">
        <v>0</v>
      </c>
      <c r="F321" s="335">
        <v>0</v>
      </c>
      <c r="G321" s="335">
        <v>0</v>
      </c>
      <c r="H321" s="335">
        <v>0</v>
      </c>
      <c r="I321" s="335">
        <v>11</v>
      </c>
      <c r="J321" s="335">
        <v>115</v>
      </c>
      <c r="K321" s="335">
        <v>0</v>
      </c>
      <c r="L321" s="335">
        <v>147</v>
      </c>
      <c r="M321" s="335">
        <v>5</v>
      </c>
      <c r="N321" s="335">
        <v>0</v>
      </c>
      <c r="O321" s="335">
        <v>0</v>
      </c>
      <c r="P321" s="335">
        <v>0</v>
      </c>
      <c r="Q321" s="335">
        <v>0</v>
      </c>
      <c r="R321" s="335">
        <v>4</v>
      </c>
      <c r="S321" s="335">
        <v>12</v>
      </c>
      <c r="T321" s="335">
        <v>0</v>
      </c>
      <c r="U321" s="335">
        <v>21</v>
      </c>
      <c r="V321" s="335">
        <v>18.5</v>
      </c>
      <c r="W321" s="335">
        <v>21</v>
      </c>
      <c r="X321" s="335">
        <v>18.5</v>
      </c>
      <c r="Y321" s="381">
        <f t="shared" si="4"/>
        <v>77108</v>
      </c>
      <c r="Z321" s="335">
        <v>0</v>
      </c>
      <c r="AA321" s="335">
        <v>0</v>
      </c>
      <c r="AB321" s="335">
        <v>0</v>
      </c>
      <c r="AF321" s="394"/>
      <c r="AH321" s="366"/>
    </row>
    <row r="322" spans="1:34" ht="14.25">
      <c r="A322" s="366" t="s">
        <v>971</v>
      </c>
      <c r="B322" s="196" t="s">
        <v>393</v>
      </c>
      <c r="C322" s="196" t="s">
        <v>86</v>
      </c>
      <c r="D322" s="335">
        <v>16</v>
      </c>
      <c r="E322" s="335">
        <v>0</v>
      </c>
      <c r="F322" s="335">
        <v>0</v>
      </c>
      <c r="G322" s="335">
        <v>0</v>
      </c>
      <c r="H322" s="335">
        <v>0</v>
      </c>
      <c r="I322" s="335">
        <v>15</v>
      </c>
      <c r="J322" s="335">
        <v>110</v>
      </c>
      <c r="K322" s="335">
        <v>0</v>
      </c>
      <c r="L322" s="335">
        <v>141</v>
      </c>
      <c r="M322" s="335">
        <v>4</v>
      </c>
      <c r="N322" s="335">
        <v>0</v>
      </c>
      <c r="O322" s="335">
        <v>0</v>
      </c>
      <c r="P322" s="335">
        <v>0</v>
      </c>
      <c r="Q322" s="335">
        <v>0</v>
      </c>
      <c r="R322" s="335">
        <v>3</v>
      </c>
      <c r="S322" s="335">
        <v>16</v>
      </c>
      <c r="T322" s="335">
        <v>0</v>
      </c>
      <c r="U322" s="335">
        <v>23</v>
      </c>
      <c r="V322" s="335">
        <v>21</v>
      </c>
      <c r="W322" s="335">
        <v>23</v>
      </c>
      <c r="X322" s="335">
        <v>21</v>
      </c>
      <c r="Y322" s="381">
        <f t="shared" si="4"/>
        <v>87528</v>
      </c>
      <c r="Z322" s="335">
        <v>0</v>
      </c>
      <c r="AA322" s="335">
        <v>0</v>
      </c>
      <c r="AB322" s="335">
        <v>0</v>
      </c>
      <c r="AF322" s="394"/>
      <c r="AH322" s="366"/>
    </row>
    <row r="323" spans="1:34" ht="28.5">
      <c r="A323" s="366" t="s">
        <v>972</v>
      </c>
      <c r="B323" s="196" t="s">
        <v>275</v>
      </c>
      <c r="C323" s="196" t="s">
        <v>607</v>
      </c>
      <c r="D323" s="335">
        <v>20</v>
      </c>
      <c r="E323" s="335">
        <v>0</v>
      </c>
      <c r="F323" s="335">
        <v>0</v>
      </c>
      <c r="G323" s="335">
        <v>0</v>
      </c>
      <c r="H323" s="335">
        <v>0</v>
      </c>
      <c r="I323" s="335">
        <v>19</v>
      </c>
      <c r="J323" s="335">
        <v>158</v>
      </c>
      <c r="K323" s="335">
        <v>0</v>
      </c>
      <c r="L323" s="335">
        <v>197</v>
      </c>
      <c r="M323" s="335">
        <v>1</v>
      </c>
      <c r="N323" s="335">
        <v>0</v>
      </c>
      <c r="O323" s="335">
        <v>0</v>
      </c>
      <c r="P323" s="335">
        <v>0</v>
      </c>
      <c r="Q323" s="335">
        <v>0</v>
      </c>
      <c r="R323" s="335">
        <v>6</v>
      </c>
      <c r="S323" s="335">
        <v>32</v>
      </c>
      <c r="T323" s="335">
        <v>0</v>
      </c>
      <c r="U323" s="335">
        <v>39</v>
      </c>
      <c r="V323" s="335">
        <v>38.5</v>
      </c>
      <c r="W323" s="335">
        <v>39</v>
      </c>
      <c r="X323" s="335">
        <v>38.5</v>
      </c>
      <c r="Y323" s="381">
        <f t="shared" si="4"/>
        <v>160468</v>
      </c>
      <c r="Z323" s="335">
        <v>0</v>
      </c>
      <c r="AA323" s="335">
        <v>0</v>
      </c>
      <c r="AB323" s="335">
        <v>0</v>
      </c>
      <c r="AF323" s="394"/>
      <c r="AH323" s="366"/>
    </row>
    <row r="324" spans="1:34" ht="14.25">
      <c r="A324" s="366" t="s">
        <v>973</v>
      </c>
      <c r="B324" s="196" t="s">
        <v>275</v>
      </c>
      <c r="C324" s="196" t="s">
        <v>86</v>
      </c>
      <c r="D324" s="335">
        <v>20</v>
      </c>
      <c r="E324" s="335">
        <v>0</v>
      </c>
      <c r="F324" s="335">
        <v>0</v>
      </c>
      <c r="G324" s="335">
        <v>0</v>
      </c>
      <c r="H324" s="335">
        <v>0</v>
      </c>
      <c r="I324" s="335">
        <v>19</v>
      </c>
      <c r="J324" s="335">
        <v>158</v>
      </c>
      <c r="K324" s="335">
        <v>0</v>
      </c>
      <c r="L324" s="335">
        <v>197</v>
      </c>
      <c r="M324" s="335">
        <v>3</v>
      </c>
      <c r="N324" s="335">
        <v>0</v>
      </c>
      <c r="O324" s="335">
        <v>0</v>
      </c>
      <c r="P324" s="335">
        <v>0</v>
      </c>
      <c r="Q324" s="335">
        <v>0</v>
      </c>
      <c r="R324" s="335">
        <v>4</v>
      </c>
      <c r="S324" s="335">
        <v>16</v>
      </c>
      <c r="T324" s="335">
        <v>0</v>
      </c>
      <c r="U324" s="335">
        <v>23</v>
      </c>
      <c r="V324" s="335">
        <v>21.5</v>
      </c>
      <c r="W324" s="335">
        <v>23</v>
      </c>
      <c r="X324" s="335">
        <v>21.5</v>
      </c>
      <c r="Y324" s="381">
        <f t="shared" si="4"/>
        <v>89612</v>
      </c>
      <c r="Z324" s="335">
        <v>0</v>
      </c>
      <c r="AA324" s="335">
        <v>0</v>
      </c>
      <c r="AB324" s="335">
        <v>0</v>
      </c>
      <c r="AF324" s="394"/>
      <c r="AH324" s="366"/>
    </row>
    <row r="325" spans="1:34" ht="14.25">
      <c r="A325" s="366" t="s">
        <v>974</v>
      </c>
      <c r="B325" s="196" t="s">
        <v>303</v>
      </c>
      <c r="C325" s="196" t="s">
        <v>86</v>
      </c>
      <c r="D325" s="335">
        <v>0</v>
      </c>
      <c r="E325" s="335">
        <v>0</v>
      </c>
      <c r="F325" s="335">
        <v>0</v>
      </c>
      <c r="G325" s="335">
        <v>0</v>
      </c>
      <c r="H325" s="335">
        <v>0</v>
      </c>
      <c r="I325" s="335">
        <v>13</v>
      </c>
      <c r="J325" s="335">
        <v>141</v>
      </c>
      <c r="K325" s="335">
        <v>0</v>
      </c>
      <c r="L325" s="335">
        <v>154</v>
      </c>
      <c r="M325" s="335">
        <v>0</v>
      </c>
      <c r="N325" s="335">
        <v>0</v>
      </c>
      <c r="O325" s="335">
        <v>0</v>
      </c>
      <c r="P325" s="335">
        <v>0</v>
      </c>
      <c r="Q325" s="335">
        <v>0</v>
      </c>
      <c r="R325" s="335">
        <v>4</v>
      </c>
      <c r="S325" s="335">
        <v>30</v>
      </c>
      <c r="T325" s="335">
        <v>0</v>
      </c>
      <c r="U325" s="335">
        <v>34</v>
      </c>
      <c r="V325" s="335">
        <v>34</v>
      </c>
      <c r="W325" s="335">
        <v>34</v>
      </c>
      <c r="X325" s="335">
        <v>34</v>
      </c>
      <c r="Y325" s="381">
        <f aca="true" t="shared" si="5" ref="Y325:Y388">((T325*CY_9_12_Pmt)+(X325*CY_K_8_Pmt))/2</f>
        <v>141712</v>
      </c>
      <c r="Z325" s="335">
        <v>0</v>
      </c>
      <c r="AA325" s="335">
        <v>0</v>
      </c>
      <c r="AB325" s="335">
        <v>0</v>
      </c>
      <c r="AF325" s="394"/>
      <c r="AH325" s="366"/>
    </row>
    <row r="326" spans="1:34" ht="14.25">
      <c r="A326" s="366" t="s">
        <v>975</v>
      </c>
      <c r="B326" s="196" t="s">
        <v>394</v>
      </c>
      <c r="C326" s="196" t="s">
        <v>86</v>
      </c>
      <c r="D326" s="335">
        <v>10</v>
      </c>
      <c r="E326" s="335">
        <v>0</v>
      </c>
      <c r="F326" s="335">
        <v>0</v>
      </c>
      <c r="G326" s="335">
        <v>0</v>
      </c>
      <c r="H326" s="335">
        <v>0</v>
      </c>
      <c r="I326" s="335">
        <v>6</v>
      </c>
      <c r="J326" s="335">
        <v>49</v>
      </c>
      <c r="K326" s="335">
        <v>0</v>
      </c>
      <c r="L326" s="335">
        <v>65</v>
      </c>
      <c r="M326" s="335">
        <v>3</v>
      </c>
      <c r="N326" s="335">
        <v>0</v>
      </c>
      <c r="O326" s="335">
        <v>0</v>
      </c>
      <c r="P326" s="335">
        <v>0</v>
      </c>
      <c r="Q326" s="335">
        <v>0</v>
      </c>
      <c r="R326" s="335">
        <v>0</v>
      </c>
      <c r="S326" s="335">
        <v>5</v>
      </c>
      <c r="T326" s="335">
        <v>0</v>
      </c>
      <c r="U326" s="335">
        <v>8</v>
      </c>
      <c r="V326" s="335">
        <v>6.5</v>
      </c>
      <c r="W326" s="335">
        <v>8</v>
      </c>
      <c r="X326" s="335">
        <v>6.5</v>
      </c>
      <c r="Y326" s="381">
        <f t="shared" si="5"/>
        <v>27092</v>
      </c>
      <c r="Z326" s="335">
        <v>0</v>
      </c>
      <c r="AA326" s="335">
        <v>0</v>
      </c>
      <c r="AB326" s="335">
        <v>0</v>
      </c>
      <c r="AF326" s="394"/>
      <c r="AH326" s="366"/>
    </row>
    <row r="327" spans="1:34" ht="14.25">
      <c r="A327" s="366" t="s">
        <v>976</v>
      </c>
      <c r="B327" s="196" t="s">
        <v>276</v>
      </c>
      <c r="C327" s="196" t="s">
        <v>86</v>
      </c>
      <c r="D327" s="335">
        <v>10</v>
      </c>
      <c r="E327" s="335">
        <v>0</v>
      </c>
      <c r="F327" s="335">
        <v>1</v>
      </c>
      <c r="G327" s="335">
        <v>0</v>
      </c>
      <c r="H327" s="335">
        <v>0</v>
      </c>
      <c r="I327" s="335">
        <v>10</v>
      </c>
      <c r="J327" s="335">
        <v>110</v>
      </c>
      <c r="K327" s="335">
        <v>0</v>
      </c>
      <c r="L327" s="335">
        <v>131</v>
      </c>
      <c r="M327" s="335">
        <v>0</v>
      </c>
      <c r="N327" s="335">
        <v>0</v>
      </c>
      <c r="O327" s="335">
        <v>1</v>
      </c>
      <c r="P327" s="335">
        <v>0</v>
      </c>
      <c r="Q327" s="335">
        <v>0</v>
      </c>
      <c r="R327" s="335">
        <v>1</v>
      </c>
      <c r="S327" s="335">
        <v>15</v>
      </c>
      <c r="T327" s="335">
        <v>0</v>
      </c>
      <c r="U327" s="335">
        <v>17</v>
      </c>
      <c r="V327" s="335">
        <v>16.5</v>
      </c>
      <c r="W327" s="335">
        <v>17</v>
      </c>
      <c r="X327" s="335">
        <v>16.5</v>
      </c>
      <c r="Y327" s="381">
        <f t="shared" si="5"/>
        <v>68772</v>
      </c>
      <c r="Z327" s="335">
        <v>0</v>
      </c>
      <c r="AA327" s="335">
        <v>0</v>
      </c>
      <c r="AB327" s="335">
        <v>0</v>
      </c>
      <c r="AF327" s="394"/>
      <c r="AH327" s="366"/>
    </row>
    <row r="328" spans="1:34" ht="28.5">
      <c r="A328" s="366" t="s">
        <v>977</v>
      </c>
      <c r="B328" s="196" t="s">
        <v>181</v>
      </c>
      <c r="C328" s="196" t="s">
        <v>607</v>
      </c>
      <c r="D328" s="335">
        <v>14</v>
      </c>
      <c r="E328" s="335">
        <v>0</v>
      </c>
      <c r="F328" s="335">
        <v>0</v>
      </c>
      <c r="G328" s="335">
        <v>0</v>
      </c>
      <c r="H328" s="335">
        <v>0</v>
      </c>
      <c r="I328" s="335">
        <v>15</v>
      </c>
      <c r="J328" s="335">
        <v>126</v>
      </c>
      <c r="K328" s="335">
        <v>0</v>
      </c>
      <c r="L328" s="335">
        <v>155</v>
      </c>
      <c r="M328" s="335">
        <v>9</v>
      </c>
      <c r="N328" s="335">
        <v>0</v>
      </c>
      <c r="O328" s="335">
        <v>0</v>
      </c>
      <c r="P328" s="335">
        <v>0</v>
      </c>
      <c r="Q328" s="335">
        <v>0</v>
      </c>
      <c r="R328" s="335">
        <v>8</v>
      </c>
      <c r="S328" s="335">
        <v>78</v>
      </c>
      <c r="T328" s="335">
        <v>0</v>
      </c>
      <c r="U328" s="335">
        <v>95</v>
      </c>
      <c r="V328" s="335">
        <v>90.5</v>
      </c>
      <c r="W328" s="335">
        <v>95</v>
      </c>
      <c r="X328" s="335">
        <v>90.5</v>
      </c>
      <c r="Y328" s="381">
        <f t="shared" si="5"/>
        <v>377204</v>
      </c>
      <c r="Z328" s="335">
        <v>0</v>
      </c>
      <c r="AA328" s="335">
        <v>0</v>
      </c>
      <c r="AB328" s="335">
        <v>0</v>
      </c>
      <c r="AF328" s="394"/>
      <c r="AH328" s="366"/>
    </row>
    <row r="329" spans="1:34" ht="14.25">
      <c r="A329" s="366" t="s">
        <v>978</v>
      </c>
      <c r="B329" s="196" t="s">
        <v>181</v>
      </c>
      <c r="C329" s="196" t="s">
        <v>86</v>
      </c>
      <c r="D329" s="335">
        <v>14</v>
      </c>
      <c r="E329" s="335">
        <v>0</v>
      </c>
      <c r="F329" s="335">
        <v>0</v>
      </c>
      <c r="G329" s="335">
        <v>0</v>
      </c>
      <c r="H329" s="335">
        <v>0</v>
      </c>
      <c r="I329" s="335">
        <v>15</v>
      </c>
      <c r="J329" s="335">
        <v>126</v>
      </c>
      <c r="K329" s="335">
        <v>0</v>
      </c>
      <c r="L329" s="335">
        <v>155</v>
      </c>
      <c r="M329" s="335">
        <v>2</v>
      </c>
      <c r="N329" s="335">
        <v>0</v>
      </c>
      <c r="O329" s="335">
        <v>0</v>
      </c>
      <c r="P329" s="335">
        <v>0</v>
      </c>
      <c r="Q329" s="335">
        <v>0</v>
      </c>
      <c r="R329" s="335">
        <v>3</v>
      </c>
      <c r="S329" s="335">
        <v>15</v>
      </c>
      <c r="T329" s="335">
        <v>0</v>
      </c>
      <c r="U329" s="335">
        <v>20</v>
      </c>
      <c r="V329" s="335">
        <v>19</v>
      </c>
      <c r="W329" s="335">
        <v>20</v>
      </c>
      <c r="X329" s="335">
        <v>19</v>
      </c>
      <c r="Y329" s="381">
        <f t="shared" si="5"/>
        <v>79192</v>
      </c>
      <c r="Z329" s="335">
        <v>0</v>
      </c>
      <c r="AA329" s="335">
        <v>0</v>
      </c>
      <c r="AB329" s="335">
        <v>0</v>
      </c>
      <c r="AF329" s="394"/>
      <c r="AH329" s="366"/>
    </row>
    <row r="330" spans="1:34" ht="14.25">
      <c r="A330" s="366" t="s">
        <v>979</v>
      </c>
      <c r="B330" s="196" t="s">
        <v>539</v>
      </c>
      <c r="C330" s="196" t="s">
        <v>86</v>
      </c>
      <c r="D330" s="335">
        <v>10</v>
      </c>
      <c r="E330" s="335">
        <v>0</v>
      </c>
      <c r="F330" s="335">
        <v>0</v>
      </c>
      <c r="G330" s="335">
        <v>0</v>
      </c>
      <c r="H330" s="335">
        <v>0</v>
      </c>
      <c r="I330" s="335">
        <v>10</v>
      </c>
      <c r="J330" s="335">
        <v>60</v>
      </c>
      <c r="K330" s="335">
        <v>0</v>
      </c>
      <c r="L330" s="335">
        <v>80</v>
      </c>
      <c r="M330" s="335">
        <v>6</v>
      </c>
      <c r="N330" s="335">
        <v>0</v>
      </c>
      <c r="O330" s="335">
        <v>0</v>
      </c>
      <c r="P330" s="335">
        <v>0</v>
      </c>
      <c r="Q330" s="335">
        <v>0</v>
      </c>
      <c r="R330" s="335">
        <v>3</v>
      </c>
      <c r="S330" s="335">
        <v>28</v>
      </c>
      <c r="T330" s="335">
        <v>0</v>
      </c>
      <c r="U330" s="335">
        <v>37</v>
      </c>
      <c r="V330" s="335">
        <v>34</v>
      </c>
      <c r="W330" s="335">
        <v>37</v>
      </c>
      <c r="X330" s="335">
        <v>34</v>
      </c>
      <c r="Y330" s="381">
        <f t="shared" si="5"/>
        <v>141712</v>
      </c>
      <c r="Z330" s="335">
        <v>0</v>
      </c>
      <c r="AA330" s="335">
        <v>0</v>
      </c>
      <c r="AB330" s="335">
        <v>0</v>
      </c>
      <c r="AF330" s="394"/>
      <c r="AH330" s="366"/>
    </row>
    <row r="331" spans="1:34" ht="28.5">
      <c r="A331" s="366" t="s">
        <v>980</v>
      </c>
      <c r="B331" s="196" t="s">
        <v>133</v>
      </c>
      <c r="C331" s="196" t="s">
        <v>607</v>
      </c>
      <c r="D331" s="335">
        <v>0</v>
      </c>
      <c r="E331" s="335">
        <v>133</v>
      </c>
      <c r="F331" s="335">
        <v>0</v>
      </c>
      <c r="G331" s="335">
        <v>0</v>
      </c>
      <c r="H331" s="335">
        <v>0</v>
      </c>
      <c r="I331" s="335">
        <v>121</v>
      </c>
      <c r="J331" s="335">
        <v>726</v>
      </c>
      <c r="K331" s="335">
        <v>0</v>
      </c>
      <c r="L331" s="335">
        <v>980</v>
      </c>
      <c r="M331" s="335">
        <v>0</v>
      </c>
      <c r="N331" s="335">
        <v>117</v>
      </c>
      <c r="O331" s="335">
        <v>0</v>
      </c>
      <c r="P331" s="335">
        <v>0</v>
      </c>
      <c r="Q331" s="335">
        <v>0</v>
      </c>
      <c r="R331" s="335">
        <v>107</v>
      </c>
      <c r="S331" s="335">
        <v>632</v>
      </c>
      <c r="T331" s="335">
        <v>0</v>
      </c>
      <c r="U331" s="335">
        <v>856</v>
      </c>
      <c r="V331" s="335">
        <v>809.2</v>
      </c>
      <c r="W331" s="335">
        <v>856</v>
      </c>
      <c r="X331" s="335">
        <v>809.2</v>
      </c>
      <c r="Y331" s="381">
        <f t="shared" si="5"/>
        <v>3372745.6</v>
      </c>
      <c r="Z331" s="335">
        <v>18</v>
      </c>
      <c r="AA331" s="335">
        <v>0</v>
      </c>
      <c r="AB331" s="335">
        <v>0</v>
      </c>
      <c r="AF331" s="394"/>
      <c r="AH331" s="366"/>
    </row>
    <row r="332" spans="1:34" ht="28.5">
      <c r="A332" s="366" t="s">
        <v>981</v>
      </c>
      <c r="B332" s="196" t="s">
        <v>223</v>
      </c>
      <c r="C332" s="196" t="s">
        <v>607</v>
      </c>
      <c r="D332" s="335">
        <v>0</v>
      </c>
      <c r="E332" s="335">
        <v>6</v>
      </c>
      <c r="F332" s="335">
        <v>0</v>
      </c>
      <c r="G332" s="335">
        <v>0</v>
      </c>
      <c r="H332" s="335">
        <v>0</v>
      </c>
      <c r="I332" s="335">
        <v>12</v>
      </c>
      <c r="J332" s="335">
        <v>118</v>
      </c>
      <c r="K332" s="335">
        <v>0</v>
      </c>
      <c r="L332" s="335">
        <v>136</v>
      </c>
      <c r="M332" s="335">
        <v>0</v>
      </c>
      <c r="N332" s="335">
        <v>5</v>
      </c>
      <c r="O332" s="335">
        <v>0</v>
      </c>
      <c r="P332" s="335">
        <v>0</v>
      </c>
      <c r="Q332" s="335">
        <v>0</v>
      </c>
      <c r="R332" s="335">
        <v>12</v>
      </c>
      <c r="S332" s="335">
        <v>116</v>
      </c>
      <c r="T332" s="335">
        <v>0</v>
      </c>
      <c r="U332" s="335">
        <v>133</v>
      </c>
      <c r="V332" s="335">
        <v>131</v>
      </c>
      <c r="W332" s="335">
        <v>133</v>
      </c>
      <c r="X332" s="335">
        <v>131</v>
      </c>
      <c r="Y332" s="381">
        <f t="shared" si="5"/>
        <v>546008</v>
      </c>
      <c r="Z332" s="335">
        <v>0</v>
      </c>
      <c r="AA332" s="335">
        <v>0</v>
      </c>
      <c r="AB332" s="335">
        <v>0</v>
      </c>
      <c r="AF332" s="394"/>
      <c r="AH332" s="366"/>
    </row>
    <row r="333" spans="1:34" ht="28.5">
      <c r="A333" s="366" t="s">
        <v>982</v>
      </c>
      <c r="B333" s="196" t="s">
        <v>630</v>
      </c>
      <c r="C333" s="196" t="s">
        <v>86</v>
      </c>
      <c r="D333" s="335">
        <v>7</v>
      </c>
      <c r="E333" s="335">
        <v>0</v>
      </c>
      <c r="F333" s="335">
        <v>18</v>
      </c>
      <c r="G333" s="335">
        <v>0</v>
      </c>
      <c r="H333" s="335">
        <v>0</v>
      </c>
      <c r="I333" s="335">
        <v>0</v>
      </c>
      <c r="J333" s="335">
        <v>83</v>
      </c>
      <c r="K333" s="335">
        <v>0</v>
      </c>
      <c r="L333" s="335">
        <v>108</v>
      </c>
      <c r="M333" s="335">
        <v>1</v>
      </c>
      <c r="N333" s="335">
        <v>0</v>
      </c>
      <c r="O333" s="335">
        <v>1</v>
      </c>
      <c r="P333" s="335">
        <v>0</v>
      </c>
      <c r="Q333" s="335">
        <v>0</v>
      </c>
      <c r="R333" s="335">
        <v>0</v>
      </c>
      <c r="S333" s="335">
        <v>15</v>
      </c>
      <c r="T333" s="335">
        <v>0</v>
      </c>
      <c r="U333" s="335">
        <v>17</v>
      </c>
      <c r="V333" s="335">
        <v>16</v>
      </c>
      <c r="W333" s="335">
        <v>17</v>
      </c>
      <c r="X333" s="335">
        <v>16</v>
      </c>
      <c r="Y333" s="381">
        <f t="shared" si="5"/>
        <v>66688</v>
      </c>
      <c r="Z333" s="335">
        <v>0</v>
      </c>
      <c r="AA333" s="335">
        <v>0</v>
      </c>
      <c r="AB333" s="335">
        <v>0</v>
      </c>
      <c r="AF333" s="394"/>
      <c r="AH333" s="366"/>
    </row>
    <row r="334" spans="1:34" ht="28.5">
      <c r="A334" s="366" t="s">
        <v>983</v>
      </c>
      <c r="B334" s="196" t="s">
        <v>585</v>
      </c>
      <c r="C334" s="196" t="s">
        <v>86</v>
      </c>
      <c r="D334" s="335">
        <v>0</v>
      </c>
      <c r="E334" s="335">
        <v>0</v>
      </c>
      <c r="F334" s="335">
        <v>0</v>
      </c>
      <c r="G334" s="335">
        <v>0</v>
      </c>
      <c r="H334" s="335">
        <v>0</v>
      </c>
      <c r="I334" s="335">
        <v>20</v>
      </c>
      <c r="J334" s="335">
        <v>173</v>
      </c>
      <c r="K334" s="335">
        <v>0</v>
      </c>
      <c r="L334" s="335">
        <v>193</v>
      </c>
      <c r="M334" s="335">
        <v>0</v>
      </c>
      <c r="N334" s="335">
        <v>0</v>
      </c>
      <c r="O334" s="335">
        <v>0</v>
      </c>
      <c r="P334" s="335">
        <v>0</v>
      </c>
      <c r="Q334" s="335">
        <v>0</v>
      </c>
      <c r="R334" s="335">
        <v>5</v>
      </c>
      <c r="S334" s="335">
        <v>42</v>
      </c>
      <c r="T334" s="335">
        <v>0</v>
      </c>
      <c r="U334" s="335">
        <v>47</v>
      </c>
      <c r="V334" s="335">
        <v>47</v>
      </c>
      <c r="W334" s="335">
        <v>47</v>
      </c>
      <c r="X334" s="335">
        <v>47</v>
      </c>
      <c r="Y334" s="381">
        <f t="shared" si="5"/>
        <v>195896</v>
      </c>
      <c r="Z334" s="335">
        <v>0</v>
      </c>
      <c r="AA334" s="335">
        <v>0</v>
      </c>
      <c r="AB334" s="335">
        <v>0</v>
      </c>
      <c r="AF334" s="394"/>
      <c r="AH334" s="366"/>
    </row>
    <row r="335" spans="1:34" ht="28.5">
      <c r="A335" s="366" t="s">
        <v>984</v>
      </c>
      <c r="B335" s="196" t="s">
        <v>447</v>
      </c>
      <c r="C335" s="196" t="s">
        <v>86</v>
      </c>
      <c r="D335" s="335">
        <v>0</v>
      </c>
      <c r="E335" s="335">
        <v>0</v>
      </c>
      <c r="F335" s="335">
        <v>0</v>
      </c>
      <c r="G335" s="335">
        <v>0</v>
      </c>
      <c r="H335" s="335">
        <v>0</v>
      </c>
      <c r="I335" s="335">
        <v>20</v>
      </c>
      <c r="J335" s="335">
        <v>152</v>
      </c>
      <c r="K335" s="335">
        <v>0</v>
      </c>
      <c r="L335" s="335">
        <v>172</v>
      </c>
      <c r="M335" s="335">
        <v>0</v>
      </c>
      <c r="N335" s="335">
        <v>0</v>
      </c>
      <c r="O335" s="335">
        <v>0</v>
      </c>
      <c r="P335" s="335">
        <v>0</v>
      </c>
      <c r="Q335" s="335">
        <v>0</v>
      </c>
      <c r="R335" s="335">
        <v>5</v>
      </c>
      <c r="S335" s="335">
        <v>39</v>
      </c>
      <c r="T335" s="335">
        <v>0</v>
      </c>
      <c r="U335" s="335">
        <v>44</v>
      </c>
      <c r="V335" s="335">
        <v>44</v>
      </c>
      <c r="W335" s="335">
        <v>44</v>
      </c>
      <c r="X335" s="335">
        <v>44</v>
      </c>
      <c r="Y335" s="381">
        <f t="shared" si="5"/>
        <v>183392</v>
      </c>
      <c r="Z335" s="335">
        <v>0</v>
      </c>
      <c r="AA335" s="335">
        <v>0</v>
      </c>
      <c r="AB335" s="335">
        <v>0</v>
      </c>
      <c r="AF335" s="394"/>
      <c r="AH335" s="366"/>
    </row>
    <row r="336" spans="1:34" ht="28.5">
      <c r="A336" s="366" t="s">
        <v>985</v>
      </c>
      <c r="B336" s="196" t="s">
        <v>224</v>
      </c>
      <c r="C336" s="196" t="s">
        <v>607</v>
      </c>
      <c r="D336" s="335">
        <v>0</v>
      </c>
      <c r="E336" s="335">
        <v>12</v>
      </c>
      <c r="F336" s="335">
        <v>0</v>
      </c>
      <c r="G336" s="335">
        <v>0</v>
      </c>
      <c r="H336" s="335">
        <v>0</v>
      </c>
      <c r="I336" s="335">
        <v>14</v>
      </c>
      <c r="J336" s="335">
        <v>148</v>
      </c>
      <c r="K336" s="335">
        <v>0</v>
      </c>
      <c r="L336" s="335">
        <v>174</v>
      </c>
      <c r="M336" s="335">
        <v>0</v>
      </c>
      <c r="N336" s="335">
        <v>11</v>
      </c>
      <c r="O336" s="335">
        <v>0</v>
      </c>
      <c r="P336" s="335">
        <v>0</v>
      </c>
      <c r="Q336" s="335">
        <v>0</v>
      </c>
      <c r="R336" s="335">
        <v>14</v>
      </c>
      <c r="S336" s="335">
        <v>127</v>
      </c>
      <c r="T336" s="335">
        <v>0</v>
      </c>
      <c r="U336" s="335">
        <v>152</v>
      </c>
      <c r="V336" s="335">
        <v>147.6</v>
      </c>
      <c r="W336" s="335">
        <v>152</v>
      </c>
      <c r="X336" s="335">
        <v>147.6</v>
      </c>
      <c r="Y336" s="381">
        <f t="shared" si="5"/>
        <v>615196.7999999999</v>
      </c>
      <c r="Z336" s="335">
        <v>0</v>
      </c>
      <c r="AA336" s="335">
        <v>0</v>
      </c>
      <c r="AB336" s="335">
        <v>0</v>
      </c>
      <c r="AF336" s="394"/>
      <c r="AH336" s="366"/>
    </row>
    <row r="337" spans="1:34" ht="14.25">
      <c r="A337" s="366" t="s">
        <v>986</v>
      </c>
      <c r="B337" s="196" t="s">
        <v>224</v>
      </c>
      <c r="C337" s="196" t="s">
        <v>86</v>
      </c>
      <c r="D337" s="335">
        <v>0</v>
      </c>
      <c r="E337" s="335">
        <v>12</v>
      </c>
      <c r="F337" s="335">
        <v>0</v>
      </c>
      <c r="G337" s="335">
        <v>0</v>
      </c>
      <c r="H337" s="335">
        <v>0</v>
      </c>
      <c r="I337" s="335">
        <v>14</v>
      </c>
      <c r="J337" s="335">
        <v>148</v>
      </c>
      <c r="K337" s="335">
        <v>0</v>
      </c>
      <c r="L337" s="335">
        <v>174</v>
      </c>
      <c r="M337" s="335">
        <v>0</v>
      </c>
      <c r="N337" s="335">
        <v>1</v>
      </c>
      <c r="O337" s="335">
        <v>0</v>
      </c>
      <c r="P337" s="335">
        <v>0</v>
      </c>
      <c r="Q337" s="335">
        <v>0</v>
      </c>
      <c r="R337" s="335">
        <v>0</v>
      </c>
      <c r="S337" s="335">
        <v>11</v>
      </c>
      <c r="T337" s="335">
        <v>0</v>
      </c>
      <c r="U337" s="335">
        <v>12</v>
      </c>
      <c r="V337" s="335">
        <v>11.6</v>
      </c>
      <c r="W337" s="335">
        <v>12</v>
      </c>
      <c r="X337" s="335">
        <v>11.6</v>
      </c>
      <c r="Y337" s="381">
        <f t="shared" si="5"/>
        <v>48348.799999999996</v>
      </c>
      <c r="Z337" s="335">
        <v>0</v>
      </c>
      <c r="AA337" s="335">
        <v>0</v>
      </c>
      <c r="AB337" s="335">
        <v>0</v>
      </c>
      <c r="AF337" s="394"/>
      <c r="AH337" s="366"/>
    </row>
    <row r="338" spans="1:34" ht="14.25">
      <c r="A338" s="366" t="s">
        <v>987</v>
      </c>
      <c r="B338" s="196" t="s">
        <v>489</v>
      </c>
      <c r="C338" s="196" t="s">
        <v>86</v>
      </c>
      <c r="D338" s="335">
        <v>0</v>
      </c>
      <c r="E338" s="335">
        <v>0</v>
      </c>
      <c r="F338" s="335">
        <v>0</v>
      </c>
      <c r="G338" s="335">
        <v>0</v>
      </c>
      <c r="H338" s="335">
        <v>0</v>
      </c>
      <c r="I338" s="335">
        <v>3</v>
      </c>
      <c r="J338" s="335">
        <v>22</v>
      </c>
      <c r="K338" s="335">
        <v>0</v>
      </c>
      <c r="L338" s="335">
        <v>25</v>
      </c>
      <c r="M338" s="335">
        <v>0</v>
      </c>
      <c r="N338" s="335">
        <v>0</v>
      </c>
      <c r="O338" s="335">
        <v>0</v>
      </c>
      <c r="P338" s="335">
        <v>0</v>
      </c>
      <c r="Q338" s="335">
        <v>0</v>
      </c>
      <c r="R338" s="335">
        <v>1</v>
      </c>
      <c r="S338" s="335">
        <v>12</v>
      </c>
      <c r="T338" s="335">
        <v>0</v>
      </c>
      <c r="U338" s="335">
        <v>13</v>
      </c>
      <c r="V338" s="335">
        <v>13</v>
      </c>
      <c r="W338" s="335">
        <v>13</v>
      </c>
      <c r="X338" s="335">
        <v>13</v>
      </c>
      <c r="Y338" s="381">
        <f t="shared" si="5"/>
        <v>54184</v>
      </c>
      <c r="Z338" s="335">
        <v>0</v>
      </c>
      <c r="AA338" s="335">
        <v>0</v>
      </c>
      <c r="AB338" s="335">
        <v>0</v>
      </c>
      <c r="AF338" s="394"/>
      <c r="AH338" s="366"/>
    </row>
    <row r="339" spans="1:34" ht="14.25">
      <c r="A339" s="366" t="s">
        <v>988</v>
      </c>
      <c r="B339" s="196" t="s">
        <v>322</v>
      </c>
      <c r="C339" s="196" t="s">
        <v>86</v>
      </c>
      <c r="D339" s="335">
        <v>78</v>
      </c>
      <c r="E339" s="335">
        <v>0</v>
      </c>
      <c r="F339" s="335">
        <v>1</v>
      </c>
      <c r="G339" s="335">
        <v>0</v>
      </c>
      <c r="H339" s="335">
        <v>0</v>
      </c>
      <c r="I339" s="335">
        <v>67</v>
      </c>
      <c r="J339" s="335">
        <v>509</v>
      </c>
      <c r="K339" s="335">
        <v>245</v>
      </c>
      <c r="L339" s="335">
        <v>900</v>
      </c>
      <c r="M339" s="335">
        <v>15</v>
      </c>
      <c r="N339" s="335">
        <v>0</v>
      </c>
      <c r="O339" s="335">
        <v>0</v>
      </c>
      <c r="P339" s="335">
        <v>0</v>
      </c>
      <c r="Q339" s="335">
        <v>0</v>
      </c>
      <c r="R339" s="335">
        <v>15</v>
      </c>
      <c r="S339" s="335">
        <v>113</v>
      </c>
      <c r="T339" s="335">
        <v>57</v>
      </c>
      <c r="U339" s="335">
        <v>200</v>
      </c>
      <c r="V339" s="335">
        <v>192.5</v>
      </c>
      <c r="W339" s="335">
        <v>143</v>
      </c>
      <c r="X339" s="335">
        <v>135.5</v>
      </c>
      <c r="Y339" s="381">
        <f t="shared" si="5"/>
        <v>820751</v>
      </c>
      <c r="Z339" s="335">
        <v>0</v>
      </c>
      <c r="AA339" s="335">
        <v>0</v>
      </c>
      <c r="AB339" s="335">
        <v>0</v>
      </c>
      <c r="AF339" s="394"/>
      <c r="AH339" s="366"/>
    </row>
    <row r="340" spans="1:34" ht="14.25">
      <c r="A340" s="366" t="s">
        <v>989</v>
      </c>
      <c r="B340" s="196" t="s">
        <v>305</v>
      </c>
      <c r="C340" s="196" t="s">
        <v>86</v>
      </c>
      <c r="D340" s="335">
        <v>6</v>
      </c>
      <c r="E340" s="335">
        <v>0</v>
      </c>
      <c r="F340" s="335">
        <v>0</v>
      </c>
      <c r="G340" s="335">
        <v>0</v>
      </c>
      <c r="H340" s="335">
        <v>0</v>
      </c>
      <c r="I340" s="335">
        <v>7</v>
      </c>
      <c r="J340" s="335">
        <v>44</v>
      </c>
      <c r="K340" s="335">
        <v>0</v>
      </c>
      <c r="L340" s="335">
        <v>57</v>
      </c>
      <c r="M340" s="335">
        <v>1</v>
      </c>
      <c r="N340" s="335">
        <v>0</v>
      </c>
      <c r="O340" s="335">
        <v>0</v>
      </c>
      <c r="P340" s="335">
        <v>0</v>
      </c>
      <c r="Q340" s="335">
        <v>0</v>
      </c>
      <c r="R340" s="335">
        <v>2</v>
      </c>
      <c r="S340" s="335">
        <v>14</v>
      </c>
      <c r="T340" s="335">
        <v>0</v>
      </c>
      <c r="U340" s="335">
        <v>17</v>
      </c>
      <c r="V340" s="335">
        <v>16.5</v>
      </c>
      <c r="W340" s="335">
        <v>17</v>
      </c>
      <c r="X340" s="335">
        <v>16.5</v>
      </c>
      <c r="Y340" s="381">
        <f t="shared" si="5"/>
        <v>68772</v>
      </c>
      <c r="Z340" s="335">
        <v>0</v>
      </c>
      <c r="AA340" s="335">
        <v>0</v>
      </c>
      <c r="AB340" s="335">
        <v>0</v>
      </c>
      <c r="AF340" s="394"/>
      <c r="AH340" s="366"/>
    </row>
    <row r="341" spans="1:34" ht="14.25">
      <c r="A341" s="366" t="s">
        <v>990</v>
      </c>
      <c r="B341" s="196" t="s">
        <v>395</v>
      </c>
      <c r="C341" s="196" t="s">
        <v>86</v>
      </c>
      <c r="D341" s="335">
        <v>2</v>
      </c>
      <c r="E341" s="335">
        <v>0</v>
      </c>
      <c r="F341" s="335">
        <v>0</v>
      </c>
      <c r="G341" s="335">
        <v>0</v>
      </c>
      <c r="H341" s="335">
        <v>0</v>
      </c>
      <c r="I341" s="335">
        <v>1</v>
      </c>
      <c r="J341" s="335">
        <v>11</v>
      </c>
      <c r="K341" s="335">
        <v>0</v>
      </c>
      <c r="L341" s="335">
        <v>14</v>
      </c>
      <c r="M341" s="335">
        <v>0</v>
      </c>
      <c r="N341" s="335">
        <v>0</v>
      </c>
      <c r="O341" s="335">
        <v>0</v>
      </c>
      <c r="P341" s="335">
        <v>0</v>
      </c>
      <c r="Q341" s="335">
        <v>0</v>
      </c>
      <c r="R341" s="335">
        <v>0</v>
      </c>
      <c r="S341" s="335">
        <v>2</v>
      </c>
      <c r="T341" s="335">
        <v>0</v>
      </c>
      <c r="U341" s="335">
        <v>2</v>
      </c>
      <c r="V341" s="335">
        <v>2</v>
      </c>
      <c r="W341" s="335">
        <v>2</v>
      </c>
      <c r="X341" s="335">
        <v>2</v>
      </c>
      <c r="Y341" s="381">
        <f t="shared" si="5"/>
        <v>8336</v>
      </c>
      <c r="Z341" s="335">
        <v>0</v>
      </c>
      <c r="AA341" s="335">
        <v>0</v>
      </c>
      <c r="AB341" s="335">
        <v>0</v>
      </c>
      <c r="AF341" s="394"/>
      <c r="AH341" s="366"/>
    </row>
    <row r="342" spans="1:34" ht="14.25">
      <c r="A342" s="366" t="s">
        <v>991</v>
      </c>
      <c r="B342" s="196" t="s">
        <v>396</v>
      </c>
      <c r="C342" s="196" t="s">
        <v>86</v>
      </c>
      <c r="D342" s="335">
        <v>8</v>
      </c>
      <c r="E342" s="335">
        <v>0</v>
      </c>
      <c r="F342" s="335">
        <v>0</v>
      </c>
      <c r="G342" s="335">
        <v>0</v>
      </c>
      <c r="H342" s="335">
        <v>0</v>
      </c>
      <c r="I342" s="335">
        <v>16</v>
      </c>
      <c r="J342" s="335">
        <v>62</v>
      </c>
      <c r="K342" s="335">
        <v>0</v>
      </c>
      <c r="L342" s="335">
        <v>86</v>
      </c>
      <c r="M342" s="335">
        <v>2</v>
      </c>
      <c r="N342" s="335">
        <v>0</v>
      </c>
      <c r="O342" s="335">
        <v>0</v>
      </c>
      <c r="P342" s="335">
        <v>0</v>
      </c>
      <c r="Q342" s="335">
        <v>0</v>
      </c>
      <c r="R342" s="335">
        <v>5</v>
      </c>
      <c r="S342" s="335">
        <v>20</v>
      </c>
      <c r="T342" s="335">
        <v>0</v>
      </c>
      <c r="U342" s="335">
        <v>27</v>
      </c>
      <c r="V342" s="335">
        <v>26</v>
      </c>
      <c r="W342" s="335">
        <v>27</v>
      </c>
      <c r="X342" s="335">
        <v>26</v>
      </c>
      <c r="Y342" s="381">
        <f t="shared" si="5"/>
        <v>108368</v>
      </c>
      <c r="Z342" s="335">
        <v>0</v>
      </c>
      <c r="AA342" s="335">
        <v>0</v>
      </c>
      <c r="AB342" s="335">
        <v>0</v>
      </c>
      <c r="AF342" s="394"/>
      <c r="AH342" s="366"/>
    </row>
    <row r="343" spans="1:34" ht="14.25">
      <c r="A343" s="366" t="s">
        <v>992</v>
      </c>
      <c r="B343" s="196" t="s">
        <v>306</v>
      </c>
      <c r="C343" s="196" t="s">
        <v>86</v>
      </c>
      <c r="D343" s="335">
        <v>26</v>
      </c>
      <c r="E343" s="335">
        <v>0</v>
      </c>
      <c r="F343" s="335">
        <v>0</v>
      </c>
      <c r="G343" s="335">
        <v>0</v>
      </c>
      <c r="H343" s="335">
        <v>0</v>
      </c>
      <c r="I343" s="335">
        <v>12</v>
      </c>
      <c r="J343" s="335">
        <v>38</v>
      </c>
      <c r="K343" s="335">
        <v>0</v>
      </c>
      <c r="L343" s="335">
        <v>76</v>
      </c>
      <c r="M343" s="335">
        <v>3</v>
      </c>
      <c r="N343" s="335">
        <v>0</v>
      </c>
      <c r="O343" s="335">
        <v>0</v>
      </c>
      <c r="P343" s="335">
        <v>0</v>
      </c>
      <c r="Q343" s="335">
        <v>0</v>
      </c>
      <c r="R343" s="335">
        <v>0</v>
      </c>
      <c r="S343" s="335">
        <v>10</v>
      </c>
      <c r="T343" s="335">
        <v>0</v>
      </c>
      <c r="U343" s="335">
        <v>13</v>
      </c>
      <c r="V343" s="335">
        <v>11.5</v>
      </c>
      <c r="W343" s="335">
        <v>13</v>
      </c>
      <c r="X343" s="335">
        <v>11.5</v>
      </c>
      <c r="Y343" s="381">
        <f t="shared" si="5"/>
        <v>47932</v>
      </c>
      <c r="Z343" s="335">
        <v>0</v>
      </c>
      <c r="AA343" s="335">
        <v>0</v>
      </c>
      <c r="AB343" s="335">
        <v>0</v>
      </c>
      <c r="AF343" s="394"/>
      <c r="AH343" s="366"/>
    </row>
    <row r="344" spans="1:34" ht="14.25">
      <c r="A344" s="366" t="s">
        <v>993</v>
      </c>
      <c r="B344" s="196" t="s">
        <v>631</v>
      </c>
      <c r="C344" s="196" t="s">
        <v>86</v>
      </c>
      <c r="D344" s="335">
        <v>0</v>
      </c>
      <c r="E344" s="335">
        <v>0</v>
      </c>
      <c r="F344" s="335">
        <v>0</v>
      </c>
      <c r="G344" s="335">
        <v>0</v>
      </c>
      <c r="H344" s="335">
        <v>0</v>
      </c>
      <c r="I344" s="335">
        <v>2</v>
      </c>
      <c r="J344" s="335">
        <v>4</v>
      </c>
      <c r="K344" s="335">
        <v>0</v>
      </c>
      <c r="L344" s="335">
        <v>6</v>
      </c>
      <c r="M344" s="335">
        <v>0</v>
      </c>
      <c r="N344" s="335">
        <v>0</v>
      </c>
      <c r="O344" s="335">
        <v>0</v>
      </c>
      <c r="P344" s="335">
        <v>0</v>
      </c>
      <c r="Q344" s="335">
        <v>0</v>
      </c>
      <c r="R344" s="335">
        <v>2</v>
      </c>
      <c r="S344" s="335">
        <v>4</v>
      </c>
      <c r="T344" s="335">
        <v>0</v>
      </c>
      <c r="U344" s="335">
        <v>6</v>
      </c>
      <c r="V344" s="335">
        <v>6</v>
      </c>
      <c r="W344" s="335">
        <v>6</v>
      </c>
      <c r="X344" s="335">
        <v>6</v>
      </c>
      <c r="Y344" s="381">
        <f t="shared" si="5"/>
        <v>25008</v>
      </c>
      <c r="Z344" s="335">
        <v>0</v>
      </c>
      <c r="AA344" s="335">
        <v>0</v>
      </c>
      <c r="AB344" s="335">
        <v>0</v>
      </c>
      <c r="AF344" s="394"/>
      <c r="AH344" s="366"/>
    </row>
    <row r="345" spans="1:34" ht="28.5">
      <c r="A345" s="366" t="s">
        <v>994</v>
      </c>
      <c r="B345" s="196" t="s">
        <v>304</v>
      </c>
      <c r="C345" s="196" t="s">
        <v>86</v>
      </c>
      <c r="D345" s="335">
        <v>21</v>
      </c>
      <c r="E345" s="335">
        <v>0</v>
      </c>
      <c r="F345" s="335">
        <v>0</v>
      </c>
      <c r="G345" s="335">
        <v>0</v>
      </c>
      <c r="H345" s="335">
        <v>0</v>
      </c>
      <c r="I345" s="335">
        <v>16</v>
      </c>
      <c r="J345" s="335">
        <v>107</v>
      </c>
      <c r="K345" s="335">
        <v>0</v>
      </c>
      <c r="L345" s="335">
        <v>144</v>
      </c>
      <c r="M345" s="335">
        <v>5</v>
      </c>
      <c r="N345" s="335">
        <v>0</v>
      </c>
      <c r="O345" s="335">
        <v>0</v>
      </c>
      <c r="P345" s="335">
        <v>0</v>
      </c>
      <c r="Q345" s="335">
        <v>0</v>
      </c>
      <c r="R345" s="335">
        <v>2</v>
      </c>
      <c r="S345" s="335">
        <v>18</v>
      </c>
      <c r="T345" s="335">
        <v>0</v>
      </c>
      <c r="U345" s="335">
        <v>25</v>
      </c>
      <c r="V345" s="335">
        <v>22.5</v>
      </c>
      <c r="W345" s="335">
        <v>25</v>
      </c>
      <c r="X345" s="335">
        <v>22.5</v>
      </c>
      <c r="Y345" s="381">
        <f t="shared" si="5"/>
        <v>93780</v>
      </c>
      <c r="Z345" s="335">
        <v>0</v>
      </c>
      <c r="AA345" s="335">
        <v>0</v>
      </c>
      <c r="AB345" s="335">
        <v>0</v>
      </c>
      <c r="AF345" s="394"/>
      <c r="AH345" s="366"/>
    </row>
    <row r="346" spans="1:34" ht="28.5">
      <c r="A346" s="366" t="s">
        <v>995</v>
      </c>
      <c r="B346" s="196" t="s">
        <v>490</v>
      </c>
      <c r="C346" s="196" t="s">
        <v>86</v>
      </c>
      <c r="D346" s="335">
        <v>18</v>
      </c>
      <c r="E346" s="335">
        <v>0</v>
      </c>
      <c r="F346" s="335">
        <v>0</v>
      </c>
      <c r="G346" s="335">
        <v>0</v>
      </c>
      <c r="H346" s="335">
        <v>0</v>
      </c>
      <c r="I346" s="335">
        <v>19</v>
      </c>
      <c r="J346" s="335">
        <v>119</v>
      </c>
      <c r="K346" s="335">
        <v>0</v>
      </c>
      <c r="L346" s="335">
        <v>156</v>
      </c>
      <c r="M346" s="335">
        <v>1</v>
      </c>
      <c r="N346" s="335">
        <v>0</v>
      </c>
      <c r="O346" s="335">
        <v>0</v>
      </c>
      <c r="P346" s="335">
        <v>0</v>
      </c>
      <c r="Q346" s="335">
        <v>0</v>
      </c>
      <c r="R346" s="335">
        <v>1</v>
      </c>
      <c r="S346" s="335">
        <v>34</v>
      </c>
      <c r="T346" s="335">
        <v>0</v>
      </c>
      <c r="U346" s="335">
        <v>36</v>
      </c>
      <c r="V346" s="335">
        <v>35.5</v>
      </c>
      <c r="W346" s="335">
        <v>36</v>
      </c>
      <c r="X346" s="335">
        <v>35.5</v>
      </c>
      <c r="Y346" s="381">
        <f t="shared" si="5"/>
        <v>147964</v>
      </c>
      <c r="Z346" s="335">
        <v>0</v>
      </c>
      <c r="AA346" s="335">
        <v>0</v>
      </c>
      <c r="AB346" s="335">
        <v>0</v>
      </c>
      <c r="AF346" s="394"/>
      <c r="AH346" s="366"/>
    </row>
    <row r="347" spans="1:34" ht="14.25">
      <c r="A347" s="366" t="s">
        <v>996</v>
      </c>
      <c r="B347" s="196" t="s">
        <v>134</v>
      </c>
      <c r="C347" s="196" t="s">
        <v>86</v>
      </c>
      <c r="D347" s="335">
        <v>38</v>
      </c>
      <c r="E347" s="335">
        <v>0</v>
      </c>
      <c r="F347" s="335">
        <v>0</v>
      </c>
      <c r="G347" s="335">
        <v>0</v>
      </c>
      <c r="H347" s="335">
        <v>0</v>
      </c>
      <c r="I347" s="335">
        <v>48</v>
      </c>
      <c r="J347" s="335">
        <v>463</v>
      </c>
      <c r="K347" s="335">
        <v>273</v>
      </c>
      <c r="L347" s="335">
        <v>822</v>
      </c>
      <c r="M347" s="335">
        <v>8</v>
      </c>
      <c r="N347" s="335">
        <v>0</v>
      </c>
      <c r="O347" s="335">
        <v>0</v>
      </c>
      <c r="P347" s="335">
        <v>0</v>
      </c>
      <c r="Q347" s="335">
        <v>0</v>
      </c>
      <c r="R347" s="335">
        <v>8</v>
      </c>
      <c r="S347" s="335">
        <v>59</v>
      </c>
      <c r="T347" s="335">
        <v>37</v>
      </c>
      <c r="U347" s="335">
        <v>112</v>
      </c>
      <c r="V347" s="335">
        <v>108</v>
      </c>
      <c r="W347" s="335">
        <v>75</v>
      </c>
      <c r="X347" s="335">
        <v>71</v>
      </c>
      <c r="Y347" s="381">
        <f t="shared" si="5"/>
        <v>462095</v>
      </c>
      <c r="Z347" s="335">
        <v>0</v>
      </c>
      <c r="AA347" s="335">
        <v>0</v>
      </c>
      <c r="AB347" s="335">
        <v>0</v>
      </c>
      <c r="AF347" s="394"/>
      <c r="AH347" s="366"/>
    </row>
    <row r="348" spans="1:34" ht="14.25">
      <c r="A348" s="366" t="s">
        <v>997</v>
      </c>
      <c r="B348" s="196" t="s">
        <v>448</v>
      </c>
      <c r="C348" s="196" t="s">
        <v>608</v>
      </c>
      <c r="D348" s="335">
        <v>22</v>
      </c>
      <c r="E348" s="335">
        <v>0</v>
      </c>
      <c r="F348" s="335">
        <v>0</v>
      </c>
      <c r="G348" s="335">
        <v>0</v>
      </c>
      <c r="H348" s="335">
        <v>0</v>
      </c>
      <c r="I348" s="335">
        <v>22</v>
      </c>
      <c r="J348" s="335">
        <v>167</v>
      </c>
      <c r="K348" s="335">
        <v>0</v>
      </c>
      <c r="L348" s="335">
        <v>211</v>
      </c>
      <c r="M348" s="335">
        <v>2</v>
      </c>
      <c r="N348" s="335">
        <v>0</v>
      </c>
      <c r="O348" s="335">
        <v>0</v>
      </c>
      <c r="P348" s="335">
        <v>0</v>
      </c>
      <c r="Q348" s="335">
        <v>0</v>
      </c>
      <c r="R348" s="335">
        <v>2</v>
      </c>
      <c r="S348" s="335">
        <v>24</v>
      </c>
      <c r="T348" s="335">
        <v>0</v>
      </c>
      <c r="U348" s="335">
        <v>28</v>
      </c>
      <c r="V348" s="335">
        <v>27</v>
      </c>
      <c r="W348" s="335">
        <v>28</v>
      </c>
      <c r="X348" s="335">
        <v>27</v>
      </c>
      <c r="Y348" s="381">
        <f t="shared" si="5"/>
        <v>112536</v>
      </c>
      <c r="Z348" s="335">
        <v>0</v>
      </c>
      <c r="AA348" s="335">
        <v>0</v>
      </c>
      <c r="AB348" s="335">
        <v>0</v>
      </c>
      <c r="AF348" s="394"/>
      <c r="AH348" s="366"/>
    </row>
    <row r="349" spans="1:34" ht="28.5">
      <c r="A349" s="366" t="s">
        <v>998</v>
      </c>
      <c r="B349" s="196" t="s">
        <v>540</v>
      </c>
      <c r="C349" s="196" t="s">
        <v>86</v>
      </c>
      <c r="D349" s="335">
        <v>5</v>
      </c>
      <c r="E349" s="335">
        <v>0</v>
      </c>
      <c r="F349" s="335">
        <v>0</v>
      </c>
      <c r="G349" s="335">
        <v>0</v>
      </c>
      <c r="H349" s="335">
        <v>0</v>
      </c>
      <c r="I349" s="335">
        <v>4</v>
      </c>
      <c r="J349" s="335">
        <v>29</v>
      </c>
      <c r="K349" s="335">
        <v>0</v>
      </c>
      <c r="L349" s="335">
        <v>38</v>
      </c>
      <c r="M349" s="335">
        <v>2</v>
      </c>
      <c r="N349" s="335">
        <v>0</v>
      </c>
      <c r="O349" s="335">
        <v>0</v>
      </c>
      <c r="P349" s="335">
        <v>0</v>
      </c>
      <c r="Q349" s="335">
        <v>0</v>
      </c>
      <c r="R349" s="335">
        <v>2</v>
      </c>
      <c r="S349" s="335">
        <v>14</v>
      </c>
      <c r="T349" s="335">
        <v>0</v>
      </c>
      <c r="U349" s="335">
        <v>18</v>
      </c>
      <c r="V349" s="335">
        <v>17</v>
      </c>
      <c r="W349" s="335">
        <v>18</v>
      </c>
      <c r="X349" s="335">
        <v>17</v>
      </c>
      <c r="Y349" s="381">
        <f t="shared" si="5"/>
        <v>70856</v>
      </c>
      <c r="Z349" s="335">
        <v>0</v>
      </c>
      <c r="AA349" s="335">
        <v>0</v>
      </c>
      <c r="AB349" s="335">
        <v>0</v>
      </c>
      <c r="AF349" s="394"/>
      <c r="AH349" s="366"/>
    </row>
    <row r="350" spans="1:34" ht="28.5">
      <c r="A350" s="366" t="s">
        <v>999</v>
      </c>
      <c r="B350" s="196" t="s">
        <v>449</v>
      </c>
      <c r="C350" s="196" t="s">
        <v>86</v>
      </c>
      <c r="D350" s="335">
        <v>19</v>
      </c>
      <c r="E350" s="335">
        <v>0</v>
      </c>
      <c r="F350" s="335">
        <v>0</v>
      </c>
      <c r="G350" s="335">
        <v>0</v>
      </c>
      <c r="H350" s="335">
        <v>0</v>
      </c>
      <c r="I350" s="335">
        <v>24</v>
      </c>
      <c r="J350" s="335">
        <v>170</v>
      </c>
      <c r="K350" s="335">
        <v>0</v>
      </c>
      <c r="L350" s="335">
        <v>213</v>
      </c>
      <c r="M350" s="335">
        <v>1</v>
      </c>
      <c r="N350" s="335">
        <v>0</v>
      </c>
      <c r="O350" s="335">
        <v>0</v>
      </c>
      <c r="P350" s="335">
        <v>0</v>
      </c>
      <c r="Q350" s="335">
        <v>0</v>
      </c>
      <c r="R350" s="335">
        <v>6</v>
      </c>
      <c r="S350" s="335">
        <v>27</v>
      </c>
      <c r="T350" s="335">
        <v>0</v>
      </c>
      <c r="U350" s="335">
        <v>34</v>
      </c>
      <c r="V350" s="335">
        <v>33.5</v>
      </c>
      <c r="W350" s="335">
        <v>34</v>
      </c>
      <c r="X350" s="335">
        <v>33.5</v>
      </c>
      <c r="Y350" s="381">
        <f t="shared" si="5"/>
        <v>139628</v>
      </c>
      <c r="Z350" s="335">
        <v>0</v>
      </c>
      <c r="AA350" s="335">
        <v>0</v>
      </c>
      <c r="AB350" s="335">
        <v>0</v>
      </c>
      <c r="AF350" s="394"/>
      <c r="AH350" s="366"/>
    </row>
    <row r="351" spans="1:34" ht="28.5">
      <c r="A351" s="366" t="s">
        <v>1000</v>
      </c>
      <c r="B351" s="196" t="s">
        <v>225</v>
      </c>
      <c r="C351" s="196" t="s">
        <v>607</v>
      </c>
      <c r="D351" s="335">
        <v>0</v>
      </c>
      <c r="E351" s="335">
        <v>13</v>
      </c>
      <c r="F351" s="335">
        <v>0</v>
      </c>
      <c r="G351" s="335">
        <v>0</v>
      </c>
      <c r="H351" s="335">
        <v>0</v>
      </c>
      <c r="I351" s="335">
        <v>20</v>
      </c>
      <c r="J351" s="335">
        <v>138</v>
      </c>
      <c r="K351" s="335">
        <v>0</v>
      </c>
      <c r="L351" s="335">
        <v>171</v>
      </c>
      <c r="M351" s="335">
        <v>0</v>
      </c>
      <c r="N351" s="335">
        <v>4</v>
      </c>
      <c r="O351" s="335">
        <v>0</v>
      </c>
      <c r="P351" s="335">
        <v>0</v>
      </c>
      <c r="Q351" s="335">
        <v>0</v>
      </c>
      <c r="R351" s="335">
        <v>12</v>
      </c>
      <c r="S351" s="335">
        <v>72</v>
      </c>
      <c r="T351" s="335">
        <v>0</v>
      </c>
      <c r="U351" s="335">
        <v>88</v>
      </c>
      <c r="V351" s="335">
        <v>86.4</v>
      </c>
      <c r="W351" s="335">
        <v>88</v>
      </c>
      <c r="X351" s="335">
        <v>86.4</v>
      </c>
      <c r="Y351" s="381">
        <f t="shared" si="5"/>
        <v>360115.2</v>
      </c>
      <c r="Z351" s="335">
        <v>0</v>
      </c>
      <c r="AA351" s="335">
        <v>0</v>
      </c>
      <c r="AB351" s="335">
        <v>0</v>
      </c>
      <c r="AF351" s="394"/>
      <c r="AH351" s="366"/>
    </row>
    <row r="352" spans="1:34" ht="14.25">
      <c r="A352" s="366" t="s">
        <v>1001</v>
      </c>
      <c r="B352" s="196" t="s">
        <v>225</v>
      </c>
      <c r="C352" s="196" t="s">
        <v>86</v>
      </c>
      <c r="D352" s="335">
        <v>0</v>
      </c>
      <c r="E352" s="335">
        <v>13</v>
      </c>
      <c r="F352" s="335">
        <v>0</v>
      </c>
      <c r="G352" s="335">
        <v>0</v>
      </c>
      <c r="H352" s="335">
        <v>0</v>
      </c>
      <c r="I352" s="335">
        <v>20</v>
      </c>
      <c r="J352" s="335">
        <v>138</v>
      </c>
      <c r="K352" s="335">
        <v>0</v>
      </c>
      <c r="L352" s="335">
        <v>171</v>
      </c>
      <c r="M352" s="335">
        <v>0</v>
      </c>
      <c r="N352" s="335">
        <v>2</v>
      </c>
      <c r="O352" s="335">
        <v>0</v>
      </c>
      <c r="P352" s="335">
        <v>0</v>
      </c>
      <c r="Q352" s="335">
        <v>0</v>
      </c>
      <c r="R352" s="335">
        <v>0</v>
      </c>
      <c r="S352" s="335">
        <v>24</v>
      </c>
      <c r="T352" s="335">
        <v>0</v>
      </c>
      <c r="U352" s="335">
        <v>26</v>
      </c>
      <c r="V352" s="335">
        <v>25.2</v>
      </c>
      <c r="W352" s="335">
        <v>26</v>
      </c>
      <c r="X352" s="335">
        <v>25.2</v>
      </c>
      <c r="Y352" s="381">
        <f t="shared" si="5"/>
        <v>105033.59999999999</v>
      </c>
      <c r="Z352" s="335">
        <v>0</v>
      </c>
      <c r="AA352" s="335">
        <v>0</v>
      </c>
      <c r="AB352" s="335">
        <v>0</v>
      </c>
      <c r="AF352" s="394"/>
      <c r="AH352" s="366"/>
    </row>
    <row r="353" spans="1:34" ht="14.25">
      <c r="A353" s="366" t="s">
        <v>1002</v>
      </c>
      <c r="B353" s="196" t="s">
        <v>397</v>
      </c>
      <c r="C353" s="196" t="s">
        <v>86</v>
      </c>
      <c r="D353" s="335">
        <v>15</v>
      </c>
      <c r="E353" s="335">
        <v>0</v>
      </c>
      <c r="F353" s="335">
        <v>0</v>
      </c>
      <c r="G353" s="335">
        <v>0</v>
      </c>
      <c r="H353" s="335">
        <v>0</v>
      </c>
      <c r="I353" s="335">
        <v>14</v>
      </c>
      <c r="J353" s="335">
        <v>83</v>
      </c>
      <c r="K353" s="335">
        <v>0</v>
      </c>
      <c r="L353" s="335">
        <v>112</v>
      </c>
      <c r="M353" s="335">
        <v>2</v>
      </c>
      <c r="N353" s="335">
        <v>0</v>
      </c>
      <c r="O353" s="335">
        <v>0</v>
      </c>
      <c r="P353" s="335">
        <v>0</v>
      </c>
      <c r="Q353" s="335">
        <v>0</v>
      </c>
      <c r="R353" s="335">
        <v>4</v>
      </c>
      <c r="S353" s="335">
        <v>25</v>
      </c>
      <c r="T353" s="335">
        <v>0</v>
      </c>
      <c r="U353" s="335">
        <v>31</v>
      </c>
      <c r="V353" s="335">
        <v>30</v>
      </c>
      <c r="W353" s="335">
        <v>31</v>
      </c>
      <c r="X353" s="335">
        <v>30</v>
      </c>
      <c r="Y353" s="381">
        <f t="shared" si="5"/>
        <v>125040</v>
      </c>
      <c r="Z353" s="335">
        <v>0</v>
      </c>
      <c r="AA353" s="335">
        <v>0</v>
      </c>
      <c r="AB353" s="335">
        <v>0</v>
      </c>
      <c r="AF353" s="394"/>
      <c r="AH353" s="366"/>
    </row>
    <row r="354" spans="1:34" ht="14.25">
      <c r="A354" s="366" t="s">
        <v>1003</v>
      </c>
      <c r="B354" s="196" t="s">
        <v>398</v>
      </c>
      <c r="C354" s="196" t="s">
        <v>86</v>
      </c>
      <c r="D354" s="335">
        <v>6</v>
      </c>
      <c r="E354" s="335">
        <v>0</v>
      </c>
      <c r="F354" s="335">
        <v>0</v>
      </c>
      <c r="G354" s="335">
        <v>0</v>
      </c>
      <c r="H354" s="335">
        <v>0</v>
      </c>
      <c r="I354" s="335">
        <v>14</v>
      </c>
      <c r="J354" s="335">
        <v>95</v>
      </c>
      <c r="K354" s="335">
        <v>0</v>
      </c>
      <c r="L354" s="335">
        <v>115</v>
      </c>
      <c r="M354" s="335">
        <v>2</v>
      </c>
      <c r="N354" s="335">
        <v>0</v>
      </c>
      <c r="O354" s="335">
        <v>0</v>
      </c>
      <c r="P354" s="335">
        <v>0</v>
      </c>
      <c r="Q354" s="335">
        <v>0</v>
      </c>
      <c r="R354" s="335">
        <v>6</v>
      </c>
      <c r="S354" s="335">
        <v>24</v>
      </c>
      <c r="T354" s="335">
        <v>0</v>
      </c>
      <c r="U354" s="335">
        <v>32</v>
      </c>
      <c r="V354" s="335">
        <v>31</v>
      </c>
      <c r="W354" s="335">
        <v>32</v>
      </c>
      <c r="X354" s="335">
        <v>31</v>
      </c>
      <c r="Y354" s="381">
        <f t="shared" si="5"/>
        <v>129208</v>
      </c>
      <c r="Z354" s="335">
        <v>0</v>
      </c>
      <c r="AA354" s="335">
        <v>0</v>
      </c>
      <c r="AB354" s="335">
        <v>0</v>
      </c>
      <c r="AF354" s="394"/>
      <c r="AH354" s="366"/>
    </row>
    <row r="355" spans="1:34" ht="28.5">
      <c r="A355" s="366" t="s">
        <v>1004</v>
      </c>
      <c r="B355" s="196" t="s">
        <v>541</v>
      </c>
      <c r="C355" s="196" t="s">
        <v>86</v>
      </c>
      <c r="D355" s="335">
        <v>27</v>
      </c>
      <c r="E355" s="335">
        <v>0</v>
      </c>
      <c r="F355" s="335">
        <v>0</v>
      </c>
      <c r="G355" s="335">
        <v>0</v>
      </c>
      <c r="H355" s="335">
        <v>0</v>
      </c>
      <c r="I355" s="335">
        <v>19</v>
      </c>
      <c r="J355" s="335">
        <v>123</v>
      </c>
      <c r="K355" s="335">
        <v>0</v>
      </c>
      <c r="L355" s="335">
        <v>169</v>
      </c>
      <c r="M355" s="335">
        <v>10</v>
      </c>
      <c r="N355" s="335">
        <v>0</v>
      </c>
      <c r="O355" s="335">
        <v>0</v>
      </c>
      <c r="P355" s="335">
        <v>0</v>
      </c>
      <c r="Q355" s="335">
        <v>0</v>
      </c>
      <c r="R355" s="335">
        <v>7</v>
      </c>
      <c r="S355" s="335">
        <v>52</v>
      </c>
      <c r="T355" s="335">
        <v>0</v>
      </c>
      <c r="U355" s="335">
        <v>69</v>
      </c>
      <c r="V355" s="335">
        <v>64</v>
      </c>
      <c r="W355" s="335">
        <v>69</v>
      </c>
      <c r="X355" s="335">
        <v>64</v>
      </c>
      <c r="Y355" s="381">
        <f t="shared" si="5"/>
        <v>266752</v>
      </c>
      <c r="Z355" s="335">
        <v>0</v>
      </c>
      <c r="AA355" s="335">
        <v>0</v>
      </c>
      <c r="AB355" s="335">
        <v>0</v>
      </c>
      <c r="AF355" s="394"/>
      <c r="AH355" s="366"/>
    </row>
    <row r="356" spans="1:34" ht="14.25">
      <c r="A356" s="366" t="s">
        <v>1005</v>
      </c>
      <c r="B356" s="196" t="s">
        <v>226</v>
      </c>
      <c r="C356" s="196" t="s">
        <v>86</v>
      </c>
      <c r="D356" s="335">
        <v>0</v>
      </c>
      <c r="E356" s="335">
        <v>0</v>
      </c>
      <c r="F356" s="335">
        <v>0</v>
      </c>
      <c r="G356" s="335">
        <v>0</v>
      </c>
      <c r="H356" s="335">
        <v>0</v>
      </c>
      <c r="I356" s="335">
        <v>16</v>
      </c>
      <c r="J356" s="335">
        <v>129</v>
      </c>
      <c r="K356" s="335">
        <v>0</v>
      </c>
      <c r="L356" s="335">
        <v>145</v>
      </c>
      <c r="M356" s="335">
        <v>0</v>
      </c>
      <c r="N356" s="335">
        <v>0</v>
      </c>
      <c r="O356" s="335">
        <v>0</v>
      </c>
      <c r="P356" s="335">
        <v>0</v>
      </c>
      <c r="Q356" s="335">
        <v>0</v>
      </c>
      <c r="R356" s="335">
        <v>3</v>
      </c>
      <c r="S356" s="335">
        <v>52</v>
      </c>
      <c r="T356" s="335">
        <v>0</v>
      </c>
      <c r="U356" s="335">
        <v>55</v>
      </c>
      <c r="V356" s="335">
        <v>55</v>
      </c>
      <c r="W356" s="335">
        <v>55</v>
      </c>
      <c r="X356" s="335">
        <v>55</v>
      </c>
      <c r="Y356" s="381">
        <f t="shared" si="5"/>
        <v>229240</v>
      </c>
      <c r="Z356" s="335">
        <v>0</v>
      </c>
      <c r="AA356" s="335">
        <v>0</v>
      </c>
      <c r="AB356" s="335">
        <v>0</v>
      </c>
      <c r="AF356" s="394"/>
      <c r="AH356" s="366"/>
    </row>
    <row r="357" spans="1:34" ht="14.25">
      <c r="A357" s="366" t="s">
        <v>1006</v>
      </c>
      <c r="B357" s="196" t="s">
        <v>135</v>
      </c>
      <c r="C357" s="196" t="s">
        <v>86</v>
      </c>
      <c r="D357" s="335">
        <v>10</v>
      </c>
      <c r="E357" s="335">
        <v>0</v>
      </c>
      <c r="F357" s="335">
        <v>0</v>
      </c>
      <c r="G357" s="335">
        <v>0</v>
      </c>
      <c r="H357" s="335">
        <v>0</v>
      </c>
      <c r="I357" s="335">
        <v>26</v>
      </c>
      <c r="J357" s="335">
        <v>155</v>
      </c>
      <c r="K357" s="335">
        <v>0</v>
      </c>
      <c r="L357" s="335">
        <v>191</v>
      </c>
      <c r="M357" s="335">
        <v>4</v>
      </c>
      <c r="N357" s="335">
        <v>0</v>
      </c>
      <c r="O357" s="335">
        <v>0</v>
      </c>
      <c r="P357" s="335">
        <v>0</v>
      </c>
      <c r="Q357" s="335">
        <v>0</v>
      </c>
      <c r="R357" s="335">
        <v>8</v>
      </c>
      <c r="S357" s="335">
        <v>37</v>
      </c>
      <c r="T357" s="335">
        <v>0</v>
      </c>
      <c r="U357" s="335">
        <v>49</v>
      </c>
      <c r="V357" s="335">
        <v>47</v>
      </c>
      <c r="W357" s="335">
        <v>49</v>
      </c>
      <c r="X357" s="335">
        <v>47</v>
      </c>
      <c r="Y357" s="381">
        <f t="shared" si="5"/>
        <v>195896</v>
      </c>
      <c r="Z357" s="335">
        <v>0</v>
      </c>
      <c r="AA357" s="335">
        <v>0</v>
      </c>
      <c r="AB357" s="335">
        <v>0</v>
      </c>
      <c r="AF357" s="394"/>
      <c r="AH357" s="366"/>
    </row>
    <row r="358" spans="1:34" ht="14.25">
      <c r="A358" s="366" t="s">
        <v>1007</v>
      </c>
      <c r="B358" s="196" t="s">
        <v>277</v>
      </c>
      <c r="C358" s="196" t="s">
        <v>86</v>
      </c>
      <c r="D358" s="335">
        <v>24</v>
      </c>
      <c r="E358" s="335">
        <v>0</v>
      </c>
      <c r="F358" s="335">
        <v>1</v>
      </c>
      <c r="G358" s="335">
        <v>0</v>
      </c>
      <c r="H358" s="335">
        <v>0</v>
      </c>
      <c r="I358" s="335">
        <v>33</v>
      </c>
      <c r="J358" s="335">
        <v>239</v>
      </c>
      <c r="K358" s="335">
        <v>0</v>
      </c>
      <c r="L358" s="335">
        <v>297</v>
      </c>
      <c r="M358" s="335">
        <v>2</v>
      </c>
      <c r="N358" s="335">
        <v>0</v>
      </c>
      <c r="O358" s="335">
        <v>0</v>
      </c>
      <c r="P358" s="335">
        <v>0</v>
      </c>
      <c r="Q358" s="335">
        <v>0</v>
      </c>
      <c r="R358" s="335">
        <v>11</v>
      </c>
      <c r="S358" s="335">
        <v>40</v>
      </c>
      <c r="T358" s="335">
        <v>0</v>
      </c>
      <c r="U358" s="335">
        <v>53</v>
      </c>
      <c r="V358" s="335">
        <v>52</v>
      </c>
      <c r="W358" s="335">
        <v>53</v>
      </c>
      <c r="X358" s="335">
        <v>52</v>
      </c>
      <c r="Y358" s="381">
        <f t="shared" si="5"/>
        <v>216736</v>
      </c>
      <c r="Z358" s="335">
        <v>0</v>
      </c>
      <c r="AA358" s="335">
        <v>0</v>
      </c>
      <c r="AB358" s="335">
        <v>0</v>
      </c>
      <c r="AF358" s="394"/>
      <c r="AH358" s="366"/>
    </row>
    <row r="359" spans="1:34" ht="28.5">
      <c r="A359" s="366" t="s">
        <v>1008</v>
      </c>
      <c r="B359" s="196" t="s">
        <v>307</v>
      </c>
      <c r="C359" s="196" t="s">
        <v>86</v>
      </c>
      <c r="D359" s="335">
        <v>28</v>
      </c>
      <c r="E359" s="335">
        <v>0</v>
      </c>
      <c r="F359" s="335">
        <v>0</v>
      </c>
      <c r="G359" s="335">
        <v>0</v>
      </c>
      <c r="H359" s="335">
        <v>0</v>
      </c>
      <c r="I359" s="335">
        <v>20</v>
      </c>
      <c r="J359" s="335">
        <v>107</v>
      </c>
      <c r="K359" s="335">
        <v>0</v>
      </c>
      <c r="L359" s="335">
        <v>155</v>
      </c>
      <c r="M359" s="335">
        <v>5</v>
      </c>
      <c r="N359" s="335">
        <v>0</v>
      </c>
      <c r="O359" s="335">
        <v>0</v>
      </c>
      <c r="P359" s="335">
        <v>0</v>
      </c>
      <c r="Q359" s="335">
        <v>0</v>
      </c>
      <c r="R359" s="335">
        <v>11</v>
      </c>
      <c r="S359" s="335">
        <v>32</v>
      </c>
      <c r="T359" s="335">
        <v>0</v>
      </c>
      <c r="U359" s="335">
        <v>48</v>
      </c>
      <c r="V359" s="335">
        <v>45.5</v>
      </c>
      <c r="W359" s="335">
        <v>48</v>
      </c>
      <c r="X359" s="335">
        <v>45.5</v>
      </c>
      <c r="Y359" s="381">
        <f t="shared" si="5"/>
        <v>189644</v>
      </c>
      <c r="Z359" s="335">
        <v>0</v>
      </c>
      <c r="AA359" s="335">
        <v>0</v>
      </c>
      <c r="AB359" s="335">
        <v>0</v>
      </c>
      <c r="AF359" s="394"/>
      <c r="AH359" s="366"/>
    </row>
    <row r="360" spans="1:34" ht="28.5">
      <c r="A360" s="366" t="s">
        <v>1009</v>
      </c>
      <c r="B360" s="196" t="s">
        <v>227</v>
      </c>
      <c r="C360" s="196" t="s">
        <v>86</v>
      </c>
      <c r="D360" s="335">
        <v>11</v>
      </c>
      <c r="E360" s="335">
        <v>0</v>
      </c>
      <c r="F360" s="335">
        <v>0</v>
      </c>
      <c r="G360" s="335">
        <v>0</v>
      </c>
      <c r="H360" s="335">
        <v>0</v>
      </c>
      <c r="I360" s="335">
        <v>6</v>
      </c>
      <c r="J360" s="335">
        <v>60</v>
      </c>
      <c r="K360" s="335">
        <v>0</v>
      </c>
      <c r="L360" s="335">
        <v>77</v>
      </c>
      <c r="M360" s="335">
        <v>0</v>
      </c>
      <c r="N360" s="335">
        <v>0</v>
      </c>
      <c r="O360" s="335">
        <v>0</v>
      </c>
      <c r="P360" s="335">
        <v>0</v>
      </c>
      <c r="Q360" s="335">
        <v>0</v>
      </c>
      <c r="R360" s="335">
        <v>2</v>
      </c>
      <c r="S360" s="335">
        <v>8</v>
      </c>
      <c r="T360" s="335">
        <v>0</v>
      </c>
      <c r="U360" s="335">
        <v>10</v>
      </c>
      <c r="V360" s="335">
        <v>10</v>
      </c>
      <c r="W360" s="335">
        <v>10</v>
      </c>
      <c r="X360" s="335">
        <v>10</v>
      </c>
      <c r="Y360" s="381">
        <f t="shared" si="5"/>
        <v>41680</v>
      </c>
      <c r="Z360" s="335">
        <v>0</v>
      </c>
      <c r="AA360" s="335">
        <v>0</v>
      </c>
      <c r="AB360" s="335">
        <v>0</v>
      </c>
      <c r="AF360" s="394"/>
      <c r="AH360" s="366"/>
    </row>
    <row r="361" spans="1:34" ht="28.5">
      <c r="A361" s="366" t="s">
        <v>1010</v>
      </c>
      <c r="B361" s="196" t="s">
        <v>136</v>
      </c>
      <c r="C361" s="196" t="s">
        <v>86</v>
      </c>
      <c r="D361" s="335">
        <v>3</v>
      </c>
      <c r="E361" s="335">
        <v>0</v>
      </c>
      <c r="F361" s="335">
        <v>0</v>
      </c>
      <c r="G361" s="335">
        <v>0</v>
      </c>
      <c r="H361" s="335">
        <v>0</v>
      </c>
      <c r="I361" s="335">
        <v>8</v>
      </c>
      <c r="J361" s="335">
        <v>59</v>
      </c>
      <c r="K361" s="335">
        <v>0</v>
      </c>
      <c r="L361" s="335">
        <v>70</v>
      </c>
      <c r="M361" s="335">
        <v>2</v>
      </c>
      <c r="N361" s="335">
        <v>0</v>
      </c>
      <c r="O361" s="335">
        <v>0</v>
      </c>
      <c r="P361" s="335">
        <v>0</v>
      </c>
      <c r="Q361" s="335">
        <v>0</v>
      </c>
      <c r="R361" s="335">
        <v>4</v>
      </c>
      <c r="S361" s="335">
        <v>42</v>
      </c>
      <c r="T361" s="335">
        <v>0</v>
      </c>
      <c r="U361" s="335">
        <v>48</v>
      </c>
      <c r="V361" s="335">
        <v>47</v>
      </c>
      <c r="W361" s="335">
        <v>48</v>
      </c>
      <c r="X361" s="335">
        <v>47</v>
      </c>
      <c r="Y361" s="381">
        <f t="shared" si="5"/>
        <v>195896</v>
      </c>
      <c r="Z361" s="335">
        <v>0</v>
      </c>
      <c r="AA361" s="335">
        <v>0</v>
      </c>
      <c r="AB361" s="335">
        <v>0</v>
      </c>
      <c r="AF361" s="394"/>
      <c r="AH361" s="366"/>
    </row>
    <row r="362" spans="1:34" ht="28.5">
      <c r="A362" s="366" t="s">
        <v>1011</v>
      </c>
      <c r="B362" s="196" t="s">
        <v>632</v>
      </c>
      <c r="C362" s="196" t="s">
        <v>86</v>
      </c>
      <c r="D362" s="335">
        <v>0</v>
      </c>
      <c r="E362" s="335">
        <v>0</v>
      </c>
      <c r="F362" s="335">
        <v>0</v>
      </c>
      <c r="G362" s="335">
        <v>0</v>
      </c>
      <c r="H362" s="335">
        <v>0</v>
      </c>
      <c r="I362" s="335">
        <v>9</v>
      </c>
      <c r="J362" s="335">
        <v>33</v>
      </c>
      <c r="K362" s="335">
        <v>0</v>
      </c>
      <c r="L362" s="335">
        <v>42</v>
      </c>
      <c r="M362" s="335">
        <v>0</v>
      </c>
      <c r="N362" s="335">
        <v>0</v>
      </c>
      <c r="O362" s="335">
        <v>0</v>
      </c>
      <c r="P362" s="335">
        <v>0</v>
      </c>
      <c r="Q362" s="335">
        <v>0</v>
      </c>
      <c r="R362" s="335">
        <v>1</v>
      </c>
      <c r="S362" s="335">
        <v>4</v>
      </c>
      <c r="T362" s="335">
        <v>0</v>
      </c>
      <c r="U362" s="335">
        <v>5</v>
      </c>
      <c r="V362" s="335">
        <v>5</v>
      </c>
      <c r="W362" s="335">
        <v>5</v>
      </c>
      <c r="X362" s="335">
        <v>5</v>
      </c>
      <c r="Y362" s="381">
        <f t="shared" si="5"/>
        <v>20840</v>
      </c>
      <c r="Z362" s="335">
        <v>0</v>
      </c>
      <c r="AA362" s="335">
        <v>0</v>
      </c>
      <c r="AB362" s="335">
        <v>0</v>
      </c>
      <c r="AF362" s="394"/>
      <c r="AH362" s="366"/>
    </row>
    <row r="363" spans="1:34" ht="28.5">
      <c r="A363" s="366" t="s">
        <v>1012</v>
      </c>
      <c r="B363" s="196" t="s">
        <v>278</v>
      </c>
      <c r="C363" s="196" t="s">
        <v>86</v>
      </c>
      <c r="D363" s="335">
        <v>9</v>
      </c>
      <c r="E363" s="335">
        <v>0</v>
      </c>
      <c r="F363" s="335">
        <v>0</v>
      </c>
      <c r="G363" s="335">
        <v>0</v>
      </c>
      <c r="H363" s="335">
        <v>0</v>
      </c>
      <c r="I363" s="335">
        <v>11</v>
      </c>
      <c r="J363" s="335">
        <v>110</v>
      </c>
      <c r="K363" s="335">
        <v>0</v>
      </c>
      <c r="L363" s="335">
        <v>130</v>
      </c>
      <c r="M363" s="335">
        <v>0</v>
      </c>
      <c r="N363" s="335">
        <v>0</v>
      </c>
      <c r="O363" s="335">
        <v>0</v>
      </c>
      <c r="P363" s="335">
        <v>0</v>
      </c>
      <c r="Q363" s="335">
        <v>0</v>
      </c>
      <c r="R363" s="335">
        <v>1</v>
      </c>
      <c r="S363" s="335">
        <v>19</v>
      </c>
      <c r="T363" s="335">
        <v>0</v>
      </c>
      <c r="U363" s="335">
        <v>20</v>
      </c>
      <c r="V363" s="335">
        <v>20</v>
      </c>
      <c r="W363" s="335">
        <v>20</v>
      </c>
      <c r="X363" s="335">
        <v>20</v>
      </c>
      <c r="Y363" s="381">
        <f t="shared" si="5"/>
        <v>83360</v>
      </c>
      <c r="Z363" s="335">
        <v>0</v>
      </c>
      <c r="AA363" s="335">
        <v>0</v>
      </c>
      <c r="AB363" s="335">
        <v>0</v>
      </c>
      <c r="AF363" s="394"/>
      <c r="AH363" s="366"/>
    </row>
    <row r="364" spans="1:34" ht="28.5">
      <c r="A364" s="366" t="s">
        <v>1013</v>
      </c>
      <c r="B364" s="196" t="s">
        <v>491</v>
      </c>
      <c r="C364" s="196" t="s">
        <v>86</v>
      </c>
      <c r="D364" s="335">
        <v>21</v>
      </c>
      <c r="E364" s="335">
        <v>0</v>
      </c>
      <c r="F364" s="335">
        <v>0</v>
      </c>
      <c r="G364" s="335">
        <v>0</v>
      </c>
      <c r="H364" s="335">
        <v>0</v>
      </c>
      <c r="I364" s="335">
        <v>22</v>
      </c>
      <c r="J364" s="335">
        <v>166</v>
      </c>
      <c r="K364" s="335">
        <v>0</v>
      </c>
      <c r="L364" s="335">
        <v>209</v>
      </c>
      <c r="M364" s="335">
        <v>7</v>
      </c>
      <c r="N364" s="335">
        <v>0</v>
      </c>
      <c r="O364" s="335">
        <v>0</v>
      </c>
      <c r="P364" s="335">
        <v>0</v>
      </c>
      <c r="Q364" s="335">
        <v>0</v>
      </c>
      <c r="R364" s="335">
        <v>11</v>
      </c>
      <c r="S364" s="335">
        <v>68</v>
      </c>
      <c r="T364" s="335">
        <v>0</v>
      </c>
      <c r="U364" s="335">
        <v>86</v>
      </c>
      <c r="V364" s="335">
        <v>82.5</v>
      </c>
      <c r="W364" s="335">
        <v>86</v>
      </c>
      <c r="X364" s="335">
        <v>82.5</v>
      </c>
      <c r="Y364" s="381">
        <f t="shared" si="5"/>
        <v>343860</v>
      </c>
      <c r="Z364" s="335">
        <v>0</v>
      </c>
      <c r="AA364" s="335">
        <v>0</v>
      </c>
      <c r="AB364" s="335">
        <v>0</v>
      </c>
      <c r="AF364" s="394"/>
      <c r="AH364" s="366"/>
    </row>
    <row r="365" spans="1:34" ht="28.5">
      <c r="A365" s="366" t="s">
        <v>1014</v>
      </c>
      <c r="B365" s="196" t="s">
        <v>399</v>
      </c>
      <c r="C365" s="196" t="s">
        <v>607</v>
      </c>
      <c r="D365" s="335">
        <v>0</v>
      </c>
      <c r="E365" s="335">
        <v>0</v>
      </c>
      <c r="F365" s="335">
        <v>0</v>
      </c>
      <c r="G365" s="335">
        <v>0</v>
      </c>
      <c r="H365" s="335">
        <v>0</v>
      </c>
      <c r="I365" s="335">
        <v>9</v>
      </c>
      <c r="J365" s="335">
        <v>57</v>
      </c>
      <c r="K365" s="335">
        <v>0</v>
      </c>
      <c r="L365" s="335">
        <v>66</v>
      </c>
      <c r="M365" s="335">
        <v>0</v>
      </c>
      <c r="N365" s="335">
        <v>0</v>
      </c>
      <c r="O365" s="335">
        <v>0</v>
      </c>
      <c r="P365" s="335">
        <v>0</v>
      </c>
      <c r="Q365" s="335">
        <v>0</v>
      </c>
      <c r="R365" s="335">
        <v>0</v>
      </c>
      <c r="S365" s="335">
        <v>9</v>
      </c>
      <c r="T365" s="335">
        <v>0</v>
      </c>
      <c r="U365" s="335">
        <v>9</v>
      </c>
      <c r="V365" s="335">
        <v>9</v>
      </c>
      <c r="W365" s="335">
        <v>9</v>
      </c>
      <c r="X365" s="335">
        <v>9</v>
      </c>
      <c r="Y365" s="381">
        <f t="shared" si="5"/>
        <v>37512</v>
      </c>
      <c r="Z365" s="335">
        <v>0</v>
      </c>
      <c r="AA365" s="335">
        <v>0</v>
      </c>
      <c r="AB365" s="335">
        <v>0</v>
      </c>
      <c r="AF365" s="394"/>
      <c r="AH365" s="366"/>
    </row>
    <row r="366" spans="1:34" ht="14.25">
      <c r="A366" s="366" t="s">
        <v>1015</v>
      </c>
      <c r="B366" s="196" t="s">
        <v>399</v>
      </c>
      <c r="C366" s="196" t="s">
        <v>86</v>
      </c>
      <c r="D366" s="335">
        <v>0</v>
      </c>
      <c r="E366" s="335">
        <v>0</v>
      </c>
      <c r="F366" s="335">
        <v>0</v>
      </c>
      <c r="G366" s="335">
        <v>0</v>
      </c>
      <c r="H366" s="335">
        <v>0</v>
      </c>
      <c r="I366" s="335">
        <v>9</v>
      </c>
      <c r="J366" s="335">
        <v>57</v>
      </c>
      <c r="K366" s="335">
        <v>0</v>
      </c>
      <c r="L366" s="335">
        <v>66</v>
      </c>
      <c r="M366" s="335">
        <v>0</v>
      </c>
      <c r="N366" s="335">
        <v>0</v>
      </c>
      <c r="O366" s="335">
        <v>0</v>
      </c>
      <c r="P366" s="335">
        <v>0</v>
      </c>
      <c r="Q366" s="335">
        <v>0</v>
      </c>
      <c r="R366" s="335">
        <v>6</v>
      </c>
      <c r="S366" s="335">
        <v>23</v>
      </c>
      <c r="T366" s="335">
        <v>0</v>
      </c>
      <c r="U366" s="335">
        <v>29</v>
      </c>
      <c r="V366" s="335">
        <v>29</v>
      </c>
      <c r="W366" s="335">
        <v>29</v>
      </c>
      <c r="X366" s="335">
        <v>29</v>
      </c>
      <c r="Y366" s="381">
        <f t="shared" si="5"/>
        <v>120872</v>
      </c>
      <c r="Z366" s="335">
        <v>0</v>
      </c>
      <c r="AA366" s="335">
        <v>0</v>
      </c>
      <c r="AB366" s="335">
        <v>0</v>
      </c>
      <c r="AF366" s="394"/>
      <c r="AH366" s="366"/>
    </row>
    <row r="367" spans="1:34" ht="28.5">
      <c r="A367" s="366" t="s">
        <v>1016</v>
      </c>
      <c r="B367" s="196" t="s">
        <v>492</v>
      </c>
      <c r="C367" s="196" t="s">
        <v>86</v>
      </c>
      <c r="D367" s="335">
        <v>8</v>
      </c>
      <c r="E367" s="335">
        <v>0</v>
      </c>
      <c r="F367" s="335">
        <v>0</v>
      </c>
      <c r="G367" s="335">
        <v>0</v>
      </c>
      <c r="H367" s="335">
        <v>0</v>
      </c>
      <c r="I367" s="335">
        <v>6</v>
      </c>
      <c r="J367" s="335">
        <v>49</v>
      </c>
      <c r="K367" s="335">
        <v>0</v>
      </c>
      <c r="L367" s="335">
        <v>63</v>
      </c>
      <c r="M367" s="335">
        <v>3</v>
      </c>
      <c r="N367" s="335">
        <v>0</v>
      </c>
      <c r="O367" s="335">
        <v>0</v>
      </c>
      <c r="P367" s="335">
        <v>0</v>
      </c>
      <c r="Q367" s="335">
        <v>0</v>
      </c>
      <c r="R367" s="335">
        <v>4</v>
      </c>
      <c r="S367" s="335">
        <v>11</v>
      </c>
      <c r="T367" s="335">
        <v>0</v>
      </c>
      <c r="U367" s="335">
        <v>18</v>
      </c>
      <c r="V367" s="335">
        <v>16.5</v>
      </c>
      <c r="W367" s="335">
        <v>18</v>
      </c>
      <c r="X367" s="335">
        <v>16.5</v>
      </c>
      <c r="Y367" s="381">
        <f t="shared" si="5"/>
        <v>68772</v>
      </c>
      <c r="Z367" s="335">
        <v>0</v>
      </c>
      <c r="AA367" s="335">
        <v>0</v>
      </c>
      <c r="AB367" s="335">
        <v>0</v>
      </c>
      <c r="AF367" s="394"/>
      <c r="AH367" s="366"/>
    </row>
    <row r="368" spans="1:34" ht="28.5">
      <c r="A368" s="366" t="s">
        <v>1017</v>
      </c>
      <c r="B368" s="196" t="s">
        <v>542</v>
      </c>
      <c r="C368" s="196" t="s">
        <v>86</v>
      </c>
      <c r="D368" s="335">
        <v>14</v>
      </c>
      <c r="E368" s="335">
        <v>0</v>
      </c>
      <c r="F368" s="335">
        <v>0</v>
      </c>
      <c r="G368" s="335">
        <v>0</v>
      </c>
      <c r="H368" s="335">
        <v>0</v>
      </c>
      <c r="I368" s="335">
        <v>13</v>
      </c>
      <c r="J368" s="335">
        <v>71</v>
      </c>
      <c r="K368" s="335">
        <v>0</v>
      </c>
      <c r="L368" s="335">
        <v>98</v>
      </c>
      <c r="M368" s="335">
        <v>4</v>
      </c>
      <c r="N368" s="335">
        <v>0</v>
      </c>
      <c r="O368" s="335">
        <v>0</v>
      </c>
      <c r="P368" s="335">
        <v>0</v>
      </c>
      <c r="Q368" s="335">
        <v>0</v>
      </c>
      <c r="R368" s="335">
        <v>5</v>
      </c>
      <c r="S368" s="335">
        <v>19</v>
      </c>
      <c r="T368" s="335">
        <v>0</v>
      </c>
      <c r="U368" s="335">
        <v>28</v>
      </c>
      <c r="V368" s="335">
        <v>26</v>
      </c>
      <c r="W368" s="335">
        <v>28</v>
      </c>
      <c r="X368" s="335">
        <v>26</v>
      </c>
      <c r="Y368" s="381">
        <f t="shared" si="5"/>
        <v>108368</v>
      </c>
      <c r="Z368" s="335">
        <v>0</v>
      </c>
      <c r="AA368" s="335">
        <v>0</v>
      </c>
      <c r="AB368" s="335">
        <v>0</v>
      </c>
      <c r="AF368" s="394"/>
      <c r="AH368" s="366"/>
    </row>
    <row r="369" spans="1:34" ht="28.5">
      <c r="A369" s="366" t="s">
        <v>1018</v>
      </c>
      <c r="B369" s="196" t="s">
        <v>400</v>
      </c>
      <c r="C369" s="196" t="s">
        <v>86</v>
      </c>
      <c r="D369" s="335">
        <v>23</v>
      </c>
      <c r="E369" s="335">
        <v>0</v>
      </c>
      <c r="F369" s="335">
        <v>0</v>
      </c>
      <c r="G369" s="335">
        <v>0</v>
      </c>
      <c r="H369" s="335">
        <v>0</v>
      </c>
      <c r="I369" s="335">
        <v>16</v>
      </c>
      <c r="J369" s="335">
        <v>48</v>
      </c>
      <c r="K369" s="335">
        <v>0</v>
      </c>
      <c r="L369" s="335">
        <v>87</v>
      </c>
      <c r="M369" s="335">
        <v>4</v>
      </c>
      <c r="N369" s="335">
        <v>0</v>
      </c>
      <c r="O369" s="335">
        <v>0</v>
      </c>
      <c r="P369" s="335">
        <v>0</v>
      </c>
      <c r="Q369" s="335">
        <v>0</v>
      </c>
      <c r="R369" s="335">
        <v>3</v>
      </c>
      <c r="S369" s="335">
        <v>12</v>
      </c>
      <c r="T369" s="335">
        <v>0</v>
      </c>
      <c r="U369" s="335">
        <v>19</v>
      </c>
      <c r="V369" s="335">
        <v>17</v>
      </c>
      <c r="W369" s="335">
        <v>19</v>
      </c>
      <c r="X369" s="335">
        <v>17</v>
      </c>
      <c r="Y369" s="381">
        <f t="shared" si="5"/>
        <v>70856</v>
      </c>
      <c r="Z369" s="335">
        <v>0</v>
      </c>
      <c r="AA369" s="335">
        <v>0</v>
      </c>
      <c r="AB369" s="335">
        <v>0</v>
      </c>
      <c r="AF369" s="394"/>
      <c r="AH369" s="366"/>
    </row>
    <row r="370" spans="1:34" ht="28.5">
      <c r="A370" s="366" t="s">
        <v>1019</v>
      </c>
      <c r="B370" s="196" t="s">
        <v>401</v>
      </c>
      <c r="C370" s="196" t="s">
        <v>86</v>
      </c>
      <c r="D370" s="335">
        <v>0</v>
      </c>
      <c r="E370" s="335">
        <v>0</v>
      </c>
      <c r="F370" s="335">
        <v>0</v>
      </c>
      <c r="G370" s="335">
        <v>0</v>
      </c>
      <c r="H370" s="335">
        <v>0</v>
      </c>
      <c r="I370" s="335">
        <v>28</v>
      </c>
      <c r="J370" s="335">
        <v>164</v>
      </c>
      <c r="K370" s="335">
        <v>0</v>
      </c>
      <c r="L370" s="335">
        <v>192</v>
      </c>
      <c r="M370" s="335">
        <v>0</v>
      </c>
      <c r="N370" s="335">
        <v>0</v>
      </c>
      <c r="O370" s="335">
        <v>0</v>
      </c>
      <c r="P370" s="335">
        <v>0</v>
      </c>
      <c r="Q370" s="335">
        <v>0</v>
      </c>
      <c r="R370" s="335">
        <v>9</v>
      </c>
      <c r="S370" s="335">
        <v>25</v>
      </c>
      <c r="T370" s="335">
        <v>0</v>
      </c>
      <c r="U370" s="335">
        <v>34</v>
      </c>
      <c r="V370" s="335">
        <v>34</v>
      </c>
      <c r="W370" s="335">
        <v>34</v>
      </c>
      <c r="X370" s="335">
        <v>34</v>
      </c>
      <c r="Y370" s="381">
        <f t="shared" si="5"/>
        <v>141712</v>
      </c>
      <c r="Z370" s="335">
        <v>0</v>
      </c>
      <c r="AA370" s="335">
        <v>0</v>
      </c>
      <c r="AB370" s="335">
        <v>0</v>
      </c>
      <c r="AF370" s="394"/>
      <c r="AH370" s="366"/>
    </row>
    <row r="371" spans="1:34" ht="28.5">
      <c r="A371" s="366" t="s">
        <v>1020</v>
      </c>
      <c r="B371" s="196" t="s">
        <v>493</v>
      </c>
      <c r="C371" s="196" t="s">
        <v>86</v>
      </c>
      <c r="D371" s="335">
        <v>0</v>
      </c>
      <c r="E371" s="335">
        <v>18</v>
      </c>
      <c r="F371" s="335">
        <v>0</v>
      </c>
      <c r="G371" s="335">
        <v>0</v>
      </c>
      <c r="H371" s="335">
        <v>0</v>
      </c>
      <c r="I371" s="335">
        <v>16</v>
      </c>
      <c r="J371" s="335">
        <v>93</v>
      </c>
      <c r="K371" s="335">
        <v>0</v>
      </c>
      <c r="L371" s="335">
        <v>127</v>
      </c>
      <c r="M371" s="335">
        <v>0</v>
      </c>
      <c r="N371" s="335">
        <v>7</v>
      </c>
      <c r="O371" s="335">
        <v>0</v>
      </c>
      <c r="P371" s="335">
        <v>0</v>
      </c>
      <c r="Q371" s="335">
        <v>0</v>
      </c>
      <c r="R371" s="335">
        <v>11</v>
      </c>
      <c r="S371" s="335">
        <v>21</v>
      </c>
      <c r="T371" s="335">
        <v>0</v>
      </c>
      <c r="U371" s="335">
        <v>39</v>
      </c>
      <c r="V371" s="335">
        <v>36.2</v>
      </c>
      <c r="W371" s="335">
        <v>39</v>
      </c>
      <c r="X371" s="335">
        <v>36.2</v>
      </c>
      <c r="Y371" s="381">
        <f t="shared" si="5"/>
        <v>150881.6</v>
      </c>
      <c r="Z371" s="335">
        <v>0</v>
      </c>
      <c r="AA371" s="335">
        <v>0</v>
      </c>
      <c r="AB371" s="335">
        <v>0</v>
      </c>
      <c r="AF371" s="394"/>
      <c r="AH371" s="366"/>
    </row>
    <row r="372" spans="1:34" ht="28.5">
      <c r="A372" s="366" t="s">
        <v>1021</v>
      </c>
      <c r="B372" s="196" t="s">
        <v>308</v>
      </c>
      <c r="C372" s="196" t="s">
        <v>607</v>
      </c>
      <c r="D372" s="335">
        <v>52</v>
      </c>
      <c r="E372" s="335">
        <v>0</v>
      </c>
      <c r="F372" s="335">
        <v>0</v>
      </c>
      <c r="G372" s="335">
        <v>0</v>
      </c>
      <c r="H372" s="335">
        <v>0</v>
      </c>
      <c r="I372" s="335">
        <v>27</v>
      </c>
      <c r="J372" s="335">
        <v>202</v>
      </c>
      <c r="K372" s="335">
        <v>0</v>
      </c>
      <c r="L372" s="335">
        <v>281</v>
      </c>
      <c r="M372" s="335">
        <v>2</v>
      </c>
      <c r="N372" s="335">
        <v>0</v>
      </c>
      <c r="O372" s="335">
        <v>0</v>
      </c>
      <c r="P372" s="335">
        <v>0</v>
      </c>
      <c r="Q372" s="335">
        <v>0</v>
      </c>
      <c r="R372" s="335">
        <v>2</v>
      </c>
      <c r="S372" s="335">
        <v>7</v>
      </c>
      <c r="T372" s="335">
        <v>0</v>
      </c>
      <c r="U372" s="335">
        <v>11</v>
      </c>
      <c r="V372" s="335">
        <v>10</v>
      </c>
      <c r="W372" s="335">
        <v>11</v>
      </c>
      <c r="X372" s="335">
        <v>10</v>
      </c>
      <c r="Y372" s="381">
        <f t="shared" si="5"/>
        <v>41680</v>
      </c>
      <c r="Z372" s="335">
        <v>0</v>
      </c>
      <c r="AA372" s="335">
        <v>0</v>
      </c>
      <c r="AB372" s="335">
        <v>0</v>
      </c>
      <c r="AF372" s="394"/>
      <c r="AH372" s="366"/>
    </row>
    <row r="373" spans="1:34" ht="28.5">
      <c r="A373" s="366" t="s">
        <v>1022</v>
      </c>
      <c r="B373" s="196" t="s">
        <v>308</v>
      </c>
      <c r="C373" s="196" t="s">
        <v>86</v>
      </c>
      <c r="D373" s="335">
        <v>52</v>
      </c>
      <c r="E373" s="335">
        <v>0</v>
      </c>
      <c r="F373" s="335">
        <v>0</v>
      </c>
      <c r="G373" s="335">
        <v>0</v>
      </c>
      <c r="H373" s="335">
        <v>0</v>
      </c>
      <c r="I373" s="335">
        <v>27</v>
      </c>
      <c r="J373" s="335">
        <v>202</v>
      </c>
      <c r="K373" s="335">
        <v>0</v>
      </c>
      <c r="L373" s="335">
        <v>281</v>
      </c>
      <c r="M373" s="335">
        <v>7</v>
      </c>
      <c r="N373" s="335">
        <v>0</v>
      </c>
      <c r="O373" s="335">
        <v>0</v>
      </c>
      <c r="P373" s="335">
        <v>0</v>
      </c>
      <c r="Q373" s="335">
        <v>0</v>
      </c>
      <c r="R373" s="335">
        <v>4</v>
      </c>
      <c r="S373" s="335">
        <v>38</v>
      </c>
      <c r="T373" s="335">
        <v>0</v>
      </c>
      <c r="U373" s="335">
        <v>49</v>
      </c>
      <c r="V373" s="335">
        <v>45.5</v>
      </c>
      <c r="W373" s="335">
        <v>49</v>
      </c>
      <c r="X373" s="335">
        <v>45.5</v>
      </c>
      <c r="Y373" s="381">
        <f t="shared" si="5"/>
        <v>189644</v>
      </c>
      <c r="Z373" s="335">
        <v>0</v>
      </c>
      <c r="AA373" s="335">
        <v>0</v>
      </c>
      <c r="AB373" s="335">
        <v>0</v>
      </c>
      <c r="AF373" s="394"/>
      <c r="AH373" s="366"/>
    </row>
    <row r="374" spans="1:34" ht="28.5">
      <c r="A374" s="366" t="s">
        <v>1023</v>
      </c>
      <c r="B374" s="196" t="s">
        <v>228</v>
      </c>
      <c r="C374" s="196" t="s">
        <v>607</v>
      </c>
      <c r="D374" s="335">
        <v>14</v>
      </c>
      <c r="E374" s="335">
        <v>0</v>
      </c>
      <c r="F374" s="335">
        <v>0</v>
      </c>
      <c r="G374" s="335">
        <v>0</v>
      </c>
      <c r="H374" s="335">
        <v>0</v>
      </c>
      <c r="I374" s="335">
        <v>22</v>
      </c>
      <c r="J374" s="335">
        <v>106</v>
      </c>
      <c r="K374" s="335">
        <v>0</v>
      </c>
      <c r="L374" s="335">
        <v>142</v>
      </c>
      <c r="M374" s="335">
        <v>4</v>
      </c>
      <c r="N374" s="335">
        <v>0</v>
      </c>
      <c r="O374" s="335">
        <v>0</v>
      </c>
      <c r="P374" s="335">
        <v>0</v>
      </c>
      <c r="Q374" s="335">
        <v>0</v>
      </c>
      <c r="R374" s="335">
        <v>7</v>
      </c>
      <c r="S374" s="335">
        <v>41</v>
      </c>
      <c r="T374" s="335">
        <v>0</v>
      </c>
      <c r="U374" s="335">
        <v>52</v>
      </c>
      <c r="V374" s="335">
        <v>50</v>
      </c>
      <c r="W374" s="335">
        <v>52</v>
      </c>
      <c r="X374" s="335">
        <v>50</v>
      </c>
      <c r="Y374" s="381">
        <f t="shared" si="5"/>
        <v>208400</v>
      </c>
      <c r="Z374" s="335">
        <v>0</v>
      </c>
      <c r="AA374" s="335">
        <v>0</v>
      </c>
      <c r="AB374" s="335">
        <v>0</v>
      </c>
      <c r="AF374" s="394"/>
      <c r="AH374" s="366"/>
    </row>
    <row r="375" spans="1:34" ht="28.5">
      <c r="A375" s="366" t="s">
        <v>1024</v>
      </c>
      <c r="B375" s="196" t="s">
        <v>228</v>
      </c>
      <c r="C375" s="196" t="s">
        <v>86</v>
      </c>
      <c r="D375" s="335">
        <v>14</v>
      </c>
      <c r="E375" s="335">
        <v>0</v>
      </c>
      <c r="F375" s="335">
        <v>0</v>
      </c>
      <c r="G375" s="335">
        <v>0</v>
      </c>
      <c r="H375" s="335">
        <v>0</v>
      </c>
      <c r="I375" s="335">
        <v>22</v>
      </c>
      <c r="J375" s="335">
        <v>106</v>
      </c>
      <c r="K375" s="335">
        <v>0</v>
      </c>
      <c r="L375" s="335">
        <v>142</v>
      </c>
      <c r="M375" s="335">
        <v>2</v>
      </c>
      <c r="N375" s="335">
        <v>0</v>
      </c>
      <c r="O375" s="335">
        <v>0</v>
      </c>
      <c r="P375" s="335">
        <v>0</v>
      </c>
      <c r="Q375" s="335">
        <v>0</v>
      </c>
      <c r="R375" s="335">
        <v>4</v>
      </c>
      <c r="S375" s="335">
        <v>14</v>
      </c>
      <c r="T375" s="335">
        <v>0</v>
      </c>
      <c r="U375" s="335">
        <v>20</v>
      </c>
      <c r="V375" s="335">
        <v>19</v>
      </c>
      <c r="W375" s="335">
        <v>20</v>
      </c>
      <c r="X375" s="335">
        <v>19</v>
      </c>
      <c r="Y375" s="381">
        <f t="shared" si="5"/>
        <v>79192</v>
      </c>
      <c r="Z375" s="335">
        <v>0</v>
      </c>
      <c r="AA375" s="335">
        <v>0</v>
      </c>
      <c r="AB375" s="335">
        <v>0</v>
      </c>
      <c r="AF375" s="394"/>
      <c r="AH375" s="366"/>
    </row>
    <row r="376" spans="1:34" ht="28.5">
      <c r="A376" s="366" t="s">
        <v>1025</v>
      </c>
      <c r="B376" s="196" t="s">
        <v>402</v>
      </c>
      <c r="C376" s="196" t="s">
        <v>607</v>
      </c>
      <c r="D376" s="335">
        <v>0</v>
      </c>
      <c r="E376" s="335">
        <v>13</v>
      </c>
      <c r="F376" s="335">
        <v>0</v>
      </c>
      <c r="G376" s="335">
        <v>0</v>
      </c>
      <c r="H376" s="335">
        <v>0</v>
      </c>
      <c r="I376" s="335">
        <v>15</v>
      </c>
      <c r="J376" s="335">
        <v>89</v>
      </c>
      <c r="K376" s="335">
        <v>0</v>
      </c>
      <c r="L376" s="335">
        <v>117</v>
      </c>
      <c r="M376" s="335">
        <v>0</v>
      </c>
      <c r="N376" s="335">
        <v>13</v>
      </c>
      <c r="O376" s="335">
        <v>0</v>
      </c>
      <c r="P376" s="335">
        <v>0</v>
      </c>
      <c r="Q376" s="335">
        <v>0</v>
      </c>
      <c r="R376" s="335">
        <v>15</v>
      </c>
      <c r="S376" s="335">
        <v>89</v>
      </c>
      <c r="T376" s="335">
        <v>0</v>
      </c>
      <c r="U376" s="335">
        <v>117</v>
      </c>
      <c r="V376" s="335">
        <v>111.8</v>
      </c>
      <c r="W376" s="335">
        <v>117</v>
      </c>
      <c r="X376" s="335">
        <v>111.8</v>
      </c>
      <c r="Y376" s="381">
        <f t="shared" si="5"/>
        <v>465982.39999999997</v>
      </c>
      <c r="Z376" s="335">
        <v>0</v>
      </c>
      <c r="AA376" s="335">
        <v>0</v>
      </c>
      <c r="AB376" s="335">
        <v>0</v>
      </c>
      <c r="AF376" s="394"/>
      <c r="AH376" s="366"/>
    </row>
    <row r="377" spans="1:34" ht="28.5">
      <c r="A377" s="366" t="s">
        <v>1026</v>
      </c>
      <c r="B377" s="196" t="s">
        <v>402</v>
      </c>
      <c r="C377" s="196" t="s">
        <v>86</v>
      </c>
      <c r="D377" s="335">
        <v>0</v>
      </c>
      <c r="E377" s="335">
        <v>13</v>
      </c>
      <c r="F377" s="335">
        <v>0</v>
      </c>
      <c r="G377" s="335">
        <v>0</v>
      </c>
      <c r="H377" s="335">
        <v>0</v>
      </c>
      <c r="I377" s="335">
        <v>15</v>
      </c>
      <c r="J377" s="335">
        <v>89</v>
      </c>
      <c r="K377" s="335">
        <v>0</v>
      </c>
      <c r="L377" s="335">
        <v>117</v>
      </c>
      <c r="M377" s="335"/>
      <c r="N377" s="335"/>
      <c r="O377" s="335"/>
      <c r="P377" s="335"/>
      <c r="Q377" s="335"/>
      <c r="R377" s="335"/>
      <c r="S377" s="335"/>
      <c r="T377" s="335"/>
      <c r="U377" s="335"/>
      <c r="V377" s="335"/>
      <c r="W377" s="335"/>
      <c r="X377" s="335"/>
      <c r="Y377" s="381">
        <f t="shared" si="5"/>
        <v>0</v>
      </c>
      <c r="Z377" s="335">
        <v>0</v>
      </c>
      <c r="AA377" s="335">
        <v>0</v>
      </c>
      <c r="AB377" s="335">
        <v>0</v>
      </c>
      <c r="AF377" s="394"/>
      <c r="AH377" s="366"/>
    </row>
    <row r="378" spans="1:34" ht="14.25">
      <c r="A378" s="366" t="s">
        <v>1027</v>
      </c>
      <c r="B378" s="196" t="s">
        <v>182</v>
      </c>
      <c r="C378" s="196" t="s">
        <v>86</v>
      </c>
      <c r="D378" s="335">
        <v>44</v>
      </c>
      <c r="E378" s="335">
        <v>0</v>
      </c>
      <c r="F378" s="335">
        <v>0</v>
      </c>
      <c r="G378" s="335">
        <v>0</v>
      </c>
      <c r="H378" s="335">
        <v>0</v>
      </c>
      <c r="I378" s="335">
        <v>42</v>
      </c>
      <c r="J378" s="335">
        <v>206</v>
      </c>
      <c r="K378" s="335">
        <v>0</v>
      </c>
      <c r="L378" s="335">
        <v>292</v>
      </c>
      <c r="M378" s="335">
        <v>0</v>
      </c>
      <c r="N378" s="335">
        <v>0</v>
      </c>
      <c r="O378" s="335">
        <v>0</v>
      </c>
      <c r="P378" s="335">
        <v>0</v>
      </c>
      <c r="Q378" s="335">
        <v>0</v>
      </c>
      <c r="R378" s="335">
        <v>15</v>
      </c>
      <c r="S378" s="335">
        <v>41</v>
      </c>
      <c r="T378" s="335">
        <v>0</v>
      </c>
      <c r="U378" s="335">
        <v>56</v>
      </c>
      <c r="V378" s="335">
        <v>56</v>
      </c>
      <c r="W378" s="335">
        <v>56</v>
      </c>
      <c r="X378" s="335">
        <v>56</v>
      </c>
      <c r="Y378" s="381">
        <f t="shared" si="5"/>
        <v>233408</v>
      </c>
      <c r="Z378" s="335">
        <v>0</v>
      </c>
      <c r="AA378" s="335">
        <v>0</v>
      </c>
      <c r="AB378" s="335">
        <v>0</v>
      </c>
      <c r="AF378" s="394"/>
      <c r="AH378" s="366"/>
    </row>
    <row r="379" spans="1:34" ht="28.5">
      <c r="A379" s="366" t="s">
        <v>1028</v>
      </c>
      <c r="B379" s="196" t="s">
        <v>494</v>
      </c>
      <c r="C379" s="196" t="s">
        <v>86</v>
      </c>
      <c r="D379" s="335">
        <v>12</v>
      </c>
      <c r="E379" s="335">
        <v>0</v>
      </c>
      <c r="F379" s="335">
        <v>0</v>
      </c>
      <c r="G379" s="335">
        <v>0</v>
      </c>
      <c r="H379" s="335">
        <v>0</v>
      </c>
      <c r="I379" s="335">
        <v>6</v>
      </c>
      <c r="J379" s="335">
        <v>35</v>
      </c>
      <c r="K379" s="335">
        <v>0</v>
      </c>
      <c r="L379" s="335">
        <v>53</v>
      </c>
      <c r="M379" s="335">
        <v>4</v>
      </c>
      <c r="N379" s="335">
        <v>0</v>
      </c>
      <c r="O379" s="335">
        <v>0</v>
      </c>
      <c r="P379" s="335">
        <v>0</v>
      </c>
      <c r="Q379" s="335">
        <v>0</v>
      </c>
      <c r="R379" s="335">
        <v>2</v>
      </c>
      <c r="S379" s="335">
        <v>14</v>
      </c>
      <c r="T379" s="335">
        <v>0</v>
      </c>
      <c r="U379" s="335">
        <v>20</v>
      </c>
      <c r="V379" s="335">
        <v>18</v>
      </c>
      <c r="W379" s="335">
        <v>20</v>
      </c>
      <c r="X379" s="335">
        <v>18</v>
      </c>
      <c r="Y379" s="381">
        <f t="shared" si="5"/>
        <v>75024</v>
      </c>
      <c r="Z379" s="335">
        <v>0</v>
      </c>
      <c r="AA379" s="335">
        <v>0</v>
      </c>
      <c r="AB379" s="335">
        <v>0</v>
      </c>
      <c r="AF379" s="394"/>
      <c r="AH379" s="366"/>
    </row>
    <row r="380" spans="1:34" ht="14.25">
      <c r="A380" s="366" t="s">
        <v>1029</v>
      </c>
      <c r="B380" s="196" t="s">
        <v>495</v>
      </c>
      <c r="C380" s="196" t="s">
        <v>86</v>
      </c>
      <c r="D380" s="335">
        <v>3</v>
      </c>
      <c r="E380" s="335">
        <v>0</v>
      </c>
      <c r="F380" s="335">
        <v>0</v>
      </c>
      <c r="G380" s="335">
        <v>0</v>
      </c>
      <c r="H380" s="335">
        <v>0</v>
      </c>
      <c r="I380" s="335">
        <v>2</v>
      </c>
      <c r="J380" s="335">
        <v>18</v>
      </c>
      <c r="K380" s="335">
        <v>0</v>
      </c>
      <c r="L380" s="335">
        <v>23</v>
      </c>
      <c r="M380" s="335">
        <v>0</v>
      </c>
      <c r="N380" s="335">
        <v>0</v>
      </c>
      <c r="O380" s="335">
        <v>0</v>
      </c>
      <c r="P380" s="335">
        <v>0</v>
      </c>
      <c r="Q380" s="335">
        <v>0</v>
      </c>
      <c r="R380" s="335">
        <v>1</v>
      </c>
      <c r="S380" s="335">
        <v>5</v>
      </c>
      <c r="T380" s="335">
        <v>0</v>
      </c>
      <c r="U380" s="335">
        <v>6</v>
      </c>
      <c r="V380" s="335">
        <v>6</v>
      </c>
      <c r="W380" s="335">
        <v>6</v>
      </c>
      <c r="X380" s="335">
        <v>6</v>
      </c>
      <c r="Y380" s="381">
        <f t="shared" si="5"/>
        <v>25008</v>
      </c>
      <c r="Z380" s="335">
        <v>0</v>
      </c>
      <c r="AA380" s="335">
        <v>0</v>
      </c>
      <c r="AB380" s="335">
        <v>0</v>
      </c>
      <c r="AF380" s="394"/>
      <c r="AH380" s="366"/>
    </row>
    <row r="381" spans="1:34" ht="28.5">
      <c r="A381" s="366" t="s">
        <v>1030</v>
      </c>
      <c r="B381" s="196" t="s">
        <v>279</v>
      </c>
      <c r="C381" s="196" t="s">
        <v>86</v>
      </c>
      <c r="D381" s="335">
        <v>18</v>
      </c>
      <c r="E381" s="335">
        <v>0</v>
      </c>
      <c r="F381" s="335">
        <v>0</v>
      </c>
      <c r="G381" s="335">
        <v>0</v>
      </c>
      <c r="H381" s="335">
        <v>0</v>
      </c>
      <c r="I381" s="335">
        <v>19</v>
      </c>
      <c r="J381" s="335">
        <v>130</v>
      </c>
      <c r="K381" s="335">
        <v>0</v>
      </c>
      <c r="L381" s="335">
        <v>167</v>
      </c>
      <c r="M381" s="335">
        <v>7</v>
      </c>
      <c r="N381" s="335">
        <v>0</v>
      </c>
      <c r="O381" s="335">
        <v>0</v>
      </c>
      <c r="P381" s="335">
        <v>0</v>
      </c>
      <c r="Q381" s="335">
        <v>0</v>
      </c>
      <c r="R381" s="335">
        <v>10</v>
      </c>
      <c r="S381" s="335">
        <v>26</v>
      </c>
      <c r="T381" s="335">
        <v>0</v>
      </c>
      <c r="U381" s="335">
        <v>43</v>
      </c>
      <c r="V381" s="335">
        <v>39.5</v>
      </c>
      <c r="W381" s="335">
        <v>43</v>
      </c>
      <c r="X381" s="335">
        <v>39.5</v>
      </c>
      <c r="Y381" s="381">
        <f t="shared" si="5"/>
        <v>164636</v>
      </c>
      <c r="Z381" s="335">
        <v>0</v>
      </c>
      <c r="AA381" s="335">
        <v>0</v>
      </c>
      <c r="AB381" s="335">
        <v>0</v>
      </c>
      <c r="AF381" s="394"/>
      <c r="AH381" s="366"/>
    </row>
    <row r="382" spans="1:34" ht="28.5">
      <c r="A382" s="366" t="s">
        <v>1031</v>
      </c>
      <c r="B382" s="196" t="s">
        <v>229</v>
      </c>
      <c r="C382" s="196" t="s">
        <v>607</v>
      </c>
      <c r="D382" s="335">
        <v>9</v>
      </c>
      <c r="E382" s="335">
        <v>0</v>
      </c>
      <c r="F382" s="335">
        <v>0</v>
      </c>
      <c r="G382" s="335">
        <v>0</v>
      </c>
      <c r="H382" s="335">
        <v>0</v>
      </c>
      <c r="I382" s="335">
        <v>4</v>
      </c>
      <c r="J382" s="335">
        <v>83</v>
      </c>
      <c r="K382" s="335">
        <v>0</v>
      </c>
      <c r="L382" s="335">
        <v>96</v>
      </c>
      <c r="M382" s="335">
        <v>9</v>
      </c>
      <c r="N382" s="335">
        <v>0</v>
      </c>
      <c r="O382" s="335">
        <v>0</v>
      </c>
      <c r="P382" s="335">
        <v>0</v>
      </c>
      <c r="Q382" s="335">
        <v>0</v>
      </c>
      <c r="R382" s="335">
        <v>3</v>
      </c>
      <c r="S382" s="335">
        <v>82</v>
      </c>
      <c r="T382" s="335">
        <v>0</v>
      </c>
      <c r="U382" s="335">
        <v>94</v>
      </c>
      <c r="V382" s="335">
        <v>89.5</v>
      </c>
      <c r="W382" s="335">
        <v>94</v>
      </c>
      <c r="X382" s="335">
        <v>89.5</v>
      </c>
      <c r="Y382" s="381">
        <f t="shared" si="5"/>
        <v>373036</v>
      </c>
      <c r="Z382" s="335">
        <v>0</v>
      </c>
      <c r="AA382" s="335">
        <v>0</v>
      </c>
      <c r="AB382" s="335">
        <v>0</v>
      </c>
      <c r="AF382" s="394"/>
      <c r="AH382" s="366"/>
    </row>
    <row r="383" spans="1:34" ht="14.25">
      <c r="A383" s="366" t="s">
        <v>1032</v>
      </c>
      <c r="B383" s="196" t="s">
        <v>229</v>
      </c>
      <c r="C383" s="196" t="s">
        <v>86</v>
      </c>
      <c r="D383" s="335">
        <v>9</v>
      </c>
      <c r="E383" s="335">
        <v>0</v>
      </c>
      <c r="F383" s="335">
        <v>0</v>
      </c>
      <c r="G383" s="335">
        <v>0</v>
      </c>
      <c r="H383" s="335">
        <v>0</v>
      </c>
      <c r="I383" s="335">
        <v>4</v>
      </c>
      <c r="J383" s="335">
        <v>83</v>
      </c>
      <c r="K383" s="335">
        <v>0</v>
      </c>
      <c r="L383" s="335">
        <v>96</v>
      </c>
      <c r="M383" s="335">
        <v>0</v>
      </c>
      <c r="N383" s="335">
        <v>0</v>
      </c>
      <c r="O383" s="335">
        <v>0</v>
      </c>
      <c r="P383" s="335">
        <v>0</v>
      </c>
      <c r="Q383" s="335">
        <v>0</v>
      </c>
      <c r="R383" s="335">
        <v>1</v>
      </c>
      <c r="S383" s="335">
        <v>1</v>
      </c>
      <c r="T383" s="335">
        <v>0</v>
      </c>
      <c r="U383" s="335">
        <v>2</v>
      </c>
      <c r="V383" s="335">
        <v>2</v>
      </c>
      <c r="W383" s="335">
        <v>2</v>
      </c>
      <c r="X383" s="335">
        <v>2</v>
      </c>
      <c r="Y383" s="381">
        <f t="shared" si="5"/>
        <v>8336</v>
      </c>
      <c r="Z383" s="335">
        <v>0</v>
      </c>
      <c r="AA383" s="335">
        <v>0</v>
      </c>
      <c r="AB383" s="335">
        <v>0</v>
      </c>
      <c r="AF383" s="394"/>
      <c r="AH383" s="366"/>
    </row>
    <row r="384" spans="1:34" ht="28.5">
      <c r="A384" s="366" t="s">
        <v>1033</v>
      </c>
      <c r="B384" s="196" t="s">
        <v>230</v>
      </c>
      <c r="C384" s="196" t="s">
        <v>607</v>
      </c>
      <c r="D384" s="335">
        <v>0</v>
      </c>
      <c r="E384" s="335">
        <v>16</v>
      </c>
      <c r="F384" s="335">
        <v>0</v>
      </c>
      <c r="G384" s="335">
        <v>0</v>
      </c>
      <c r="H384" s="335">
        <v>0</v>
      </c>
      <c r="I384" s="335">
        <v>29</v>
      </c>
      <c r="J384" s="335">
        <v>278</v>
      </c>
      <c r="K384" s="335">
        <v>0</v>
      </c>
      <c r="L384" s="335">
        <v>323</v>
      </c>
      <c r="M384" s="335">
        <v>0</v>
      </c>
      <c r="N384" s="335">
        <v>14</v>
      </c>
      <c r="O384" s="335">
        <v>0</v>
      </c>
      <c r="P384" s="335">
        <v>0</v>
      </c>
      <c r="Q384" s="335">
        <v>0</v>
      </c>
      <c r="R384" s="335">
        <v>27</v>
      </c>
      <c r="S384" s="335">
        <v>256</v>
      </c>
      <c r="T384" s="335">
        <v>0</v>
      </c>
      <c r="U384" s="335">
        <v>297</v>
      </c>
      <c r="V384" s="335">
        <v>291.4</v>
      </c>
      <c r="W384" s="335">
        <v>297</v>
      </c>
      <c r="X384" s="335">
        <v>291.4</v>
      </c>
      <c r="Y384" s="381">
        <f t="shared" si="5"/>
        <v>1214555.2</v>
      </c>
      <c r="Z384" s="335">
        <v>0</v>
      </c>
      <c r="AA384" s="335">
        <v>0</v>
      </c>
      <c r="AB384" s="335">
        <v>0</v>
      </c>
      <c r="AF384" s="394"/>
      <c r="AH384" s="366"/>
    </row>
    <row r="385" spans="1:34" ht="14.25">
      <c r="A385" s="366" t="s">
        <v>1034</v>
      </c>
      <c r="B385" s="196" t="s">
        <v>230</v>
      </c>
      <c r="C385" s="196" t="s">
        <v>86</v>
      </c>
      <c r="D385" s="335">
        <v>0</v>
      </c>
      <c r="E385" s="335">
        <v>16</v>
      </c>
      <c r="F385" s="335">
        <v>0</v>
      </c>
      <c r="G385" s="335">
        <v>0</v>
      </c>
      <c r="H385" s="335">
        <v>0</v>
      </c>
      <c r="I385" s="335">
        <v>29</v>
      </c>
      <c r="J385" s="335">
        <v>278</v>
      </c>
      <c r="K385" s="335">
        <v>0</v>
      </c>
      <c r="L385" s="335">
        <v>323</v>
      </c>
      <c r="M385" s="335">
        <v>0</v>
      </c>
      <c r="N385" s="335">
        <v>1</v>
      </c>
      <c r="O385" s="335">
        <v>0</v>
      </c>
      <c r="P385" s="335">
        <v>0</v>
      </c>
      <c r="Q385" s="335">
        <v>0</v>
      </c>
      <c r="R385" s="335">
        <v>1</v>
      </c>
      <c r="S385" s="335">
        <v>13</v>
      </c>
      <c r="T385" s="335">
        <v>0</v>
      </c>
      <c r="U385" s="335">
        <v>15</v>
      </c>
      <c r="V385" s="335">
        <v>14.6</v>
      </c>
      <c r="W385" s="335">
        <v>15</v>
      </c>
      <c r="X385" s="335">
        <v>14.6</v>
      </c>
      <c r="Y385" s="381">
        <f t="shared" si="5"/>
        <v>60852.799999999996</v>
      </c>
      <c r="Z385" s="335">
        <v>0</v>
      </c>
      <c r="AA385" s="335">
        <v>0</v>
      </c>
      <c r="AB385" s="335">
        <v>0</v>
      </c>
      <c r="AF385" s="394"/>
      <c r="AH385" s="366"/>
    </row>
    <row r="386" spans="1:34" ht="28.5">
      <c r="A386" s="366" t="s">
        <v>1035</v>
      </c>
      <c r="B386" s="196" t="s">
        <v>231</v>
      </c>
      <c r="C386" s="196" t="s">
        <v>607</v>
      </c>
      <c r="D386" s="335">
        <v>0</v>
      </c>
      <c r="E386" s="335">
        <v>32</v>
      </c>
      <c r="F386" s="335">
        <v>0</v>
      </c>
      <c r="G386" s="335">
        <v>0</v>
      </c>
      <c r="H386" s="335">
        <v>0</v>
      </c>
      <c r="I386" s="335">
        <v>27</v>
      </c>
      <c r="J386" s="335">
        <v>283</v>
      </c>
      <c r="K386" s="335">
        <v>0</v>
      </c>
      <c r="L386" s="335">
        <v>342</v>
      </c>
      <c r="M386" s="335">
        <v>0</v>
      </c>
      <c r="N386" s="335">
        <v>28</v>
      </c>
      <c r="O386" s="335">
        <v>0</v>
      </c>
      <c r="P386" s="335">
        <v>0</v>
      </c>
      <c r="Q386" s="335">
        <v>0</v>
      </c>
      <c r="R386" s="335">
        <v>25</v>
      </c>
      <c r="S386" s="335">
        <v>249</v>
      </c>
      <c r="T386" s="335">
        <v>0</v>
      </c>
      <c r="U386" s="335">
        <v>302</v>
      </c>
      <c r="V386" s="335">
        <v>290.8</v>
      </c>
      <c r="W386" s="335">
        <v>302</v>
      </c>
      <c r="X386" s="335">
        <v>290.8</v>
      </c>
      <c r="Y386" s="381">
        <f t="shared" si="5"/>
        <v>1212054.4000000001</v>
      </c>
      <c r="Z386" s="335">
        <v>0</v>
      </c>
      <c r="AA386" s="335">
        <v>0</v>
      </c>
      <c r="AB386" s="335">
        <v>0</v>
      </c>
      <c r="AF386" s="394"/>
      <c r="AH386" s="366"/>
    </row>
    <row r="387" spans="1:34" ht="14.25">
      <c r="A387" s="366" t="s">
        <v>1036</v>
      </c>
      <c r="B387" s="196" t="s">
        <v>231</v>
      </c>
      <c r="C387" s="196" t="s">
        <v>86</v>
      </c>
      <c r="D387" s="335">
        <v>0</v>
      </c>
      <c r="E387" s="335">
        <v>32</v>
      </c>
      <c r="F387" s="335">
        <v>0</v>
      </c>
      <c r="G387" s="335">
        <v>0</v>
      </c>
      <c r="H387" s="335">
        <v>0</v>
      </c>
      <c r="I387" s="335">
        <v>27</v>
      </c>
      <c r="J387" s="335">
        <v>283</v>
      </c>
      <c r="K387" s="335">
        <v>0</v>
      </c>
      <c r="L387" s="335">
        <v>342</v>
      </c>
      <c r="M387" s="335">
        <v>0</v>
      </c>
      <c r="N387" s="335">
        <v>1</v>
      </c>
      <c r="O387" s="335">
        <v>0</v>
      </c>
      <c r="P387" s="335">
        <v>0</v>
      </c>
      <c r="Q387" s="335">
        <v>0</v>
      </c>
      <c r="R387" s="335">
        <v>2</v>
      </c>
      <c r="S387" s="335">
        <v>20</v>
      </c>
      <c r="T387" s="335">
        <v>0</v>
      </c>
      <c r="U387" s="335">
        <v>23</v>
      </c>
      <c r="V387" s="335">
        <v>22.6</v>
      </c>
      <c r="W387" s="335">
        <v>23</v>
      </c>
      <c r="X387" s="335">
        <v>22.6</v>
      </c>
      <c r="Y387" s="381">
        <f t="shared" si="5"/>
        <v>94196.8</v>
      </c>
      <c r="Z387" s="335">
        <v>0</v>
      </c>
      <c r="AA387" s="335">
        <v>0</v>
      </c>
      <c r="AB387" s="335">
        <v>0</v>
      </c>
      <c r="AF387" s="394"/>
      <c r="AH387" s="366"/>
    </row>
    <row r="388" spans="1:34" ht="14.25">
      <c r="A388" s="366" t="s">
        <v>1037</v>
      </c>
      <c r="B388" s="196" t="s">
        <v>403</v>
      </c>
      <c r="C388" s="196" t="s">
        <v>86</v>
      </c>
      <c r="D388" s="335">
        <v>2</v>
      </c>
      <c r="E388" s="335">
        <v>0</v>
      </c>
      <c r="F388" s="335">
        <v>0</v>
      </c>
      <c r="G388" s="335">
        <v>0</v>
      </c>
      <c r="H388" s="335">
        <v>0</v>
      </c>
      <c r="I388" s="335">
        <v>3</v>
      </c>
      <c r="J388" s="335">
        <v>23</v>
      </c>
      <c r="K388" s="335">
        <v>0</v>
      </c>
      <c r="L388" s="335">
        <v>28</v>
      </c>
      <c r="M388" s="335">
        <v>0</v>
      </c>
      <c r="N388" s="335">
        <v>0</v>
      </c>
      <c r="O388" s="335">
        <v>0</v>
      </c>
      <c r="P388" s="335">
        <v>0</v>
      </c>
      <c r="Q388" s="335">
        <v>0</v>
      </c>
      <c r="R388" s="335">
        <v>2</v>
      </c>
      <c r="S388" s="335">
        <v>8</v>
      </c>
      <c r="T388" s="335">
        <v>0</v>
      </c>
      <c r="U388" s="335">
        <v>10</v>
      </c>
      <c r="V388" s="335">
        <v>10</v>
      </c>
      <c r="W388" s="335">
        <v>10</v>
      </c>
      <c r="X388" s="335">
        <v>10</v>
      </c>
      <c r="Y388" s="381">
        <f t="shared" si="5"/>
        <v>41680</v>
      </c>
      <c r="Z388" s="335">
        <v>0</v>
      </c>
      <c r="AA388" s="335">
        <v>0</v>
      </c>
      <c r="AB388" s="335">
        <v>0</v>
      </c>
      <c r="AF388" s="394"/>
      <c r="AH388" s="366"/>
    </row>
    <row r="389" spans="1:34" ht="28.5">
      <c r="A389" s="366" t="s">
        <v>1038</v>
      </c>
      <c r="B389" s="196" t="s">
        <v>232</v>
      </c>
      <c r="C389" s="196" t="s">
        <v>607</v>
      </c>
      <c r="D389" s="335">
        <v>23</v>
      </c>
      <c r="E389" s="335">
        <v>0</v>
      </c>
      <c r="F389" s="335">
        <v>0</v>
      </c>
      <c r="G389" s="335">
        <v>0</v>
      </c>
      <c r="H389" s="335">
        <v>0</v>
      </c>
      <c r="I389" s="335">
        <v>35</v>
      </c>
      <c r="J389" s="335">
        <v>262</v>
      </c>
      <c r="K389" s="335">
        <v>0</v>
      </c>
      <c r="L389" s="335">
        <v>320</v>
      </c>
      <c r="M389" s="335">
        <v>14</v>
      </c>
      <c r="N389" s="335">
        <v>0</v>
      </c>
      <c r="O389" s="335">
        <v>0</v>
      </c>
      <c r="P389" s="335">
        <v>0</v>
      </c>
      <c r="Q389" s="335">
        <v>0</v>
      </c>
      <c r="R389" s="335">
        <v>25</v>
      </c>
      <c r="S389" s="335">
        <v>167</v>
      </c>
      <c r="T389" s="335">
        <v>0</v>
      </c>
      <c r="U389" s="335">
        <v>206</v>
      </c>
      <c r="V389" s="335">
        <v>199</v>
      </c>
      <c r="W389" s="335">
        <v>206</v>
      </c>
      <c r="X389" s="335">
        <v>199</v>
      </c>
      <c r="Y389" s="381">
        <f aca="true" t="shared" si="6" ref="Y389:Y452">((T389*CY_9_12_Pmt)+(X389*CY_K_8_Pmt))/2</f>
        <v>829432</v>
      </c>
      <c r="Z389" s="335">
        <v>9</v>
      </c>
      <c r="AA389" s="335">
        <v>0</v>
      </c>
      <c r="AB389" s="335">
        <v>0</v>
      </c>
      <c r="AF389" s="394"/>
      <c r="AH389" s="366"/>
    </row>
    <row r="390" spans="1:34" ht="14.25">
      <c r="A390" s="366" t="s">
        <v>1039</v>
      </c>
      <c r="B390" s="196" t="s">
        <v>232</v>
      </c>
      <c r="C390" s="196" t="s">
        <v>86</v>
      </c>
      <c r="D390" s="335">
        <v>23</v>
      </c>
      <c r="E390" s="335">
        <v>0</v>
      </c>
      <c r="F390" s="335">
        <v>0</v>
      </c>
      <c r="G390" s="335">
        <v>0</v>
      </c>
      <c r="H390" s="335">
        <v>0</v>
      </c>
      <c r="I390" s="335">
        <v>35</v>
      </c>
      <c r="J390" s="335">
        <v>262</v>
      </c>
      <c r="K390" s="335">
        <v>0</v>
      </c>
      <c r="L390" s="335">
        <v>320</v>
      </c>
      <c r="M390" s="335">
        <v>0</v>
      </c>
      <c r="N390" s="335">
        <v>0</v>
      </c>
      <c r="O390" s="335">
        <v>0</v>
      </c>
      <c r="P390" s="335">
        <v>0</v>
      </c>
      <c r="Q390" s="335">
        <v>0</v>
      </c>
      <c r="R390" s="335">
        <v>0</v>
      </c>
      <c r="S390" s="335">
        <v>8</v>
      </c>
      <c r="T390" s="335">
        <v>0</v>
      </c>
      <c r="U390" s="335">
        <v>8</v>
      </c>
      <c r="V390" s="335">
        <v>8</v>
      </c>
      <c r="W390" s="335">
        <v>8</v>
      </c>
      <c r="X390" s="335">
        <v>8</v>
      </c>
      <c r="Y390" s="381">
        <f t="shared" si="6"/>
        <v>33344</v>
      </c>
      <c r="Z390" s="335">
        <v>0</v>
      </c>
      <c r="AA390" s="335">
        <v>0</v>
      </c>
      <c r="AB390" s="335">
        <v>0</v>
      </c>
      <c r="AF390" s="394"/>
      <c r="AH390" s="366"/>
    </row>
    <row r="391" spans="1:34" ht="14.25">
      <c r="A391" s="366" t="s">
        <v>1040</v>
      </c>
      <c r="B391" s="196" t="s">
        <v>404</v>
      </c>
      <c r="C391" s="196" t="s">
        <v>86</v>
      </c>
      <c r="D391" s="335">
        <v>13</v>
      </c>
      <c r="E391" s="335">
        <v>0</v>
      </c>
      <c r="F391" s="335">
        <v>0</v>
      </c>
      <c r="G391" s="335">
        <v>0</v>
      </c>
      <c r="H391" s="335">
        <v>0</v>
      </c>
      <c r="I391" s="335">
        <v>6</v>
      </c>
      <c r="J391" s="335">
        <v>53</v>
      </c>
      <c r="K391" s="335">
        <v>0</v>
      </c>
      <c r="L391" s="335">
        <v>72</v>
      </c>
      <c r="M391" s="335">
        <v>3</v>
      </c>
      <c r="N391" s="335">
        <v>0</v>
      </c>
      <c r="O391" s="335">
        <v>0</v>
      </c>
      <c r="P391" s="335">
        <v>0</v>
      </c>
      <c r="Q391" s="335">
        <v>0</v>
      </c>
      <c r="R391" s="335">
        <v>3</v>
      </c>
      <c r="S391" s="335">
        <v>5</v>
      </c>
      <c r="T391" s="335">
        <v>0</v>
      </c>
      <c r="U391" s="335">
        <v>11</v>
      </c>
      <c r="V391" s="335">
        <v>9.5</v>
      </c>
      <c r="W391" s="335">
        <v>11</v>
      </c>
      <c r="X391" s="335">
        <v>9.5</v>
      </c>
      <c r="Y391" s="381">
        <f t="shared" si="6"/>
        <v>39596</v>
      </c>
      <c r="Z391" s="335">
        <v>0</v>
      </c>
      <c r="AA391" s="335">
        <v>0</v>
      </c>
      <c r="AB391" s="335">
        <v>0</v>
      </c>
      <c r="AF391" s="394"/>
      <c r="AH391" s="366"/>
    </row>
    <row r="392" spans="1:34" ht="28.5">
      <c r="A392" s="366" t="s">
        <v>1041</v>
      </c>
      <c r="B392" s="196" t="s">
        <v>280</v>
      </c>
      <c r="C392" s="196" t="s">
        <v>86</v>
      </c>
      <c r="D392" s="335">
        <v>12</v>
      </c>
      <c r="E392" s="335">
        <v>0</v>
      </c>
      <c r="F392" s="335">
        <v>0</v>
      </c>
      <c r="G392" s="335">
        <v>0</v>
      </c>
      <c r="H392" s="335">
        <v>0</v>
      </c>
      <c r="I392" s="335">
        <v>15</v>
      </c>
      <c r="J392" s="335">
        <v>90</v>
      </c>
      <c r="K392" s="335">
        <v>37</v>
      </c>
      <c r="L392" s="335">
        <v>154</v>
      </c>
      <c r="M392" s="335">
        <v>4</v>
      </c>
      <c r="N392" s="335">
        <v>0</v>
      </c>
      <c r="O392" s="335">
        <v>0</v>
      </c>
      <c r="P392" s="335">
        <v>0</v>
      </c>
      <c r="Q392" s="335">
        <v>0</v>
      </c>
      <c r="R392" s="335">
        <v>8</v>
      </c>
      <c r="S392" s="335">
        <v>30</v>
      </c>
      <c r="T392" s="335">
        <v>11</v>
      </c>
      <c r="U392" s="335">
        <v>53</v>
      </c>
      <c r="V392" s="335">
        <v>51</v>
      </c>
      <c r="W392" s="335">
        <v>42</v>
      </c>
      <c r="X392" s="335">
        <v>40</v>
      </c>
      <c r="Y392" s="381">
        <f t="shared" si="6"/>
        <v>216121</v>
      </c>
      <c r="Z392" s="335">
        <v>0</v>
      </c>
      <c r="AA392" s="335">
        <v>0</v>
      </c>
      <c r="AB392" s="335">
        <v>0</v>
      </c>
      <c r="AF392" s="394"/>
      <c r="AH392" s="366"/>
    </row>
    <row r="393" spans="1:34" ht="28.5">
      <c r="A393" s="366" t="s">
        <v>1042</v>
      </c>
      <c r="B393" s="196" t="s">
        <v>233</v>
      </c>
      <c r="C393" s="196" t="s">
        <v>607</v>
      </c>
      <c r="D393" s="335">
        <v>0</v>
      </c>
      <c r="E393" s="335">
        <v>17</v>
      </c>
      <c r="F393" s="335">
        <v>0</v>
      </c>
      <c r="G393" s="335">
        <v>0</v>
      </c>
      <c r="H393" s="335">
        <v>0</v>
      </c>
      <c r="I393" s="335">
        <v>19</v>
      </c>
      <c r="J393" s="335">
        <v>180</v>
      </c>
      <c r="K393" s="335">
        <v>0</v>
      </c>
      <c r="L393" s="335">
        <v>216</v>
      </c>
      <c r="M393" s="335">
        <v>0</v>
      </c>
      <c r="N393" s="335">
        <v>8</v>
      </c>
      <c r="O393" s="335">
        <v>0</v>
      </c>
      <c r="P393" s="335">
        <v>0</v>
      </c>
      <c r="Q393" s="335">
        <v>0</v>
      </c>
      <c r="R393" s="335">
        <v>10</v>
      </c>
      <c r="S393" s="335">
        <v>98</v>
      </c>
      <c r="T393" s="335">
        <v>0</v>
      </c>
      <c r="U393" s="335">
        <v>116</v>
      </c>
      <c r="V393" s="335">
        <v>112.8</v>
      </c>
      <c r="W393" s="335">
        <v>116</v>
      </c>
      <c r="X393" s="335">
        <v>112.8</v>
      </c>
      <c r="Y393" s="381">
        <f t="shared" si="6"/>
        <v>470150.39999999997</v>
      </c>
      <c r="Z393" s="335">
        <v>0</v>
      </c>
      <c r="AA393" s="335">
        <v>0</v>
      </c>
      <c r="AB393" s="335">
        <v>0</v>
      </c>
      <c r="AF393" s="394"/>
      <c r="AH393" s="366"/>
    </row>
    <row r="394" spans="1:34" ht="28.5">
      <c r="A394" s="366" t="s">
        <v>1043</v>
      </c>
      <c r="B394" s="196" t="s">
        <v>233</v>
      </c>
      <c r="C394" s="196" t="s">
        <v>86</v>
      </c>
      <c r="D394" s="335">
        <v>0</v>
      </c>
      <c r="E394" s="335">
        <v>17</v>
      </c>
      <c r="F394" s="335">
        <v>0</v>
      </c>
      <c r="G394" s="335">
        <v>0</v>
      </c>
      <c r="H394" s="335">
        <v>0</v>
      </c>
      <c r="I394" s="335">
        <v>19</v>
      </c>
      <c r="J394" s="335">
        <v>180</v>
      </c>
      <c r="K394" s="335">
        <v>0</v>
      </c>
      <c r="L394" s="335">
        <v>216</v>
      </c>
      <c r="M394" s="335">
        <v>0</v>
      </c>
      <c r="N394" s="335">
        <v>2</v>
      </c>
      <c r="O394" s="335">
        <v>0</v>
      </c>
      <c r="P394" s="335">
        <v>0</v>
      </c>
      <c r="Q394" s="335">
        <v>0</v>
      </c>
      <c r="R394" s="335">
        <v>4</v>
      </c>
      <c r="S394" s="335">
        <v>17</v>
      </c>
      <c r="T394" s="335">
        <v>0</v>
      </c>
      <c r="U394" s="335">
        <v>23</v>
      </c>
      <c r="V394" s="335">
        <v>22.2</v>
      </c>
      <c r="W394" s="335">
        <v>23</v>
      </c>
      <c r="X394" s="335">
        <v>22.2</v>
      </c>
      <c r="Y394" s="381">
        <f t="shared" si="6"/>
        <v>92529.59999999999</v>
      </c>
      <c r="Z394" s="335">
        <v>0</v>
      </c>
      <c r="AA394" s="335">
        <v>0</v>
      </c>
      <c r="AB394" s="335">
        <v>0</v>
      </c>
      <c r="AF394" s="394"/>
      <c r="AH394" s="366"/>
    </row>
    <row r="395" spans="1:34" ht="28.5">
      <c r="A395" s="366" t="s">
        <v>1044</v>
      </c>
      <c r="B395" s="196" t="s">
        <v>234</v>
      </c>
      <c r="C395" s="196" t="s">
        <v>607</v>
      </c>
      <c r="D395" s="335">
        <v>0</v>
      </c>
      <c r="E395" s="335">
        <v>0</v>
      </c>
      <c r="F395" s="335">
        <v>0</v>
      </c>
      <c r="G395" s="335">
        <v>0</v>
      </c>
      <c r="H395" s="335">
        <v>0</v>
      </c>
      <c r="I395" s="335">
        <v>0</v>
      </c>
      <c r="J395" s="335">
        <v>0</v>
      </c>
      <c r="K395" s="335">
        <v>528</v>
      </c>
      <c r="L395" s="335">
        <v>528</v>
      </c>
      <c r="M395" s="335">
        <v>0</v>
      </c>
      <c r="N395" s="335">
        <v>0</v>
      </c>
      <c r="O395" s="335">
        <v>0</v>
      </c>
      <c r="P395" s="335">
        <v>0</v>
      </c>
      <c r="Q395" s="335">
        <v>0</v>
      </c>
      <c r="R395" s="335">
        <v>0</v>
      </c>
      <c r="S395" s="335">
        <v>0</v>
      </c>
      <c r="T395" s="335">
        <v>241</v>
      </c>
      <c r="U395" s="335">
        <v>241</v>
      </c>
      <c r="V395" s="335">
        <v>241</v>
      </c>
      <c r="W395" s="335">
        <v>0</v>
      </c>
      <c r="X395" s="335">
        <v>0</v>
      </c>
      <c r="Y395" s="381">
        <f t="shared" si="6"/>
        <v>1082331</v>
      </c>
      <c r="Z395" s="335">
        <v>105</v>
      </c>
      <c r="AA395" s="335">
        <v>0</v>
      </c>
      <c r="AB395" s="335">
        <v>0</v>
      </c>
      <c r="AF395" s="394"/>
      <c r="AH395" s="366"/>
    </row>
    <row r="396" spans="1:34" ht="14.25">
      <c r="A396" s="366" t="s">
        <v>1045</v>
      </c>
      <c r="B396" s="196" t="s">
        <v>234</v>
      </c>
      <c r="C396" s="196" t="s">
        <v>86</v>
      </c>
      <c r="D396" s="335">
        <v>0</v>
      </c>
      <c r="E396" s="335">
        <v>0</v>
      </c>
      <c r="F396" s="335">
        <v>0</v>
      </c>
      <c r="G396" s="335">
        <v>0</v>
      </c>
      <c r="H396" s="335">
        <v>0</v>
      </c>
      <c r="I396" s="335">
        <v>0</v>
      </c>
      <c r="J396" s="335">
        <v>0</v>
      </c>
      <c r="K396" s="335">
        <v>528</v>
      </c>
      <c r="L396" s="335">
        <v>528</v>
      </c>
      <c r="M396" s="335">
        <v>0</v>
      </c>
      <c r="N396" s="335">
        <v>0</v>
      </c>
      <c r="O396" s="335">
        <v>0</v>
      </c>
      <c r="P396" s="335">
        <v>0</v>
      </c>
      <c r="Q396" s="335">
        <v>0</v>
      </c>
      <c r="R396" s="335">
        <v>0</v>
      </c>
      <c r="S396" s="335">
        <v>0</v>
      </c>
      <c r="T396" s="335">
        <v>29</v>
      </c>
      <c r="U396" s="335">
        <v>29</v>
      </c>
      <c r="V396" s="335">
        <v>29</v>
      </c>
      <c r="W396" s="335">
        <v>0</v>
      </c>
      <c r="X396" s="335">
        <v>0</v>
      </c>
      <c r="Y396" s="381">
        <f t="shared" si="6"/>
        <v>130239</v>
      </c>
      <c r="Z396" s="335">
        <v>0</v>
      </c>
      <c r="AA396" s="335">
        <v>0</v>
      </c>
      <c r="AB396" s="335">
        <v>0</v>
      </c>
      <c r="AF396" s="394"/>
      <c r="AH396" s="366"/>
    </row>
    <row r="397" spans="1:34" ht="28.5">
      <c r="A397" s="366" t="s">
        <v>1046</v>
      </c>
      <c r="B397" s="196" t="s">
        <v>235</v>
      </c>
      <c r="C397" s="196" t="s">
        <v>607</v>
      </c>
      <c r="D397" s="335">
        <v>0</v>
      </c>
      <c r="E397" s="335">
        <v>12</v>
      </c>
      <c r="F397" s="335">
        <v>0</v>
      </c>
      <c r="G397" s="335">
        <v>0</v>
      </c>
      <c r="H397" s="335">
        <v>0</v>
      </c>
      <c r="I397" s="335">
        <v>16</v>
      </c>
      <c r="J397" s="335">
        <v>138</v>
      </c>
      <c r="K397" s="335">
        <v>0</v>
      </c>
      <c r="L397" s="335">
        <v>166</v>
      </c>
      <c r="M397" s="335">
        <v>0</v>
      </c>
      <c r="N397" s="335">
        <v>11</v>
      </c>
      <c r="O397" s="335">
        <v>0</v>
      </c>
      <c r="P397" s="335">
        <v>0</v>
      </c>
      <c r="Q397" s="335">
        <v>0</v>
      </c>
      <c r="R397" s="335">
        <v>12</v>
      </c>
      <c r="S397" s="335">
        <v>124</v>
      </c>
      <c r="T397" s="335">
        <v>0</v>
      </c>
      <c r="U397" s="335">
        <v>147</v>
      </c>
      <c r="V397" s="335">
        <v>142.6</v>
      </c>
      <c r="W397" s="335">
        <v>147</v>
      </c>
      <c r="X397" s="335">
        <v>142.6</v>
      </c>
      <c r="Y397" s="381">
        <f t="shared" si="6"/>
        <v>594356.7999999999</v>
      </c>
      <c r="Z397" s="335">
        <v>0</v>
      </c>
      <c r="AA397" s="335">
        <v>0</v>
      </c>
      <c r="AB397" s="335">
        <v>0</v>
      </c>
      <c r="AF397" s="394"/>
      <c r="AH397" s="366"/>
    </row>
    <row r="398" spans="1:34" ht="14.25">
      <c r="A398" s="366" t="s">
        <v>1047</v>
      </c>
      <c r="B398" s="196" t="s">
        <v>235</v>
      </c>
      <c r="C398" s="196" t="s">
        <v>86</v>
      </c>
      <c r="D398" s="335">
        <v>0</v>
      </c>
      <c r="E398" s="335">
        <v>12</v>
      </c>
      <c r="F398" s="335">
        <v>0</v>
      </c>
      <c r="G398" s="335">
        <v>0</v>
      </c>
      <c r="H398" s="335">
        <v>0</v>
      </c>
      <c r="I398" s="335">
        <v>16</v>
      </c>
      <c r="J398" s="335">
        <v>138</v>
      </c>
      <c r="K398" s="335">
        <v>0</v>
      </c>
      <c r="L398" s="335">
        <v>166</v>
      </c>
      <c r="M398" s="335">
        <v>0</v>
      </c>
      <c r="N398" s="335">
        <v>0</v>
      </c>
      <c r="O398" s="335">
        <v>0</v>
      </c>
      <c r="P398" s="335">
        <v>0</v>
      </c>
      <c r="Q398" s="335">
        <v>0</v>
      </c>
      <c r="R398" s="335">
        <v>3</v>
      </c>
      <c r="S398" s="335">
        <v>5</v>
      </c>
      <c r="T398" s="335">
        <v>0</v>
      </c>
      <c r="U398" s="335">
        <v>8</v>
      </c>
      <c r="V398" s="335">
        <v>8</v>
      </c>
      <c r="W398" s="335">
        <v>8</v>
      </c>
      <c r="X398" s="335">
        <v>8</v>
      </c>
      <c r="Y398" s="381">
        <f t="shared" si="6"/>
        <v>33344</v>
      </c>
      <c r="Z398" s="335">
        <v>0</v>
      </c>
      <c r="AA398" s="335">
        <v>0</v>
      </c>
      <c r="AB398" s="335">
        <v>0</v>
      </c>
      <c r="AF398" s="394"/>
      <c r="AH398" s="366"/>
    </row>
    <row r="399" spans="1:34" ht="28.5">
      <c r="A399" s="366" t="s">
        <v>1048</v>
      </c>
      <c r="B399" s="196" t="s">
        <v>137</v>
      </c>
      <c r="C399" s="196" t="s">
        <v>607</v>
      </c>
      <c r="D399" s="335">
        <v>88</v>
      </c>
      <c r="E399" s="335">
        <v>0</v>
      </c>
      <c r="F399" s="335">
        <v>0</v>
      </c>
      <c r="G399" s="335">
        <v>0</v>
      </c>
      <c r="H399" s="335">
        <v>0</v>
      </c>
      <c r="I399" s="335">
        <v>76</v>
      </c>
      <c r="J399" s="335">
        <v>540</v>
      </c>
      <c r="K399" s="335">
        <v>176</v>
      </c>
      <c r="L399" s="335">
        <v>880</v>
      </c>
      <c r="M399" s="335">
        <v>80</v>
      </c>
      <c r="N399" s="335">
        <v>0</v>
      </c>
      <c r="O399" s="335">
        <v>0</v>
      </c>
      <c r="P399" s="335">
        <v>0</v>
      </c>
      <c r="Q399" s="335">
        <v>0</v>
      </c>
      <c r="R399" s="335">
        <v>66</v>
      </c>
      <c r="S399" s="335">
        <v>470</v>
      </c>
      <c r="T399" s="335">
        <v>145</v>
      </c>
      <c r="U399" s="335">
        <v>761</v>
      </c>
      <c r="V399" s="335">
        <v>721</v>
      </c>
      <c r="W399" s="335">
        <v>616</v>
      </c>
      <c r="X399" s="335">
        <v>576</v>
      </c>
      <c r="Y399" s="381">
        <f t="shared" si="6"/>
        <v>3051963</v>
      </c>
      <c r="Z399" s="335">
        <v>0</v>
      </c>
      <c r="AA399" s="335">
        <v>0</v>
      </c>
      <c r="AB399" s="335">
        <v>0</v>
      </c>
      <c r="AF399" s="394"/>
      <c r="AH399" s="366"/>
    </row>
    <row r="400" spans="1:34" ht="14.25">
      <c r="A400" s="366" t="s">
        <v>1049</v>
      </c>
      <c r="B400" s="196" t="s">
        <v>137</v>
      </c>
      <c r="C400" s="196" t="s">
        <v>86</v>
      </c>
      <c r="D400" s="335">
        <v>88</v>
      </c>
      <c r="E400" s="335">
        <v>0</v>
      </c>
      <c r="F400" s="335">
        <v>0</v>
      </c>
      <c r="G400" s="335">
        <v>0</v>
      </c>
      <c r="H400" s="335">
        <v>0</v>
      </c>
      <c r="I400" s="335">
        <v>76</v>
      </c>
      <c r="J400" s="335">
        <v>540</v>
      </c>
      <c r="K400" s="335">
        <v>176</v>
      </c>
      <c r="L400" s="335">
        <v>880</v>
      </c>
      <c r="M400" s="335">
        <v>2</v>
      </c>
      <c r="N400" s="335">
        <v>0</v>
      </c>
      <c r="O400" s="335">
        <v>0</v>
      </c>
      <c r="P400" s="335">
        <v>0</v>
      </c>
      <c r="Q400" s="335">
        <v>0</v>
      </c>
      <c r="R400" s="335">
        <v>3</v>
      </c>
      <c r="S400" s="335">
        <v>24</v>
      </c>
      <c r="T400" s="335">
        <v>7</v>
      </c>
      <c r="U400" s="335">
        <v>36</v>
      </c>
      <c r="V400" s="335">
        <v>35</v>
      </c>
      <c r="W400" s="335">
        <v>29</v>
      </c>
      <c r="X400" s="335">
        <v>28</v>
      </c>
      <c r="Y400" s="381">
        <f t="shared" si="6"/>
        <v>148141</v>
      </c>
      <c r="Z400" s="335">
        <v>0</v>
      </c>
      <c r="AA400" s="335">
        <v>0</v>
      </c>
      <c r="AB400" s="335">
        <v>0</v>
      </c>
      <c r="AF400" s="394"/>
      <c r="AH400" s="366"/>
    </row>
    <row r="401" spans="1:34" ht="28.5">
      <c r="A401" s="366" t="s">
        <v>1050</v>
      </c>
      <c r="B401" s="196" t="s">
        <v>236</v>
      </c>
      <c r="C401" s="196" t="s">
        <v>607</v>
      </c>
      <c r="D401" s="335">
        <v>0</v>
      </c>
      <c r="E401" s="335">
        <v>17</v>
      </c>
      <c r="F401" s="335">
        <v>0</v>
      </c>
      <c r="G401" s="335">
        <v>0</v>
      </c>
      <c r="H401" s="335">
        <v>0</v>
      </c>
      <c r="I401" s="335">
        <v>19</v>
      </c>
      <c r="J401" s="335">
        <v>135</v>
      </c>
      <c r="K401" s="335">
        <v>0</v>
      </c>
      <c r="L401" s="335">
        <v>171</v>
      </c>
      <c r="M401" s="335">
        <v>0</v>
      </c>
      <c r="N401" s="335">
        <v>14</v>
      </c>
      <c r="O401" s="335">
        <v>0</v>
      </c>
      <c r="P401" s="335">
        <v>0</v>
      </c>
      <c r="Q401" s="335">
        <v>0</v>
      </c>
      <c r="R401" s="335">
        <v>18</v>
      </c>
      <c r="S401" s="335">
        <v>122</v>
      </c>
      <c r="T401" s="335">
        <v>0</v>
      </c>
      <c r="U401" s="335">
        <v>154</v>
      </c>
      <c r="V401" s="335">
        <v>148.4</v>
      </c>
      <c r="W401" s="335">
        <v>154</v>
      </c>
      <c r="X401" s="335">
        <v>148.4</v>
      </c>
      <c r="Y401" s="381">
        <f t="shared" si="6"/>
        <v>618531.2000000001</v>
      </c>
      <c r="Z401" s="335">
        <v>1</v>
      </c>
      <c r="AA401" s="335">
        <v>0</v>
      </c>
      <c r="AB401" s="335">
        <v>0</v>
      </c>
      <c r="AF401" s="394"/>
      <c r="AH401" s="366"/>
    </row>
    <row r="402" spans="1:34" ht="14.25">
      <c r="A402" s="366" t="s">
        <v>1051</v>
      </c>
      <c r="B402" s="196" t="s">
        <v>236</v>
      </c>
      <c r="C402" s="196" t="s">
        <v>86</v>
      </c>
      <c r="D402" s="335">
        <v>0</v>
      </c>
      <c r="E402" s="335">
        <v>17</v>
      </c>
      <c r="F402" s="335">
        <v>0</v>
      </c>
      <c r="G402" s="335">
        <v>0</v>
      </c>
      <c r="H402" s="335">
        <v>0</v>
      </c>
      <c r="I402" s="335">
        <v>19</v>
      </c>
      <c r="J402" s="335">
        <v>135</v>
      </c>
      <c r="K402" s="335">
        <v>0</v>
      </c>
      <c r="L402" s="335">
        <v>171</v>
      </c>
      <c r="M402" s="335">
        <v>0</v>
      </c>
      <c r="N402" s="335">
        <v>2</v>
      </c>
      <c r="O402" s="335">
        <v>0</v>
      </c>
      <c r="P402" s="335">
        <v>0</v>
      </c>
      <c r="Q402" s="335">
        <v>0</v>
      </c>
      <c r="R402" s="335">
        <v>1</v>
      </c>
      <c r="S402" s="335">
        <v>9</v>
      </c>
      <c r="T402" s="335">
        <v>0</v>
      </c>
      <c r="U402" s="335">
        <v>12</v>
      </c>
      <c r="V402" s="335">
        <v>11.2</v>
      </c>
      <c r="W402" s="335">
        <v>12</v>
      </c>
      <c r="X402" s="335">
        <v>11.2</v>
      </c>
      <c r="Y402" s="381">
        <f t="shared" si="6"/>
        <v>46681.6</v>
      </c>
      <c r="Z402" s="335">
        <v>0</v>
      </c>
      <c r="AA402" s="335">
        <v>0</v>
      </c>
      <c r="AB402" s="335">
        <v>0</v>
      </c>
      <c r="AF402" s="394"/>
      <c r="AH402" s="366"/>
    </row>
    <row r="403" spans="1:34" ht="14.25">
      <c r="A403" s="366" t="s">
        <v>1052</v>
      </c>
      <c r="B403" s="196" t="s">
        <v>138</v>
      </c>
      <c r="C403" s="196" t="s">
        <v>86</v>
      </c>
      <c r="D403" s="335">
        <v>0</v>
      </c>
      <c r="E403" s="335">
        <v>0</v>
      </c>
      <c r="F403" s="335">
        <v>0</v>
      </c>
      <c r="G403" s="335">
        <v>0</v>
      </c>
      <c r="H403" s="335">
        <v>0</v>
      </c>
      <c r="I403" s="335">
        <v>0</v>
      </c>
      <c r="J403" s="335">
        <v>0</v>
      </c>
      <c r="K403" s="335">
        <v>222</v>
      </c>
      <c r="L403" s="335">
        <v>222</v>
      </c>
      <c r="M403" s="335">
        <v>0</v>
      </c>
      <c r="N403" s="335">
        <v>0</v>
      </c>
      <c r="O403" s="335">
        <v>0</v>
      </c>
      <c r="P403" s="335">
        <v>0</v>
      </c>
      <c r="Q403" s="335">
        <v>0</v>
      </c>
      <c r="R403" s="335">
        <v>0</v>
      </c>
      <c r="S403" s="335">
        <v>0</v>
      </c>
      <c r="T403" s="335">
        <v>91</v>
      </c>
      <c r="U403" s="335">
        <v>91</v>
      </c>
      <c r="V403" s="335">
        <v>91</v>
      </c>
      <c r="W403" s="335">
        <v>0</v>
      </c>
      <c r="X403" s="335">
        <v>0</v>
      </c>
      <c r="Y403" s="381">
        <f t="shared" si="6"/>
        <v>408681</v>
      </c>
      <c r="Z403" s="335">
        <v>0</v>
      </c>
      <c r="AA403" s="335">
        <v>0</v>
      </c>
      <c r="AB403" s="335">
        <v>0</v>
      </c>
      <c r="AF403" s="394"/>
      <c r="AH403" s="366"/>
    </row>
    <row r="404" spans="1:34" ht="14.25">
      <c r="A404" s="366" t="s">
        <v>1053</v>
      </c>
      <c r="B404" s="196" t="s">
        <v>139</v>
      </c>
      <c r="C404" s="196" t="s">
        <v>86</v>
      </c>
      <c r="D404" s="335">
        <v>31</v>
      </c>
      <c r="E404" s="335">
        <v>0</v>
      </c>
      <c r="F404" s="335">
        <v>1</v>
      </c>
      <c r="G404" s="335">
        <v>0</v>
      </c>
      <c r="H404" s="335">
        <v>0</v>
      </c>
      <c r="I404" s="335">
        <v>35</v>
      </c>
      <c r="J404" s="335">
        <v>231</v>
      </c>
      <c r="K404" s="335">
        <v>98</v>
      </c>
      <c r="L404" s="335">
        <v>396</v>
      </c>
      <c r="M404" s="335">
        <v>14</v>
      </c>
      <c r="N404" s="335">
        <v>0</v>
      </c>
      <c r="O404" s="335">
        <v>0</v>
      </c>
      <c r="P404" s="335">
        <v>0</v>
      </c>
      <c r="Q404" s="335">
        <v>0</v>
      </c>
      <c r="R404" s="335">
        <v>22</v>
      </c>
      <c r="S404" s="335">
        <v>99</v>
      </c>
      <c r="T404" s="335">
        <v>36</v>
      </c>
      <c r="U404" s="335">
        <v>171</v>
      </c>
      <c r="V404" s="335">
        <v>164</v>
      </c>
      <c r="W404" s="335">
        <v>135</v>
      </c>
      <c r="X404" s="335">
        <v>128</v>
      </c>
      <c r="Y404" s="381">
        <f t="shared" si="6"/>
        <v>695180</v>
      </c>
      <c r="Z404" s="335">
        <v>0</v>
      </c>
      <c r="AA404" s="335">
        <v>0</v>
      </c>
      <c r="AB404" s="335">
        <v>0</v>
      </c>
      <c r="AF404" s="394"/>
      <c r="AH404" s="366"/>
    </row>
    <row r="405" spans="1:34" ht="28.5">
      <c r="A405" s="366" t="s">
        <v>1054</v>
      </c>
      <c r="B405" s="196" t="s">
        <v>543</v>
      </c>
      <c r="C405" s="196" t="s">
        <v>86</v>
      </c>
      <c r="D405" s="335">
        <v>0</v>
      </c>
      <c r="E405" s="335">
        <v>0</v>
      </c>
      <c r="F405" s="335">
        <v>0</v>
      </c>
      <c r="G405" s="335">
        <v>0</v>
      </c>
      <c r="H405" s="335">
        <v>0</v>
      </c>
      <c r="I405" s="335">
        <v>7</v>
      </c>
      <c r="J405" s="335">
        <v>94</v>
      </c>
      <c r="K405" s="335">
        <v>0</v>
      </c>
      <c r="L405" s="335">
        <v>101</v>
      </c>
      <c r="M405" s="335">
        <v>0</v>
      </c>
      <c r="N405" s="335">
        <v>0</v>
      </c>
      <c r="O405" s="335">
        <v>0</v>
      </c>
      <c r="P405" s="335">
        <v>0</v>
      </c>
      <c r="Q405" s="335">
        <v>0</v>
      </c>
      <c r="R405" s="335">
        <v>1</v>
      </c>
      <c r="S405" s="335">
        <v>45</v>
      </c>
      <c r="T405" s="335">
        <v>0</v>
      </c>
      <c r="U405" s="335">
        <v>46</v>
      </c>
      <c r="V405" s="335">
        <v>46</v>
      </c>
      <c r="W405" s="335">
        <v>46</v>
      </c>
      <c r="X405" s="335">
        <v>46</v>
      </c>
      <c r="Y405" s="381">
        <f t="shared" si="6"/>
        <v>191728</v>
      </c>
      <c r="Z405" s="335">
        <v>0</v>
      </c>
      <c r="AA405" s="335">
        <v>0</v>
      </c>
      <c r="AB405" s="335">
        <v>0</v>
      </c>
      <c r="AF405" s="394"/>
      <c r="AH405" s="366"/>
    </row>
    <row r="406" spans="1:34" ht="28.5">
      <c r="A406" s="366" t="s">
        <v>1055</v>
      </c>
      <c r="B406" s="196" t="s">
        <v>140</v>
      </c>
      <c r="C406" s="196" t="s">
        <v>607</v>
      </c>
      <c r="D406" s="335">
        <v>43</v>
      </c>
      <c r="E406" s="335">
        <v>0</v>
      </c>
      <c r="F406" s="335">
        <v>0</v>
      </c>
      <c r="G406" s="335">
        <v>0</v>
      </c>
      <c r="H406" s="335">
        <v>0</v>
      </c>
      <c r="I406" s="335">
        <v>37</v>
      </c>
      <c r="J406" s="335">
        <v>468</v>
      </c>
      <c r="K406" s="335">
        <v>0</v>
      </c>
      <c r="L406" s="335">
        <v>548</v>
      </c>
      <c r="M406" s="335">
        <v>43</v>
      </c>
      <c r="N406" s="335">
        <v>0</v>
      </c>
      <c r="O406" s="335">
        <v>0</v>
      </c>
      <c r="P406" s="335">
        <v>0</v>
      </c>
      <c r="Q406" s="335">
        <v>0</v>
      </c>
      <c r="R406" s="335">
        <v>36</v>
      </c>
      <c r="S406" s="335">
        <v>463</v>
      </c>
      <c r="T406" s="335">
        <v>0</v>
      </c>
      <c r="U406" s="335">
        <v>542</v>
      </c>
      <c r="V406" s="335">
        <v>520.5</v>
      </c>
      <c r="W406" s="335">
        <v>542</v>
      </c>
      <c r="X406" s="335">
        <v>520.5</v>
      </c>
      <c r="Y406" s="381">
        <f t="shared" si="6"/>
        <v>2169444</v>
      </c>
      <c r="Z406" s="335">
        <v>0</v>
      </c>
      <c r="AA406" s="335">
        <v>0</v>
      </c>
      <c r="AB406" s="335">
        <v>0</v>
      </c>
      <c r="AF406" s="394"/>
      <c r="AH406" s="366"/>
    </row>
    <row r="407" spans="1:34" ht="14.25">
      <c r="A407" s="366" t="s">
        <v>1056</v>
      </c>
      <c r="B407" s="196" t="s">
        <v>140</v>
      </c>
      <c r="C407" s="196" t="s">
        <v>608</v>
      </c>
      <c r="D407" s="335">
        <v>43</v>
      </c>
      <c r="E407" s="335">
        <v>0</v>
      </c>
      <c r="F407" s="335">
        <v>0</v>
      </c>
      <c r="G407" s="335">
        <v>0</v>
      </c>
      <c r="H407" s="335">
        <v>0</v>
      </c>
      <c r="I407" s="335">
        <v>37</v>
      </c>
      <c r="J407" s="335">
        <v>468</v>
      </c>
      <c r="K407" s="335">
        <v>0</v>
      </c>
      <c r="L407" s="335">
        <v>548</v>
      </c>
      <c r="M407" s="335"/>
      <c r="N407" s="335"/>
      <c r="O407" s="335"/>
      <c r="P407" s="335"/>
      <c r="Q407" s="335"/>
      <c r="R407" s="335"/>
      <c r="S407" s="335"/>
      <c r="T407" s="335"/>
      <c r="U407" s="335"/>
      <c r="V407" s="335"/>
      <c r="W407" s="335"/>
      <c r="X407" s="335"/>
      <c r="Y407" s="381">
        <f t="shared" si="6"/>
        <v>0</v>
      </c>
      <c r="Z407" s="335">
        <v>0</v>
      </c>
      <c r="AA407" s="335">
        <v>0</v>
      </c>
      <c r="AB407" s="335">
        <v>0</v>
      </c>
      <c r="AF407" s="394"/>
      <c r="AH407" s="366"/>
    </row>
    <row r="408" spans="1:34" ht="14.25">
      <c r="A408" s="366" t="s">
        <v>1057</v>
      </c>
      <c r="B408" s="196" t="s">
        <v>140</v>
      </c>
      <c r="C408" s="196" t="s">
        <v>86</v>
      </c>
      <c r="D408" s="335">
        <v>43</v>
      </c>
      <c r="E408" s="335">
        <v>0</v>
      </c>
      <c r="F408" s="335">
        <v>0</v>
      </c>
      <c r="G408" s="335">
        <v>0</v>
      </c>
      <c r="H408" s="335">
        <v>0</v>
      </c>
      <c r="I408" s="335">
        <v>37</v>
      </c>
      <c r="J408" s="335">
        <v>468</v>
      </c>
      <c r="K408" s="335">
        <v>0</v>
      </c>
      <c r="L408" s="335">
        <v>548</v>
      </c>
      <c r="M408" s="335">
        <v>0</v>
      </c>
      <c r="N408" s="335">
        <v>0</v>
      </c>
      <c r="O408" s="335">
        <v>0</v>
      </c>
      <c r="P408" s="335">
        <v>0</v>
      </c>
      <c r="Q408" s="335">
        <v>0</v>
      </c>
      <c r="R408" s="335">
        <v>0</v>
      </c>
      <c r="S408" s="335">
        <v>4</v>
      </c>
      <c r="T408" s="335">
        <v>0</v>
      </c>
      <c r="U408" s="335">
        <v>4</v>
      </c>
      <c r="V408" s="335">
        <v>4</v>
      </c>
      <c r="W408" s="335">
        <v>4</v>
      </c>
      <c r="X408" s="335">
        <v>4</v>
      </c>
      <c r="Y408" s="381">
        <f t="shared" si="6"/>
        <v>16672</v>
      </c>
      <c r="Z408" s="335">
        <v>0</v>
      </c>
      <c r="AA408" s="335">
        <v>0</v>
      </c>
      <c r="AB408" s="335">
        <v>0</v>
      </c>
      <c r="AF408" s="394"/>
      <c r="AH408" s="366"/>
    </row>
    <row r="409" spans="1:34" ht="28.5">
      <c r="A409" s="366" t="s">
        <v>1058</v>
      </c>
      <c r="B409" s="196" t="s">
        <v>183</v>
      </c>
      <c r="C409" s="196" t="s">
        <v>607</v>
      </c>
      <c r="D409" s="335">
        <v>0</v>
      </c>
      <c r="E409" s="335">
        <v>0</v>
      </c>
      <c r="F409" s="335">
        <v>0</v>
      </c>
      <c r="G409" s="335">
        <v>0</v>
      </c>
      <c r="H409" s="335">
        <v>0</v>
      </c>
      <c r="I409" s="335">
        <v>0</v>
      </c>
      <c r="J409" s="335">
        <v>0</v>
      </c>
      <c r="K409" s="335">
        <v>356</v>
      </c>
      <c r="L409" s="335">
        <v>356</v>
      </c>
      <c r="M409" s="335"/>
      <c r="N409" s="335"/>
      <c r="O409" s="335"/>
      <c r="P409" s="335"/>
      <c r="Q409" s="335"/>
      <c r="R409" s="335"/>
      <c r="S409" s="335"/>
      <c r="T409" s="335"/>
      <c r="U409" s="335"/>
      <c r="V409" s="335"/>
      <c r="W409" s="335"/>
      <c r="X409" s="335"/>
      <c r="Y409" s="381">
        <f t="shared" si="6"/>
        <v>0</v>
      </c>
      <c r="Z409" s="335">
        <v>0</v>
      </c>
      <c r="AA409" s="335">
        <v>0</v>
      </c>
      <c r="AB409" s="335">
        <v>0</v>
      </c>
      <c r="AF409" s="394"/>
      <c r="AH409" s="366"/>
    </row>
    <row r="410" spans="1:34" ht="14.25">
      <c r="A410" s="366" t="s">
        <v>1059</v>
      </c>
      <c r="B410" s="196" t="s">
        <v>183</v>
      </c>
      <c r="C410" s="196" t="s">
        <v>608</v>
      </c>
      <c r="D410" s="335">
        <v>0</v>
      </c>
      <c r="E410" s="335">
        <v>0</v>
      </c>
      <c r="F410" s="335">
        <v>0</v>
      </c>
      <c r="G410" s="335">
        <v>0</v>
      </c>
      <c r="H410" s="335">
        <v>0</v>
      </c>
      <c r="I410" s="335">
        <v>0</v>
      </c>
      <c r="J410" s="335">
        <v>0</v>
      </c>
      <c r="K410" s="335">
        <v>356</v>
      </c>
      <c r="L410" s="335">
        <v>356</v>
      </c>
      <c r="M410" s="335">
        <v>0</v>
      </c>
      <c r="N410" s="335">
        <v>0</v>
      </c>
      <c r="O410" s="335">
        <v>0</v>
      </c>
      <c r="P410" s="335">
        <v>0</v>
      </c>
      <c r="Q410" s="335">
        <v>0</v>
      </c>
      <c r="R410" s="335">
        <v>0</v>
      </c>
      <c r="S410" s="335">
        <v>0</v>
      </c>
      <c r="T410" s="335">
        <v>169</v>
      </c>
      <c r="U410" s="335">
        <v>169</v>
      </c>
      <c r="V410" s="335">
        <v>169</v>
      </c>
      <c r="W410" s="335">
        <v>0</v>
      </c>
      <c r="X410" s="335">
        <v>0</v>
      </c>
      <c r="Y410" s="381">
        <f t="shared" si="6"/>
        <v>758979</v>
      </c>
      <c r="Z410" s="335">
        <v>0</v>
      </c>
      <c r="AA410" s="335">
        <v>0</v>
      </c>
      <c r="AB410" s="335">
        <v>0</v>
      </c>
      <c r="AF410" s="394"/>
      <c r="AH410" s="366"/>
    </row>
    <row r="411" spans="1:34" ht="14.25">
      <c r="A411" s="366" t="s">
        <v>1060</v>
      </c>
      <c r="B411" s="196" t="s">
        <v>183</v>
      </c>
      <c r="C411" s="196" t="s">
        <v>86</v>
      </c>
      <c r="D411" s="335">
        <v>0</v>
      </c>
      <c r="E411" s="335">
        <v>0</v>
      </c>
      <c r="F411" s="335">
        <v>0</v>
      </c>
      <c r="G411" s="335">
        <v>0</v>
      </c>
      <c r="H411" s="335">
        <v>0</v>
      </c>
      <c r="I411" s="335">
        <v>0</v>
      </c>
      <c r="J411" s="335">
        <v>0</v>
      </c>
      <c r="K411" s="335">
        <v>356</v>
      </c>
      <c r="L411" s="335">
        <v>356</v>
      </c>
      <c r="M411" s="335">
        <v>0</v>
      </c>
      <c r="N411" s="335">
        <v>0</v>
      </c>
      <c r="O411" s="335">
        <v>0</v>
      </c>
      <c r="P411" s="335">
        <v>0</v>
      </c>
      <c r="Q411" s="335">
        <v>0</v>
      </c>
      <c r="R411" s="335">
        <v>0</v>
      </c>
      <c r="S411" s="335">
        <v>0</v>
      </c>
      <c r="T411" s="335">
        <v>57</v>
      </c>
      <c r="U411" s="335">
        <v>57</v>
      </c>
      <c r="V411" s="335">
        <v>57</v>
      </c>
      <c r="W411" s="335">
        <v>0</v>
      </c>
      <c r="X411" s="335">
        <v>0</v>
      </c>
      <c r="Y411" s="381">
        <f t="shared" si="6"/>
        <v>255987</v>
      </c>
      <c r="Z411" s="335">
        <v>0</v>
      </c>
      <c r="AA411" s="335">
        <v>0</v>
      </c>
      <c r="AB411" s="335">
        <v>0</v>
      </c>
      <c r="AF411" s="394"/>
      <c r="AH411" s="366"/>
    </row>
    <row r="412" spans="1:34" ht="14.25">
      <c r="A412" s="366" t="s">
        <v>1061</v>
      </c>
      <c r="B412" s="196" t="s">
        <v>405</v>
      </c>
      <c r="C412" s="196" t="s">
        <v>608</v>
      </c>
      <c r="D412" s="335">
        <v>0</v>
      </c>
      <c r="E412" s="335">
        <v>87</v>
      </c>
      <c r="F412" s="335">
        <v>0</v>
      </c>
      <c r="G412" s="335">
        <v>0</v>
      </c>
      <c r="H412" s="335">
        <v>0</v>
      </c>
      <c r="I412" s="335">
        <v>114</v>
      </c>
      <c r="J412" s="335">
        <v>894</v>
      </c>
      <c r="K412" s="335">
        <v>448</v>
      </c>
      <c r="L412" s="335">
        <v>1543</v>
      </c>
      <c r="M412" s="335">
        <v>0</v>
      </c>
      <c r="N412" s="335">
        <v>63</v>
      </c>
      <c r="O412" s="335">
        <v>0</v>
      </c>
      <c r="P412" s="335">
        <v>0</v>
      </c>
      <c r="Q412" s="335">
        <v>0</v>
      </c>
      <c r="R412" s="335">
        <v>80</v>
      </c>
      <c r="S412" s="335">
        <v>683</v>
      </c>
      <c r="T412" s="335">
        <v>417</v>
      </c>
      <c r="U412" s="335">
        <v>1243</v>
      </c>
      <c r="V412" s="335">
        <v>1217.8</v>
      </c>
      <c r="W412" s="335">
        <v>826</v>
      </c>
      <c r="X412" s="335">
        <v>800.8</v>
      </c>
      <c r="Y412" s="381">
        <f t="shared" si="6"/>
        <v>5210481.4</v>
      </c>
      <c r="Z412" s="335">
        <v>0</v>
      </c>
      <c r="AA412" s="335">
        <v>37</v>
      </c>
      <c r="AB412" s="335">
        <v>0</v>
      </c>
      <c r="AF412" s="394"/>
      <c r="AH412" s="366"/>
    </row>
    <row r="413" spans="1:34" ht="28.5">
      <c r="A413" s="366" t="s">
        <v>1062</v>
      </c>
      <c r="B413" s="196" t="s">
        <v>141</v>
      </c>
      <c r="C413" s="196" t="s">
        <v>607</v>
      </c>
      <c r="D413" s="335">
        <v>0</v>
      </c>
      <c r="E413" s="335">
        <v>12</v>
      </c>
      <c r="F413" s="335">
        <v>0</v>
      </c>
      <c r="G413" s="335">
        <v>0</v>
      </c>
      <c r="H413" s="335">
        <v>0</v>
      </c>
      <c r="I413" s="335">
        <v>16</v>
      </c>
      <c r="J413" s="335">
        <v>85</v>
      </c>
      <c r="K413" s="335">
        <v>0</v>
      </c>
      <c r="L413" s="335">
        <v>113</v>
      </c>
      <c r="M413" s="335">
        <v>0</v>
      </c>
      <c r="N413" s="335">
        <v>12</v>
      </c>
      <c r="O413" s="335">
        <v>0</v>
      </c>
      <c r="P413" s="335">
        <v>0</v>
      </c>
      <c r="Q413" s="335">
        <v>0</v>
      </c>
      <c r="R413" s="335">
        <v>16</v>
      </c>
      <c r="S413" s="335">
        <v>85</v>
      </c>
      <c r="T413" s="335">
        <v>0</v>
      </c>
      <c r="U413" s="335">
        <v>113</v>
      </c>
      <c r="V413" s="335">
        <v>108.2</v>
      </c>
      <c r="W413" s="335">
        <v>113</v>
      </c>
      <c r="X413" s="335">
        <v>108.2</v>
      </c>
      <c r="Y413" s="381">
        <f t="shared" si="6"/>
        <v>450977.60000000003</v>
      </c>
      <c r="Z413" s="335">
        <v>0</v>
      </c>
      <c r="AA413" s="335">
        <v>0</v>
      </c>
      <c r="AB413" s="335">
        <v>0</v>
      </c>
      <c r="AF413" s="394"/>
      <c r="AH413" s="366"/>
    </row>
    <row r="414" spans="1:34" ht="28.5">
      <c r="A414" s="366" t="s">
        <v>1063</v>
      </c>
      <c r="B414" s="196" t="s">
        <v>544</v>
      </c>
      <c r="C414" s="196" t="s">
        <v>607</v>
      </c>
      <c r="D414" s="335">
        <v>30</v>
      </c>
      <c r="E414" s="335">
        <v>0</v>
      </c>
      <c r="F414" s="335">
        <v>0</v>
      </c>
      <c r="G414" s="335">
        <v>0</v>
      </c>
      <c r="H414" s="335">
        <v>0</v>
      </c>
      <c r="I414" s="335">
        <v>26</v>
      </c>
      <c r="J414" s="335">
        <v>180</v>
      </c>
      <c r="K414" s="335">
        <v>0</v>
      </c>
      <c r="L414" s="335">
        <v>236</v>
      </c>
      <c r="M414" s="335">
        <v>0</v>
      </c>
      <c r="N414" s="335">
        <v>0</v>
      </c>
      <c r="O414" s="335">
        <v>0</v>
      </c>
      <c r="P414" s="335">
        <v>0</v>
      </c>
      <c r="Q414" s="335">
        <v>0</v>
      </c>
      <c r="R414" s="335">
        <v>0</v>
      </c>
      <c r="S414" s="335">
        <v>1</v>
      </c>
      <c r="T414" s="335">
        <v>0</v>
      </c>
      <c r="U414" s="335">
        <v>1</v>
      </c>
      <c r="V414" s="335">
        <v>1</v>
      </c>
      <c r="W414" s="335">
        <v>1</v>
      </c>
      <c r="X414" s="335">
        <v>1</v>
      </c>
      <c r="Y414" s="381">
        <f t="shared" si="6"/>
        <v>4168</v>
      </c>
      <c r="Z414" s="335">
        <v>0</v>
      </c>
      <c r="AA414" s="335">
        <v>0</v>
      </c>
      <c r="AB414" s="335">
        <v>0</v>
      </c>
      <c r="AF414" s="394"/>
      <c r="AH414" s="366"/>
    </row>
    <row r="415" spans="1:34" ht="28.5">
      <c r="A415" s="366" t="s">
        <v>1064</v>
      </c>
      <c r="B415" s="196" t="s">
        <v>544</v>
      </c>
      <c r="C415" s="196" t="s">
        <v>86</v>
      </c>
      <c r="D415" s="335">
        <v>30</v>
      </c>
      <c r="E415" s="335">
        <v>0</v>
      </c>
      <c r="F415" s="335">
        <v>0</v>
      </c>
      <c r="G415" s="335">
        <v>0</v>
      </c>
      <c r="H415" s="335">
        <v>0</v>
      </c>
      <c r="I415" s="335">
        <v>26</v>
      </c>
      <c r="J415" s="335">
        <v>180</v>
      </c>
      <c r="K415" s="335">
        <v>0</v>
      </c>
      <c r="L415" s="335">
        <v>236</v>
      </c>
      <c r="M415" s="335">
        <v>4</v>
      </c>
      <c r="N415" s="335">
        <v>0</v>
      </c>
      <c r="O415" s="335">
        <v>0</v>
      </c>
      <c r="P415" s="335">
        <v>0</v>
      </c>
      <c r="Q415" s="335">
        <v>0</v>
      </c>
      <c r="R415" s="335">
        <v>3</v>
      </c>
      <c r="S415" s="335">
        <v>38</v>
      </c>
      <c r="T415" s="335">
        <v>0</v>
      </c>
      <c r="U415" s="335">
        <v>45</v>
      </c>
      <c r="V415" s="335">
        <v>43</v>
      </c>
      <c r="W415" s="335">
        <v>45</v>
      </c>
      <c r="X415" s="335">
        <v>43</v>
      </c>
      <c r="Y415" s="381">
        <f t="shared" si="6"/>
        <v>179224</v>
      </c>
      <c r="Z415" s="335">
        <v>0</v>
      </c>
      <c r="AA415" s="335">
        <v>0</v>
      </c>
      <c r="AB415" s="335">
        <v>0</v>
      </c>
      <c r="AF415" s="394"/>
      <c r="AH415" s="366"/>
    </row>
    <row r="416" spans="1:34" ht="14.25">
      <c r="A416" s="366" t="s">
        <v>1065</v>
      </c>
      <c r="B416" s="196" t="s">
        <v>406</v>
      </c>
      <c r="C416" s="196" t="s">
        <v>86</v>
      </c>
      <c r="D416" s="335">
        <v>0</v>
      </c>
      <c r="E416" s="335">
        <v>0</v>
      </c>
      <c r="F416" s="335">
        <v>0</v>
      </c>
      <c r="G416" s="335">
        <v>0</v>
      </c>
      <c r="H416" s="335">
        <v>0</v>
      </c>
      <c r="I416" s="335">
        <v>13</v>
      </c>
      <c r="J416" s="335">
        <v>52</v>
      </c>
      <c r="K416" s="335">
        <v>10</v>
      </c>
      <c r="L416" s="335">
        <v>75</v>
      </c>
      <c r="M416" s="335">
        <v>0</v>
      </c>
      <c r="N416" s="335">
        <v>0</v>
      </c>
      <c r="O416" s="335">
        <v>0</v>
      </c>
      <c r="P416" s="335">
        <v>0</v>
      </c>
      <c r="Q416" s="335">
        <v>0</v>
      </c>
      <c r="R416" s="335">
        <v>8</v>
      </c>
      <c r="S416" s="335">
        <v>28</v>
      </c>
      <c r="T416" s="335">
        <v>7</v>
      </c>
      <c r="U416" s="335">
        <v>43</v>
      </c>
      <c r="V416" s="335">
        <v>43</v>
      </c>
      <c r="W416" s="335">
        <v>36</v>
      </c>
      <c r="X416" s="335">
        <v>36</v>
      </c>
      <c r="Y416" s="381">
        <f t="shared" si="6"/>
        <v>181485</v>
      </c>
      <c r="Z416" s="335">
        <v>0</v>
      </c>
      <c r="AA416" s="335">
        <v>0</v>
      </c>
      <c r="AB416" s="335">
        <v>0</v>
      </c>
      <c r="AF416" s="394"/>
      <c r="AH416" s="366"/>
    </row>
    <row r="417" spans="1:34" ht="28.5">
      <c r="A417" s="366" t="s">
        <v>1066</v>
      </c>
      <c r="B417" s="196" t="s">
        <v>142</v>
      </c>
      <c r="C417" s="196" t="s">
        <v>607</v>
      </c>
      <c r="D417" s="335">
        <v>0</v>
      </c>
      <c r="E417" s="335">
        <v>17</v>
      </c>
      <c r="F417" s="335">
        <v>0</v>
      </c>
      <c r="G417" s="335">
        <v>0</v>
      </c>
      <c r="H417" s="335">
        <v>0</v>
      </c>
      <c r="I417" s="335">
        <v>33</v>
      </c>
      <c r="J417" s="335">
        <v>178</v>
      </c>
      <c r="K417" s="335">
        <v>0</v>
      </c>
      <c r="L417" s="335">
        <v>228</v>
      </c>
      <c r="M417" s="335">
        <v>0</v>
      </c>
      <c r="N417" s="335">
        <v>11</v>
      </c>
      <c r="O417" s="335">
        <v>0</v>
      </c>
      <c r="P417" s="335">
        <v>0</v>
      </c>
      <c r="Q417" s="335">
        <v>0</v>
      </c>
      <c r="R417" s="335">
        <v>23</v>
      </c>
      <c r="S417" s="335">
        <v>138</v>
      </c>
      <c r="T417" s="335">
        <v>0</v>
      </c>
      <c r="U417" s="335">
        <v>172</v>
      </c>
      <c r="V417" s="335">
        <v>167.6</v>
      </c>
      <c r="W417" s="335">
        <v>172</v>
      </c>
      <c r="X417" s="335">
        <v>167.6</v>
      </c>
      <c r="Y417" s="381">
        <f t="shared" si="6"/>
        <v>698556.7999999999</v>
      </c>
      <c r="Z417" s="335">
        <v>3</v>
      </c>
      <c r="AA417" s="335">
        <v>0</v>
      </c>
      <c r="AB417" s="335">
        <v>0</v>
      </c>
      <c r="AF417" s="394"/>
      <c r="AH417" s="366"/>
    </row>
    <row r="418" spans="1:34" ht="28.5">
      <c r="A418" s="366" t="s">
        <v>1067</v>
      </c>
      <c r="B418" s="196" t="s">
        <v>407</v>
      </c>
      <c r="C418" s="196" t="s">
        <v>607</v>
      </c>
      <c r="D418" s="335">
        <v>17</v>
      </c>
      <c r="E418" s="335">
        <v>0</v>
      </c>
      <c r="F418" s="335">
        <v>0</v>
      </c>
      <c r="G418" s="335">
        <v>0</v>
      </c>
      <c r="H418" s="335">
        <v>0</v>
      </c>
      <c r="I418" s="335">
        <v>17</v>
      </c>
      <c r="J418" s="335">
        <v>149</v>
      </c>
      <c r="K418" s="335">
        <v>0</v>
      </c>
      <c r="L418" s="335">
        <v>183</v>
      </c>
      <c r="M418" s="335">
        <v>17</v>
      </c>
      <c r="N418" s="335">
        <v>0</v>
      </c>
      <c r="O418" s="335">
        <v>0</v>
      </c>
      <c r="P418" s="335">
        <v>0</v>
      </c>
      <c r="Q418" s="335">
        <v>0</v>
      </c>
      <c r="R418" s="335">
        <v>17</v>
      </c>
      <c r="S418" s="335">
        <v>149</v>
      </c>
      <c r="T418" s="335">
        <v>0</v>
      </c>
      <c r="U418" s="335">
        <v>183</v>
      </c>
      <c r="V418" s="335">
        <v>174.5</v>
      </c>
      <c r="W418" s="335">
        <v>183</v>
      </c>
      <c r="X418" s="335">
        <v>174.5</v>
      </c>
      <c r="Y418" s="381">
        <f t="shared" si="6"/>
        <v>727316</v>
      </c>
      <c r="Z418" s="335">
        <v>0</v>
      </c>
      <c r="AA418" s="335">
        <v>0</v>
      </c>
      <c r="AB418" s="335">
        <v>0</v>
      </c>
      <c r="AF418" s="394"/>
      <c r="AH418" s="366"/>
    </row>
    <row r="419" spans="1:34" ht="14.25">
      <c r="A419" s="366" t="s">
        <v>1068</v>
      </c>
      <c r="B419" s="196" t="s">
        <v>545</v>
      </c>
      <c r="C419" s="196" t="s">
        <v>86</v>
      </c>
      <c r="D419" s="335">
        <v>6</v>
      </c>
      <c r="E419" s="335">
        <v>0</v>
      </c>
      <c r="F419" s="335">
        <v>0</v>
      </c>
      <c r="G419" s="335">
        <v>0</v>
      </c>
      <c r="H419" s="335">
        <v>0</v>
      </c>
      <c r="I419" s="335">
        <v>6</v>
      </c>
      <c r="J419" s="335">
        <v>39</v>
      </c>
      <c r="K419" s="335">
        <v>0</v>
      </c>
      <c r="L419" s="335">
        <v>51</v>
      </c>
      <c r="M419" s="335">
        <v>4</v>
      </c>
      <c r="N419" s="335">
        <v>0</v>
      </c>
      <c r="O419" s="335">
        <v>0</v>
      </c>
      <c r="P419" s="335">
        <v>0</v>
      </c>
      <c r="Q419" s="335">
        <v>0</v>
      </c>
      <c r="R419" s="335">
        <v>4</v>
      </c>
      <c r="S419" s="335">
        <v>24</v>
      </c>
      <c r="T419" s="335">
        <v>0</v>
      </c>
      <c r="U419" s="335">
        <v>32</v>
      </c>
      <c r="V419" s="335">
        <v>30</v>
      </c>
      <c r="W419" s="335">
        <v>32</v>
      </c>
      <c r="X419" s="335">
        <v>30</v>
      </c>
      <c r="Y419" s="381">
        <f t="shared" si="6"/>
        <v>125040</v>
      </c>
      <c r="Z419" s="335">
        <v>0</v>
      </c>
      <c r="AA419" s="335">
        <v>0</v>
      </c>
      <c r="AB419" s="335">
        <v>0</v>
      </c>
      <c r="AF419" s="394"/>
      <c r="AH419" s="366"/>
    </row>
    <row r="420" spans="1:34" ht="28.5">
      <c r="A420" s="366" t="s">
        <v>1069</v>
      </c>
      <c r="B420" s="196" t="s">
        <v>143</v>
      </c>
      <c r="C420" s="196" t="s">
        <v>607</v>
      </c>
      <c r="D420" s="335">
        <v>0</v>
      </c>
      <c r="E420" s="335">
        <v>0</v>
      </c>
      <c r="F420" s="335">
        <v>0</v>
      </c>
      <c r="G420" s="335">
        <v>0</v>
      </c>
      <c r="H420" s="335">
        <v>0</v>
      </c>
      <c r="I420" s="335">
        <v>0</v>
      </c>
      <c r="J420" s="335">
        <v>0</v>
      </c>
      <c r="K420" s="335">
        <v>36</v>
      </c>
      <c r="L420" s="335">
        <v>36</v>
      </c>
      <c r="M420" s="335">
        <v>0</v>
      </c>
      <c r="N420" s="335">
        <v>0</v>
      </c>
      <c r="O420" s="335">
        <v>0</v>
      </c>
      <c r="P420" s="335">
        <v>0</v>
      </c>
      <c r="Q420" s="335">
        <v>0</v>
      </c>
      <c r="R420" s="335">
        <v>0</v>
      </c>
      <c r="S420" s="335">
        <v>0</v>
      </c>
      <c r="T420" s="335">
        <v>31</v>
      </c>
      <c r="U420" s="335">
        <v>31</v>
      </c>
      <c r="V420" s="335">
        <v>31</v>
      </c>
      <c r="W420" s="335">
        <v>0</v>
      </c>
      <c r="X420" s="335">
        <v>0</v>
      </c>
      <c r="Y420" s="381">
        <f t="shared" si="6"/>
        <v>139221</v>
      </c>
      <c r="Z420" s="335">
        <v>0</v>
      </c>
      <c r="AA420" s="335">
        <v>0</v>
      </c>
      <c r="AB420" s="335">
        <v>0</v>
      </c>
      <c r="AF420" s="394"/>
      <c r="AH420" s="366"/>
    </row>
    <row r="421" spans="1:34" ht="14.25">
      <c r="A421" s="366" t="s">
        <v>1070</v>
      </c>
      <c r="B421" s="196" t="s">
        <v>143</v>
      </c>
      <c r="C421" s="196" t="s">
        <v>86</v>
      </c>
      <c r="D421" s="335">
        <v>0</v>
      </c>
      <c r="E421" s="335">
        <v>0</v>
      </c>
      <c r="F421" s="335">
        <v>0</v>
      </c>
      <c r="G421" s="335">
        <v>0</v>
      </c>
      <c r="H421" s="335">
        <v>0</v>
      </c>
      <c r="I421" s="335">
        <v>0</v>
      </c>
      <c r="J421" s="335">
        <v>0</v>
      </c>
      <c r="K421" s="335">
        <v>36</v>
      </c>
      <c r="L421" s="335">
        <v>36</v>
      </c>
      <c r="M421" s="335">
        <v>0</v>
      </c>
      <c r="N421" s="335">
        <v>0</v>
      </c>
      <c r="O421" s="335">
        <v>0</v>
      </c>
      <c r="P421" s="335">
        <v>0</v>
      </c>
      <c r="Q421" s="335">
        <v>0</v>
      </c>
      <c r="R421" s="335">
        <v>0</v>
      </c>
      <c r="S421" s="335">
        <v>0</v>
      </c>
      <c r="T421" s="335">
        <v>1</v>
      </c>
      <c r="U421" s="335">
        <v>1</v>
      </c>
      <c r="V421" s="335">
        <v>1</v>
      </c>
      <c r="W421" s="335">
        <v>0</v>
      </c>
      <c r="X421" s="335">
        <v>0</v>
      </c>
      <c r="Y421" s="381">
        <f t="shared" si="6"/>
        <v>4491</v>
      </c>
      <c r="Z421" s="335">
        <v>0</v>
      </c>
      <c r="AA421" s="335">
        <v>0</v>
      </c>
      <c r="AB421" s="335">
        <v>0</v>
      </c>
      <c r="AF421" s="394"/>
      <c r="AH421" s="366"/>
    </row>
    <row r="422" spans="1:34" ht="28.5">
      <c r="A422" s="366" t="s">
        <v>1071</v>
      </c>
      <c r="B422" s="196" t="s">
        <v>408</v>
      </c>
      <c r="C422" s="196" t="s">
        <v>86</v>
      </c>
      <c r="D422" s="335">
        <v>7</v>
      </c>
      <c r="E422" s="335">
        <v>0</v>
      </c>
      <c r="F422" s="335">
        <v>0</v>
      </c>
      <c r="G422" s="335">
        <v>0</v>
      </c>
      <c r="H422" s="335">
        <v>0</v>
      </c>
      <c r="I422" s="335">
        <v>12</v>
      </c>
      <c r="J422" s="335">
        <v>96</v>
      </c>
      <c r="K422" s="335">
        <v>0</v>
      </c>
      <c r="L422" s="335">
        <v>115</v>
      </c>
      <c r="M422" s="335">
        <v>2</v>
      </c>
      <c r="N422" s="335">
        <v>0</v>
      </c>
      <c r="O422" s="335">
        <v>0</v>
      </c>
      <c r="P422" s="335">
        <v>0</v>
      </c>
      <c r="Q422" s="335">
        <v>0</v>
      </c>
      <c r="R422" s="335">
        <v>2</v>
      </c>
      <c r="S422" s="335">
        <v>16</v>
      </c>
      <c r="T422" s="335">
        <v>0</v>
      </c>
      <c r="U422" s="335">
        <v>20</v>
      </c>
      <c r="V422" s="335">
        <v>19</v>
      </c>
      <c r="W422" s="335">
        <v>20</v>
      </c>
      <c r="X422" s="335">
        <v>19</v>
      </c>
      <c r="Y422" s="381">
        <f t="shared" si="6"/>
        <v>79192</v>
      </c>
      <c r="Z422" s="335">
        <v>0</v>
      </c>
      <c r="AA422" s="335">
        <v>0</v>
      </c>
      <c r="AB422" s="335">
        <v>0</v>
      </c>
      <c r="AF422" s="394"/>
      <c r="AH422" s="366"/>
    </row>
    <row r="423" spans="1:34" ht="14.25">
      <c r="A423" s="366" t="s">
        <v>1072</v>
      </c>
      <c r="B423" s="196" t="s">
        <v>546</v>
      </c>
      <c r="C423" s="196" t="s">
        <v>86</v>
      </c>
      <c r="D423" s="335">
        <v>4</v>
      </c>
      <c r="E423" s="335">
        <v>0</v>
      </c>
      <c r="F423" s="335">
        <v>0</v>
      </c>
      <c r="G423" s="335">
        <v>0</v>
      </c>
      <c r="H423" s="335">
        <v>0</v>
      </c>
      <c r="I423" s="335">
        <v>8</v>
      </c>
      <c r="J423" s="335">
        <v>42</v>
      </c>
      <c r="K423" s="335">
        <v>0</v>
      </c>
      <c r="L423" s="335">
        <v>54</v>
      </c>
      <c r="M423" s="335">
        <v>0</v>
      </c>
      <c r="N423" s="335">
        <v>0</v>
      </c>
      <c r="O423" s="335">
        <v>0</v>
      </c>
      <c r="P423" s="335">
        <v>0</v>
      </c>
      <c r="Q423" s="335">
        <v>0</v>
      </c>
      <c r="R423" s="335">
        <v>3</v>
      </c>
      <c r="S423" s="335">
        <v>7</v>
      </c>
      <c r="T423" s="335">
        <v>0</v>
      </c>
      <c r="U423" s="335">
        <v>10</v>
      </c>
      <c r="V423" s="335">
        <v>10</v>
      </c>
      <c r="W423" s="335">
        <v>10</v>
      </c>
      <c r="X423" s="335">
        <v>10</v>
      </c>
      <c r="Y423" s="381">
        <f t="shared" si="6"/>
        <v>41680</v>
      </c>
      <c r="Z423" s="335">
        <v>0</v>
      </c>
      <c r="AA423" s="335">
        <v>0</v>
      </c>
      <c r="AB423" s="335">
        <v>0</v>
      </c>
      <c r="AF423" s="394"/>
      <c r="AH423" s="366"/>
    </row>
    <row r="424" spans="1:34" ht="14.25">
      <c r="A424" s="366" t="s">
        <v>1073</v>
      </c>
      <c r="B424" s="196" t="s">
        <v>144</v>
      </c>
      <c r="C424" s="196" t="s">
        <v>608</v>
      </c>
      <c r="D424" s="335">
        <v>0</v>
      </c>
      <c r="E424" s="335">
        <v>0</v>
      </c>
      <c r="F424" s="335">
        <v>0</v>
      </c>
      <c r="G424" s="335">
        <v>0</v>
      </c>
      <c r="H424" s="335">
        <v>0</v>
      </c>
      <c r="I424" s="335">
        <v>19</v>
      </c>
      <c r="J424" s="335">
        <v>173</v>
      </c>
      <c r="K424" s="335">
        <v>0</v>
      </c>
      <c r="L424" s="335">
        <v>192</v>
      </c>
      <c r="M424" s="335">
        <v>0</v>
      </c>
      <c r="N424" s="335">
        <v>0</v>
      </c>
      <c r="O424" s="335">
        <v>0</v>
      </c>
      <c r="P424" s="335">
        <v>0</v>
      </c>
      <c r="Q424" s="335">
        <v>0</v>
      </c>
      <c r="R424" s="335">
        <v>10</v>
      </c>
      <c r="S424" s="335">
        <v>95</v>
      </c>
      <c r="T424" s="335">
        <v>0</v>
      </c>
      <c r="U424" s="335">
        <v>105</v>
      </c>
      <c r="V424" s="335">
        <v>105</v>
      </c>
      <c r="W424" s="335">
        <v>105</v>
      </c>
      <c r="X424" s="335">
        <v>105</v>
      </c>
      <c r="Y424" s="381">
        <f t="shared" si="6"/>
        <v>437640</v>
      </c>
      <c r="Z424" s="335">
        <v>0</v>
      </c>
      <c r="AA424" s="335">
        <v>1</v>
      </c>
      <c r="AB424" s="335">
        <v>0</v>
      </c>
      <c r="AF424" s="394"/>
      <c r="AH424" s="366"/>
    </row>
    <row r="425" spans="1:34" ht="14.25">
      <c r="A425" s="366" t="s">
        <v>1074</v>
      </c>
      <c r="B425" s="196" t="s">
        <v>144</v>
      </c>
      <c r="C425" s="196" t="s">
        <v>86</v>
      </c>
      <c r="D425" s="335">
        <v>0</v>
      </c>
      <c r="E425" s="335">
        <v>0</v>
      </c>
      <c r="F425" s="335">
        <v>0</v>
      </c>
      <c r="G425" s="335">
        <v>0</v>
      </c>
      <c r="H425" s="335">
        <v>0</v>
      </c>
      <c r="I425" s="335">
        <v>19</v>
      </c>
      <c r="J425" s="335">
        <v>173</v>
      </c>
      <c r="K425" s="335">
        <v>0</v>
      </c>
      <c r="L425" s="335">
        <v>192</v>
      </c>
      <c r="M425" s="335">
        <v>0</v>
      </c>
      <c r="N425" s="335">
        <v>0</v>
      </c>
      <c r="O425" s="335">
        <v>0</v>
      </c>
      <c r="P425" s="335">
        <v>0</v>
      </c>
      <c r="Q425" s="335">
        <v>0</v>
      </c>
      <c r="R425" s="335">
        <v>1</v>
      </c>
      <c r="S425" s="335">
        <v>3</v>
      </c>
      <c r="T425" s="335">
        <v>0</v>
      </c>
      <c r="U425" s="335">
        <v>4</v>
      </c>
      <c r="V425" s="335">
        <v>4</v>
      </c>
      <c r="W425" s="335">
        <v>4</v>
      </c>
      <c r="X425" s="335">
        <v>4</v>
      </c>
      <c r="Y425" s="381">
        <f t="shared" si="6"/>
        <v>16672</v>
      </c>
      <c r="Z425" s="335">
        <v>0</v>
      </c>
      <c r="AA425" s="335">
        <v>0</v>
      </c>
      <c r="AB425" s="335">
        <v>0</v>
      </c>
      <c r="AF425" s="394"/>
      <c r="AH425" s="366"/>
    </row>
    <row r="426" spans="1:34" ht="14.25">
      <c r="A426" s="366" t="s">
        <v>1075</v>
      </c>
      <c r="B426" s="196" t="s">
        <v>409</v>
      </c>
      <c r="C426" s="196" t="s">
        <v>86</v>
      </c>
      <c r="D426" s="335">
        <v>16</v>
      </c>
      <c r="E426" s="335">
        <v>0</v>
      </c>
      <c r="F426" s="335">
        <v>0</v>
      </c>
      <c r="G426" s="335">
        <v>0</v>
      </c>
      <c r="H426" s="335">
        <v>0</v>
      </c>
      <c r="I426" s="335">
        <v>13</v>
      </c>
      <c r="J426" s="335">
        <v>34</v>
      </c>
      <c r="K426" s="335">
        <v>0</v>
      </c>
      <c r="L426" s="335">
        <v>63</v>
      </c>
      <c r="M426" s="335">
        <v>4</v>
      </c>
      <c r="N426" s="335">
        <v>0</v>
      </c>
      <c r="O426" s="335">
        <v>0</v>
      </c>
      <c r="P426" s="335">
        <v>0</v>
      </c>
      <c r="Q426" s="335">
        <v>0</v>
      </c>
      <c r="R426" s="335">
        <v>5</v>
      </c>
      <c r="S426" s="335">
        <v>17</v>
      </c>
      <c r="T426" s="335">
        <v>0</v>
      </c>
      <c r="U426" s="335">
        <v>26</v>
      </c>
      <c r="V426" s="335">
        <v>24</v>
      </c>
      <c r="W426" s="335">
        <v>26</v>
      </c>
      <c r="X426" s="335">
        <v>24</v>
      </c>
      <c r="Y426" s="381">
        <f t="shared" si="6"/>
        <v>100032</v>
      </c>
      <c r="Z426" s="335">
        <v>0</v>
      </c>
      <c r="AA426" s="335">
        <v>0</v>
      </c>
      <c r="AB426" s="335">
        <v>0</v>
      </c>
      <c r="AF426" s="394"/>
      <c r="AH426" s="366"/>
    </row>
    <row r="427" spans="1:34" ht="28.5">
      <c r="A427" s="366" t="s">
        <v>1076</v>
      </c>
      <c r="B427" s="196" t="s">
        <v>237</v>
      </c>
      <c r="C427" s="196" t="s">
        <v>607</v>
      </c>
      <c r="D427" s="335">
        <v>11</v>
      </c>
      <c r="E427" s="335">
        <v>0</v>
      </c>
      <c r="F427" s="335">
        <v>0</v>
      </c>
      <c r="G427" s="335">
        <v>0</v>
      </c>
      <c r="H427" s="335">
        <v>0</v>
      </c>
      <c r="I427" s="335">
        <v>32</v>
      </c>
      <c r="J427" s="335">
        <v>188</v>
      </c>
      <c r="K427" s="335">
        <v>0</v>
      </c>
      <c r="L427" s="335">
        <v>231</v>
      </c>
      <c r="M427" s="335">
        <v>2</v>
      </c>
      <c r="N427" s="335">
        <v>0</v>
      </c>
      <c r="O427" s="335">
        <v>0</v>
      </c>
      <c r="P427" s="335">
        <v>0</v>
      </c>
      <c r="Q427" s="335">
        <v>0</v>
      </c>
      <c r="R427" s="335">
        <v>7</v>
      </c>
      <c r="S427" s="335">
        <v>61</v>
      </c>
      <c r="T427" s="335">
        <v>0</v>
      </c>
      <c r="U427" s="335">
        <v>70</v>
      </c>
      <c r="V427" s="335">
        <v>69</v>
      </c>
      <c r="W427" s="335">
        <v>70</v>
      </c>
      <c r="X427" s="335">
        <v>69</v>
      </c>
      <c r="Y427" s="381">
        <f t="shared" si="6"/>
        <v>287592</v>
      </c>
      <c r="Z427" s="335">
        <v>0</v>
      </c>
      <c r="AA427" s="335">
        <v>0</v>
      </c>
      <c r="AB427" s="335">
        <v>0</v>
      </c>
      <c r="AF427" s="394"/>
      <c r="AH427" s="366"/>
    </row>
    <row r="428" spans="1:34" ht="14.25">
      <c r="A428" s="366" t="s">
        <v>1077</v>
      </c>
      <c r="B428" s="196" t="s">
        <v>237</v>
      </c>
      <c r="C428" s="196" t="s">
        <v>86</v>
      </c>
      <c r="D428" s="335">
        <v>11</v>
      </c>
      <c r="E428" s="335">
        <v>0</v>
      </c>
      <c r="F428" s="335">
        <v>0</v>
      </c>
      <c r="G428" s="335">
        <v>0</v>
      </c>
      <c r="H428" s="335">
        <v>0</v>
      </c>
      <c r="I428" s="335">
        <v>32</v>
      </c>
      <c r="J428" s="335">
        <v>188</v>
      </c>
      <c r="K428" s="335">
        <v>0</v>
      </c>
      <c r="L428" s="335">
        <v>231</v>
      </c>
      <c r="M428" s="335">
        <v>6</v>
      </c>
      <c r="N428" s="335">
        <v>0</v>
      </c>
      <c r="O428" s="335">
        <v>0</v>
      </c>
      <c r="P428" s="335">
        <v>0</v>
      </c>
      <c r="Q428" s="335">
        <v>0</v>
      </c>
      <c r="R428" s="335">
        <v>6</v>
      </c>
      <c r="S428" s="335">
        <v>24</v>
      </c>
      <c r="T428" s="335">
        <v>0</v>
      </c>
      <c r="U428" s="335">
        <v>36</v>
      </c>
      <c r="V428" s="335">
        <v>33</v>
      </c>
      <c r="W428" s="335">
        <v>36</v>
      </c>
      <c r="X428" s="335">
        <v>33</v>
      </c>
      <c r="Y428" s="381">
        <f t="shared" si="6"/>
        <v>137544</v>
      </c>
      <c r="Z428" s="335">
        <v>0</v>
      </c>
      <c r="AA428" s="335">
        <v>0</v>
      </c>
      <c r="AB428" s="335">
        <v>0</v>
      </c>
      <c r="AF428" s="394"/>
      <c r="AH428" s="366"/>
    </row>
    <row r="429" spans="1:34" ht="14.25">
      <c r="A429" s="366" t="s">
        <v>1078</v>
      </c>
      <c r="B429" s="196" t="s">
        <v>160</v>
      </c>
      <c r="C429" s="196" t="s">
        <v>86</v>
      </c>
      <c r="D429" s="335">
        <v>15</v>
      </c>
      <c r="E429" s="335">
        <v>0</v>
      </c>
      <c r="F429" s="335">
        <v>0</v>
      </c>
      <c r="G429" s="335">
        <v>0</v>
      </c>
      <c r="H429" s="335">
        <v>0</v>
      </c>
      <c r="I429" s="335">
        <v>14</v>
      </c>
      <c r="J429" s="335">
        <v>137</v>
      </c>
      <c r="K429" s="335">
        <v>0</v>
      </c>
      <c r="L429" s="335">
        <v>166</v>
      </c>
      <c r="M429" s="335">
        <v>4</v>
      </c>
      <c r="N429" s="335">
        <v>0</v>
      </c>
      <c r="O429" s="335">
        <v>0</v>
      </c>
      <c r="P429" s="335">
        <v>0</v>
      </c>
      <c r="Q429" s="335">
        <v>0</v>
      </c>
      <c r="R429" s="335">
        <v>7</v>
      </c>
      <c r="S429" s="335">
        <v>43</v>
      </c>
      <c r="T429" s="335">
        <v>0</v>
      </c>
      <c r="U429" s="335">
        <v>54</v>
      </c>
      <c r="V429" s="335">
        <v>52</v>
      </c>
      <c r="W429" s="335">
        <v>54</v>
      </c>
      <c r="X429" s="335">
        <v>52</v>
      </c>
      <c r="Y429" s="381">
        <f t="shared" si="6"/>
        <v>216736</v>
      </c>
      <c r="Z429" s="335">
        <v>0</v>
      </c>
      <c r="AA429" s="335">
        <v>0</v>
      </c>
      <c r="AB429" s="335">
        <v>0</v>
      </c>
      <c r="AF429" s="394"/>
      <c r="AH429" s="366"/>
    </row>
    <row r="430" spans="1:34" ht="14.25">
      <c r="A430" s="366" t="s">
        <v>1079</v>
      </c>
      <c r="B430" s="196" t="s">
        <v>309</v>
      </c>
      <c r="C430" s="196" t="s">
        <v>86</v>
      </c>
      <c r="D430" s="335">
        <v>7</v>
      </c>
      <c r="E430" s="335">
        <v>0</v>
      </c>
      <c r="F430" s="335">
        <v>0</v>
      </c>
      <c r="G430" s="335">
        <v>0</v>
      </c>
      <c r="H430" s="335">
        <v>0</v>
      </c>
      <c r="I430" s="335">
        <v>7</v>
      </c>
      <c r="J430" s="335">
        <v>44</v>
      </c>
      <c r="K430" s="335">
        <v>0</v>
      </c>
      <c r="L430" s="335">
        <v>58</v>
      </c>
      <c r="M430" s="335">
        <v>5</v>
      </c>
      <c r="N430" s="335">
        <v>0</v>
      </c>
      <c r="O430" s="335">
        <v>0</v>
      </c>
      <c r="P430" s="335">
        <v>0</v>
      </c>
      <c r="Q430" s="335">
        <v>0</v>
      </c>
      <c r="R430" s="335">
        <v>4</v>
      </c>
      <c r="S430" s="335">
        <v>22</v>
      </c>
      <c r="T430" s="335">
        <v>0</v>
      </c>
      <c r="U430" s="335">
        <v>31</v>
      </c>
      <c r="V430" s="335">
        <v>28.5</v>
      </c>
      <c r="W430" s="335">
        <v>31</v>
      </c>
      <c r="X430" s="335">
        <v>28.5</v>
      </c>
      <c r="Y430" s="381">
        <f t="shared" si="6"/>
        <v>118788</v>
      </c>
      <c r="Z430" s="335">
        <v>0</v>
      </c>
      <c r="AA430" s="335">
        <v>0</v>
      </c>
      <c r="AB430" s="335">
        <v>0</v>
      </c>
      <c r="AF430" s="394"/>
      <c r="AH430" s="366"/>
    </row>
    <row r="431" spans="1:34" ht="14.25">
      <c r="A431" s="366" t="s">
        <v>1080</v>
      </c>
      <c r="B431" s="196" t="s">
        <v>177</v>
      </c>
      <c r="C431" s="196" t="s">
        <v>608</v>
      </c>
      <c r="D431" s="335">
        <v>17</v>
      </c>
      <c r="E431" s="335">
        <v>0</v>
      </c>
      <c r="F431" s="335">
        <v>0</v>
      </c>
      <c r="G431" s="335">
        <v>0</v>
      </c>
      <c r="H431" s="335">
        <v>0</v>
      </c>
      <c r="I431" s="335">
        <v>18</v>
      </c>
      <c r="J431" s="335">
        <v>185</v>
      </c>
      <c r="K431" s="335">
        <v>0</v>
      </c>
      <c r="L431" s="335">
        <v>220</v>
      </c>
      <c r="M431" s="335">
        <v>11</v>
      </c>
      <c r="N431" s="335">
        <v>0</v>
      </c>
      <c r="O431" s="335">
        <v>0</v>
      </c>
      <c r="P431" s="335">
        <v>0</v>
      </c>
      <c r="Q431" s="335">
        <v>0</v>
      </c>
      <c r="R431" s="335">
        <v>17</v>
      </c>
      <c r="S431" s="335">
        <v>161</v>
      </c>
      <c r="T431" s="335">
        <v>0</v>
      </c>
      <c r="U431" s="335">
        <v>189</v>
      </c>
      <c r="V431" s="335">
        <v>183.5</v>
      </c>
      <c r="W431" s="335">
        <v>189</v>
      </c>
      <c r="X431" s="335">
        <v>183.5</v>
      </c>
      <c r="Y431" s="381">
        <f t="shared" si="6"/>
        <v>764828</v>
      </c>
      <c r="Z431" s="335">
        <v>0</v>
      </c>
      <c r="AA431" s="335">
        <v>0</v>
      </c>
      <c r="AB431" s="335">
        <v>0</v>
      </c>
      <c r="AF431" s="394"/>
      <c r="AH431" s="366"/>
    </row>
    <row r="432" spans="1:34" ht="14.25">
      <c r="A432" s="366" t="s">
        <v>1081</v>
      </c>
      <c r="B432" s="196" t="s">
        <v>177</v>
      </c>
      <c r="C432" s="196" t="s">
        <v>86</v>
      </c>
      <c r="D432" s="335">
        <v>17</v>
      </c>
      <c r="E432" s="335">
        <v>0</v>
      </c>
      <c r="F432" s="335">
        <v>0</v>
      </c>
      <c r="G432" s="335">
        <v>0</v>
      </c>
      <c r="H432" s="335">
        <v>0</v>
      </c>
      <c r="I432" s="335">
        <v>18</v>
      </c>
      <c r="J432" s="335">
        <v>185</v>
      </c>
      <c r="K432" s="335">
        <v>0</v>
      </c>
      <c r="L432" s="335">
        <v>220</v>
      </c>
      <c r="M432" s="335">
        <v>0</v>
      </c>
      <c r="N432" s="335">
        <v>0</v>
      </c>
      <c r="O432" s="335">
        <v>0</v>
      </c>
      <c r="P432" s="335">
        <v>0</v>
      </c>
      <c r="Q432" s="335">
        <v>0</v>
      </c>
      <c r="R432" s="335">
        <v>0</v>
      </c>
      <c r="S432" s="335">
        <v>1</v>
      </c>
      <c r="T432" s="335">
        <v>0</v>
      </c>
      <c r="U432" s="335">
        <v>1</v>
      </c>
      <c r="V432" s="335">
        <v>1</v>
      </c>
      <c r="W432" s="335">
        <v>1</v>
      </c>
      <c r="X432" s="335">
        <v>1</v>
      </c>
      <c r="Y432" s="381">
        <f t="shared" si="6"/>
        <v>4168</v>
      </c>
      <c r="Z432" s="335">
        <v>0</v>
      </c>
      <c r="AA432" s="335">
        <v>0</v>
      </c>
      <c r="AB432" s="335">
        <v>0</v>
      </c>
      <c r="AF432" s="394"/>
      <c r="AH432" s="366"/>
    </row>
    <row r="433" spans="1:34" ht="14.25">
      <c r="A433" s="366" t="s">
        <v>1082</v>
      </c>
      <c r="B433" s="196" t="s">
        <v>145</v>
      </c>
      <c r="C433" s="196" t="s">
        <v>86</v>
      </c>
      <c r="D433" s="335">
        <v>17</v>
      </c>
      <c r="E433" s="335">
        <v>0</v>
      </c>
      <c r="F433" s="335">
        <v>0</v>
      </c>
      <c r="G433" s="335">
        <v>0</v>
      </c>
      <c r="H433" s="335">
        <v>0</v>
      </c>
      <c r="I433" s="335">
        <v>21</v>
      </c>
      <c r="J433" s="335">
        <v>118</v>
      </c>
      <c r="K433" s="335">
        <v>0</v>
      </c>
      <c r="L433" s="335">
        <v>156</v>
      </c>
      <c r="M433" s="335">
        <v>3</v>
      </c>
      <c r="N433" s="335">
        <v>0</v>
      </c>
      <c r="O433" s="335">
        <v>0</v>
      </c>
      <c r="P433" s="335">
        <v>0</v>
      </c>
      <c r="Q433" s="335">
        <v>0</v>
      </c>
      <c r="R433" s="335">
        <v>4</v>
      </c>
      <c r="S433" s="335">
        <v>38</v>
      </c>
      <c r="T433" s="335">
        <v>0</v>
      </c>
      <c r="U433" s="335">
        <v>45</v>
      </c>
      <c r="V433" s="335">
        <v>43.5</v>
      </c>
      <c r="W433" s="335">
        <v>45</v>
      </c>
      <c r="X433" s="335">
        <v>43.5</v>
      </c>
      <c r="Y433" s="381">
        <f t="shared" si="6"/>
        <v>181308</v>
      </c>
      <c r="Z433" s="335">
        <v>0</v>
      </c>
      <c r="AA433" s="335">
        <v>0</v>
      </c>
      <c r="AB433" s="335">
        <v>0</v>
      </c>
      <c r="AF433" s="394"/>
      <c r="AH433" s="366"/>
    </row>
    <row r="434" spans="1:34" ht="28.5">
      <c r="A434" s="366" t="s">
        <v>1083</v>
      </c>
      <c r="B434" s="196" t="s">
        <v>410</v>
      </c>
      <c r="C434" s="196" t="s">
        <v>607</v>
      </c>
      <c r="D434" s="335">
        <v>12</v>
      </c>
      <c r="E434" s="335">
        <v>0</v>
      </c>
      <c r="F434" s="335">
        <v>0</v>
      </c>
      <c r="G434" s="335">
        <v>0</v>
      </c>
      <c r="H434" s="335">
        <v>0</v>
      </c>
      <c r="I434" s="335">
        <v>14</v>
      </c>
      <c r="J434" s="335">
        <v>132</v>
      </c>
      <c r="K434" s="335">
        <v>0</v>
      </c>
      <c r="L434" s="335">
        <v>158</v>
      </c>
      <c r="M434" s="335"/>
      <c r="N434" s="335"/>
      <c r="O434" s="335"/>
      <c r="P434" s="335"/>
      <c r="Q434" s="335"/>
      <c r="R434" s="335"/>
      <c r="S434" s="335"/>
      <c r="T434" s="335"/>
      <c r="U434" s="335"/>
      <c r="V434" s="335"/>
      <c r="W434" s="335"/>
      <c r="X434" s="335"/>
      <c r="Y434" s="381">
        <f t="shared" si="6"/>
        <v>0</v>
      </c>
      <c r="Z434" s="335">
        <v>0</v>
      </c>
      <c r="AA434" s="335">
        <v>0</v>
      </c>
      <c r="AB434" s="335">
        <v>0</v>
      </c>
      <c r="AF434" s="394"/>
      <c r="AH434" s="366"/>
    </row>
    <row r="435" spans="1:34" ht="14.25">
      <c r="A435" s="366" t="s">
        <v>1084</v>
      </c>
      <c r="B435" s="196" t="s">
        <v>410</v>
      </c>
      <c r="C435" s="196" t="s">
        <v>86</v>
      </c>
      <c r="D435" s="335">
        <v>12</v>
      </c>
      <c r="E435" s="335">
        <v>0</v>
      </c>
      <c r="F435" s="335">
        <v>0</v>
      </c>
      <c r="G435" s="335">
        <v>0</v>
      </c>
      <c r="H435" s="335">
        <v>0</v>
      </c>
      <c r="I435" s="335">
        <v>14</v>
      </c>
      <c r="J435" s="335">
        <v>132</v>
      </c>
      <c r="K435" s="335">
        <v>0</v>
      </c>
      <c r="L435" s="335">
        <v>158</v>
      </c>
      <c r="M435" s="335">
        <v>2</v>
      </c>
      <c r="N435" s="335">
        <v>0</v>
      </c>
      <c r="O435" s="335">
        <v>0</v>
      </c>
      <c r="P435" s="335">
        <v>0</v>
      </c>
      <c r="Q435" s="335">
        <v>0</v>
      </c>
      <c r="R435" s="335">
        <v>3</v>
      </c>
      <c r="S435" s="335">
        <v>20</v>
      </c>
      <c r="T435" s="335">
        <v>0</v>
      </c>
      <c r="U435" s="335">
        <v>25</v>
      </c>
      <c r="V435" s="335">
        <v>24</v>
      </c>
      <c r="W435" s="335">
        <v>25</v>
      </c>
      <c r="X435" s="335">
        <v>24</v>
      </c>
      <c r="Y435" s="381">
        <f t="shared" si="6"/>
        <v>100032</v>
      </c>
      <c r="Z435" s="335">
        <v>0</v>
      </c>
      <c r="AA435" s="335">
        <v>0</v>
      </c>
      <c r="AB435" s="335">
        <v>0</v>
      </c>
      <c r="AF435" s="394"/>
      <c r="AH435" s="366"/>
    </row>
    <row r="436" spans="1:34" ht="14.25">
      <c r="A436" s="366" t="s">
        <v>1085</v>
      </c>
      <c r="B436" s="196" t="s">
        <v>161</v>
      </c>
      <c r="C436" s="196" t="s">
        <v>86</v>
      </c>
      <c r="D436" s="335">
        <v>21</v>
      </c>
      <c r="E436" s="335">
        <v>0</v>
      </c>
      <c r="F436" s="335">
        <v>0</v>
      </c>
      <c r="G436" s="335">
        <v>0</v>
      </c>
      <c r="H436" s="335">
        <v>0</v>
      </c>
      <c r="I436" s="335">
        <v>15</v>
      </c>
      <c r="J436" s="335">
        <v>140</v>
      </c>
      <c r="K436" s="335">
        <v>0</v>
      </c>
      <c r="L436" s="335">
        <v>176</v>
      </c>
      <c r="M436" s="335">
        <v>5</v>
      </c>
      <c r="N436" s="335">
        <v>0</v>
      </c>
      <c r="O436" s="335">
        <v>0</v>
      </c>
      <c r="P436" s="335">
        <v>0</v>
      </c>
      <c r="Q436" s="335">
        <v>0</v>
      </c>
      <c r="R436" s="335">
        <v>5</v>
      </c>
      <c r="S436" s="335">
        <v>46</v>
      </c>
      <c r="T436" s="335">
        <v>0</v>
      </c>
      <c r="U436" s="335">
        <v>56</v>
      </c>
      <c r="V436" s="335">
        <v>53.5</v>
      </c>
      <c r="W436" s="335">
        <v>56</v>
      </c>
      <c r="X436" s="335">
        <v>53.5</v>
      </c>
      <c r="Y436" s="381">
        <f t="shared" si="6"/>
        <v>222988</v>
      </c>
      <c r="Z436" s="335">
        <v>0</v>
      </c>
      <c r="AA436" s="335">
        <v>0</v>
      </c>
      <c r="AB436" s="335">
        <v>0</v>
      </c>
      <c r="AF436" s="394"/>
      <c r="AH436" s="366"/>
    </row>
    <row r="437" spans="1:34" ht="28.5">
      <c r="A437" s="366" t="s">
        <v>1086</v>
      </c>
      <c r="B437" s="196" t="s">
        <v>514</v>
      </c>
      <c r="C437" s="196" t="s">
        <v>86</v>
      </c>
      <c r="D437" s="335">
        <v>11</v>
      </c>
      <c r="E437" s="335">
        <v>0</v>
      </c>
      <c r="F437" s="335">
        <v>0</v>
      </c>
      <c r="G437" s="335">
        <v>0</v>
      </c>
      <c r="H437" s="335">
        <v>0</v>
      </c>
      <c r="I437" s="335">
        <v>16</v>
      </c>
      <c r="J437" s="335">
        <v>127</v>
      </c>
      <c r="K437" s="335">
        <v>0</v>
      </c>
      <c r="L437" s="335">
        <v>154</v>
      </c>
      <c r="M437" s="335">
        <v>5</v>
      </c>
      <c r="N437" s="335">
        <v>0</v>
      </c>
      <c r="O437" s="335">
        <v>0</v>
      </c>
      <c r="P437" s="335">
        <v>0</v>
      </c>
      <c r="Q437" s="335">
        <v>0</v>
      </c>
      <c r="R437" s="335">
        <v>5</v>
      </c>
      <c r="S437" s="335">
        <v>27</v>
      </c>
      <c r="T437" s="335">
        <v>0</v>
      </c>
      <c r="U437" s="335">
        <v>37</v>
      </c>
      <c r="V437" s="335">
        <v>34.5</v>
      </c>
      <c r="W437" s="335">
        <v>37</v>
      </c>
      <c r="X437" s="335">
        <v>34.5</v>
      </c>
      <c r="Y437" s="381">
        <f t="shared" si="6"/>
        <v>143796</v>
      </c>
      <c r="Z437" s="335">
        <v>0</v>
      </c>
      <c r="AA437" s="335">
        <v>0</v>
      </c>
      <c r="AB437" s="335">
        <v>0</v>
      </c>
      <c r="AF437" s="394"/>
      <c r="AH437" s="366"/>
    </row>
    <row r="438" spans="1:34" ht="14.25">
      <c r="A438" s="366" t="s">
        <v>1087</v>
      </c>
      <c r="B438" s="196" t="s">
        <v>281</v>
      </c>
      <c r="C438" s="196" t="s">
        <v>86</v>
      </c>
      <c r="D438" s="335">
        <v>0</v>
      </c>
      <c r="E438" s="335">
        <v>0</v>
      </c>
      <c r="F438" s="335">
        <v>0</v>
      </c>
      <c r="G438" s="335">
        <v>0</v>
      </c>
      <c r="H438" s="335">
        <v>0</v>
      </c>
      <c r="I438" s="335">
        <v>7</v>
      </c>
      <c r="J438" s="335">
        <v>80</v>
      </c>
      <c r="K438" s="335">
        <v>32</v>
      </c>
      <c r="L438" s="335">
        <v>119</v>
      </c>
      <c r="M438" s="335">
        <v>0</v>
      </c>
      <c r="N438" s="335">
        <v>0</v>
      </c>
      <c r="O438" s="335">
        <v>0</v>
      </c>
      <c r="P438" s="335">
        <v>0</v>
      </c>
      <c r="Q438" s="335">
        <v>0</v>
      </c>
      <c r="R438" s="335">
        <v>2</v>
      </c>
      <c r="S438" s="335">
        <v>38</v>
      </c>
      <c r="T438" s="335">
        <v>15</v>
      </c>
      <c r="U438" s="335">
        <v>55</v>
      </c>
      <c r="V438" s="335">
        <v>55</v>
      </c>
      <c r="W438" s="335">
        <v>40</v>
      </c>
      <c r="X438" s="335">
        <v>40</v>
      </c>
      <c r="Y438" s="381">
        <f t="shared" si="6"/>
        <v>234085</v>
      </c>
      <c r="Z438" s="335">
        <v>0</v>
      </c>
      <c r="AA438" s="335">
        <v>0</v>
      </c>
      <c r="AB438" s="335">
        <v>0</v>
      </c>
      <c r="AF438" s="394"/>
      <c r="AH438" s="366"/>
    </row>
    <row r="439" spans="1:34" ht="14.25">
      <c r="A439" s="366" t="s">
        <v>1088</v>
      </c>
      <c r="B439" s="196" t="s">
        <v>238</v>
      </c>
      <c r="C439" s="196" t="s">
        <v>86</v>
      </c>
      <c r="D439" s="335">
        <v>0</v>
      </c>
      <c r="E439" s="335">
        <v>0</v>
      </c>
      <c r="F439" s="335">
        <v>0</v>
      </c>
      <c r="G439" s="335">
        <v>0</v>
      </c>
      <c r="H439" s="335">
        <v>0</v>
      </c>
      <c r="I439" s="335">
        <v>44</v>
      </c>
      <c r="J439" s="335">
        <v>313</v>
      </c>
      <c r="K439" s="335">
        <v>113</v>
      </c>
      <c r="L439" s="335">
        <v>470</v>
      </c>
      <c r="M439" s="335">
        <v>0</v>
      </c>
      <c r="N439" s="335">
        <v>0</v>
      </c>
      <c r="O439" s="335">
        <v>0</v>
      </c>
      <c r="P439" s="335">
        <v>0</v>
      </c>
      <c r="Q439" s="335">
        <v>0</v>
      </c>
      <c r="R439" s="335">
        <v>28</v>
      </c>
      <c r="S439" s="335">
        <v>179</v>
      </c>
      <c r="T439" s="335">
        <v>58</v>
      </c>
      <c r="U439" s="335">
        <v>265</v>
      </c>
      <c r="V439" s="335">
        <v>265</v>
      </c>
      <c r="W439" s="335">
        <v>207</v>
      </c>
      <c r="X439" s="335">
        <v>207</v>
      </c>
      <c r="Y439" s="381">
        <f t="shared" si="6"/>
        <v>1123254</v>
      </c>
      <c r="Z439" s="335">
        <v>0</v>
      </c>
      <c r="AA439" s="335">
        <v>0</v>
      </c>
      <c r="AB439" s="335">
        <v>0</v>
      </c>
      <c r="AF439" s="394"/>
      <c r="AH439" s="366"/>
    </row>
    <row r="440" spans="1:34" ht="28.5">
      <c r="A440" s="366" t="s">
        <v>1089</v>
      </c>
      <c r="B440" s="196" t="s">
        <v>146</v>
      </c>
      <c r="C440" s="196" t="s">
        <v>607</v>
      </c>
      <c r="D440" s="335">
        <v>0</v>
      </c>
      <c r="E440" s="335">
        <v>11</v>
      </c>
      <c r="F440" s="335">
        <v>0</v>
      </c>
      <c r="G440" s="335">
        <v>0</v>
      </c>
      <c r="H440" s="335">
        <v>0</v>
      </c>
      <c r="I440" s="335">
        <v>18</v>
      </c>
      <c r="J440" s="335">
        <v>184</v>
      </c>
      <c r="K440" s="335">
        <v>41</v>
      </c>
      <c r="L440" s="335">
        <v>254</v>
      </c>
      <c r="M440" s="335">
        <v>0</v>
      </c>
      <c r="N440" s="335">
        <v>10</v>
      </c>
      <c r="O440" s="335">
        <v>0</v>
      </c>
      <c r="P440" s="335">
        <v>0</v>
      </c>
      <c r="Q440" s="335">
        <v>0</v>
      </c>
      <c r="R440" s="335">
        <v>16</v>
      </c>
      <c r="S440" s="335">
        <v>151</v>
      </c>
      <c r="T440" s="335">
        <v>35</v>
      </c>
      <c r="U440" s="335">
        <v>212</v>
      </c>
      <c r="V440" s="335">
        <v>208</v>
      </c>
      <c r="W440" s="335">
        <v>177</v>
      </c>
      <c r="X440" s="335">
        <v>173</v>
      </c>
      <c r="Y440" s="381">
        <f t="shared" si="6"/>
        <v>878249</v>
      </c>
      <c r="Z440" s="335">
        <v>0</v>
      </c>
      <c r="AA440" s="335">
        <v>0</v>
      </c>
      <c r="AB440" s="335">
        <v>0</v>
      </c>
      <c r="AF440" s="394"/>
      <c r="AH440" s="366"/>
    </row>
    <row r="441" spans="1:34" ht="14.25">
      <c r="A441" s="366" t="s">
        <v>1090</v>
      </c>
      <c r="B441" s="196" t="s">
        <v>146</v>
      </c>
      <c r="C441" s="196" t="s">
        <v>608</v>
      </c>
      <c r="D441" s="335">
        <v>0</v>
      </c>
      <c r="E441" s="335">
        <v>11</v>
      </c>
      <c r="F441" s="335">
        <v>0</v>
      </c>
      <c r="G441" s="335">
        <v>0</v>
      </c>
      <c r="H441" s="335">
        <v>0</v>
      </c>
      <c r="I441" s="335">
        <v>18</v>
      </c>
      <c r="J441" s="335">
        <v>184</v>
      </c>
      <c r="K441" s="335">
        <v>41</v>
      </c>
      <c r="L441" s="335">
        <v>254</v>
      </c>
      <c r="M441" s="335">
        <v>0</v>
      </c>
      <c r="N441" s="335">
        <v>0</v>
      </c>
      <c r="O441" s="335">
        <v>0</v>
      </c>
      <c r="P441" s="335">
        <v>0</v>
      </c>
      <c r="Q441" s="335">
        <v>0</v>
      </c>
      <c r="R441" s="335">
        <v>0</v>
      </c>
      <c r="S441" s="335">
        <v>0</v>
      </c>
      <c r="T441" s="335">
        <v>1</v>
      </c>
      <c r="U441" s="335">
        <v>1</v>
      </c>
      <c r="V441" s="335">
        <v>1</v>
      </c>
      <c r="W441" s="335">
        <v>0</v>
      </c>
      <c r="X441" s="335">
        <v>0</v>
      </c>
      <c r="Y441" s="381">
        <f t="shared" si="6"/>
        <v>4491</v>
      </c>
      <c r="Z441" s="335">
        <v>0</v>
      </c>
      <c r="AA441" s="335">
        <v>0</v>
      </c>
      <c r="AB441" s="335">
        <v>0</v>
      </c>
      <c r="AF441" s="394"/>
      <c r="AH441" s="366"/>
    </row>
    <row r="442" spans="1:34" ht="14.25">
      <c r="A442" s="366" t="s">
        <v>1091</v>
      </c>
      <c r="B442" s="196" t="s">
        <v>146</v>
      </c>
      <c r="C442" s="196" t="s">
        <v>86</v>
      </c>
      <c r="D442" s="335">
        <v>0</v>
      </c>
      <c r="E442" s="335">
        <v>11</v>
      </c>
      <c r="F442" s="335">
        <v>0</v>
      </c>
      <c r="G442" s="335">
        <v>0</v>
      </c>
      <c r="H442" s="335">
        <v>0</v>
      </c>
      <c r="I442" s="335">
        <v>18</v>
      </c>
      <c r="J442" s="335">
        <v>184</v>
      </c>
      <c r="K442" s="335">
        <v>41</v>
      </c>
      <c r="L442" s="335">
        <v>254</v>
      </c>
      <c r="M442" s="335">
        <v>0</v>
      </c>
      <c r="N442" s="335">
        <v>0</v>
      </c>
      <c r="O442" s="335">
        <v>0</v>
      </c>
      <c r="P442" s="335">
        <v>0</v>
      </c>
      <c r="Q442" s="335">
        <v>0</v>
      </c>
      <c r="R442" s="335">
        <v>2</v>
      </c>
      <c r="S442" s="335">
        <v>32</v>
      </c>
      <c r="T442" s="335">
        <v>4</v>
      </c>
      <c r="U442" s="335">
        <v>38</v>
      </c>
      <c r="V442" s="335">
        <v>38</v>
      </c>
      <c r="W442" s="335">
        <v>34</v>
      </c>
      <c r="X442" s="335">
        <v>34</v>
      </c>
      <c r="Y442" s="381">
        <f t="shared" si="6"/>
        <v>159676</v>
      </c>
      <c r="Z442" s="335">
        <v>0</v>
      </c>
      <c r="AA442" s="335">
        <v>0</v>
      </c>
      <c r="AB442" s="335">
        <v>0</v>
      </c>
      <c r="AF442" s="394"/>
      <c r="AH442" s="366"/>
    </row>
    <row r="443" spans="1:34" ht="14.25">
      <c r="A443" s="366" t="s">
        <v>1092</v>
      </c>
      <c r="B443" s="196" t="s">
        <v>239</v>
      </c>
      <c r="C443" s="196" t="s">
        <v>86</v>
      </c>
      <c r="D443" s="335">
        <v>44</v>
      </c>
      <c r="E443" s="335">
        <v>0</v>
      </c>
      <c r="F443" s="335">
        <v>0</v>
      </c>
      <c r="G443" s="335">
        <v>0</v>
      </c>
      <c r="H443" s="335">
        <v>0</v>
      </c>
      <c r="I443" s="335">
        <v>47</v>
      </c>
      <c r="J443" s="335">
        <v>319</v>
      </c>
      <c r="K443" s="335">
        <v>0</v>
      </c>
      <c r="L443" s="335">
        <v>410</v>
      </c>
      <c r="M443" s="335">
        <v>12</v>
      </c>
      <c r="N443" s="335">
        <v>0</v>
      </c>
      <c r="O443" s="335">
        <v>0</v>
      </c>
      <c r="P443" s="335">
        <v>0</v>
      </c>
      <c r="Q443" s="335">
        <v>0</v>
      </c>
      <c r="R443" s="335">
        <v>11</v>
      </c>
      <c r="S443" s="335">
        <v>81</v>
      </c>
      <c r="T443" s="335">
        <v>0</v>
      </c>
      <c r="U443" s="335">
        <v>104</v>
      </c>
      <c r="V443" s="335">
        <v>98</v>
      </c>
      <c r="W443" s="335">
        <v>104</v>
      </c>
      <c r="X443" s="335">
        <v>98</v>
      </c>
      <c r="Y443" s="381">
        <f t="shared" si="6"/>
        <v>408464</v>
      </c>
      <c r="Z443" s="335">
        <v>0</v>
      </c>
      <c r="AA443" s="335">
        <v>0</v>
      </c>
      <c r="AB443" s="335">
        <v>0</v>
      </c>
      <c r="AF443" s="394"/>
      <c r="AH443" s="366"/>
    </row>
    <row r="444" spans="1:34" ht="14.25">
      <c r="A444" s="366" t="s">
        <v>1093</v>
      </c>
      <c r="B444" s="196" t="s">
        <v>411</v>
      </c>
      <c r="C444" s="196" t="s">
        <v>86</v>
      </c>
      <c r="D444" s="335">
        <v>0</v>
      </c>
      <c r="E444" s="335">
        <v>11</v>
      </c>
      <c r="F444" s="335">
        <v>0</v>
      </c>
      <c r="G444" s="335">
        <v>0</v>
      </c>
      <c r="H444" s="335">
        <v>0</v>
      </c>
      <c r="I444" s="335">
        <v>17</v>
      </c>
      <c r="J444" s="335">
        <v>92</v>
      </c>
      <c r="K444" s="335">
        <v>34</v>
      </c>
      <c r="L444" s="335">
        <v>154</v>
      </c>
      <c r="M444" s="335">
        <v>0</v>
      </c>
      <c r="N444" s="335">
        <v>7</v>
      </c>
      <c r="O444" s="335">
        <v>0</v>
      </c>
      <c r="P444" s="335">
        <v>0</v>
      </c>
      <c r="Q444" s="335">
        <v>0</v>
      </c>
      <c r="R444" s="335">
        <v>11</v>
      </c>
      <c r="S444" s="335">
        <v>63</v>
      </c>
      <c r="T444" s="335">
        <v>22</v>
      </c>
      <c r="U444" s="335">
        <v>103</v>
      </c>
      <c r="V444" s="335">
        <v>100.2</v>
      </c>
      <c r="W444" s="335">
        <v>81</v>
      </c>
      <c r="X444" s="335">
        <v>78.2</v>
      </c>
      <c r="Y444" s="381">
        <f t="shared" si="6"/>
        <v>424739.60000000003</v>
      </c>
      <c r="Z444" s="335">
        <v>0</v>
      </c>
      <c r="AA444" s="335">
        <v>0</v>
      </c>
      <c r="AB444" s="335">
        <v>0</v>
      </c>
      <c r="AF444" s="394"/>
      <c r="AH444" s="366"/>
    </row>
    <row r="445" spans="1:34" ht="14.25">
      <c r="A445" s="366" t="s">
        <v>1094</v>
      </c>
      <c r="B445" s="196" t="s">
        <v>496</v>
      </c>
      <c r="C445" s="196" t="s">
        <v>86</v>
      </c>
      <c r="D445" s="335">
        <v>0</v>
      </c>
      <c r="E445" s="335">
        <v>20</v>
      </c>
      <c r="F445" s="335">
        <v>0</v>
      </c>
      <c r="G445" s="335">
        <v>0</v>
      </c>
      <c r="H445" s="335">
        <v>0</v>
      </c>
      <c r="I445" s="335">
        <v>18</v>
      </c>
      <c r="J445" s="335">
        <v>167</v>
      </c>
      <c r="K445" s="335">
        <v>0</v>
      </c>
      <c r="L445" s="335">
        <v>205</v>
      </c>
      <c r="M445" s="335">
        <v>0</v>
      </c>
      <c r="N445" s="335">
        <v>7</v>
      </c>
      <c r="O445" s="335">
        <v>0</v>
      </c>
      <c r="P445" s="335">
        <v>0</v>
      </c>
      <c r="Q445" s="335">
        <v>0</v>
      </c>
      <c r="R445" s="335">
        <v>3</v>
      </c>
      <c r="S445" s="335">
        <v>35</v>
      </c>
      <c r="T445" s="335">
        <v>0</v>
      </c>
      <c r="U445" s="335">
        <v>45</v>
      </c>
      <c r="V445" s="335">
        <v>42.2</v>
      </c>
      <c r="W445" s="335">
        <v>45</v>
      </c>
      <c r="X445" s="335">
        <v>42.2</v>
      </c>
      <c r="Y445" s="381">
        <f t="shared" si="6"/>
        <v>175889.6</v>
      </c>
      <c r="Z445" s="335">
        <v>0</v>
      </c>
      <c r="AA445" s="335">
        <v>0</v>
      </c>
      <c r="AB445" s="335">
        <v>0</v>
      </c>
      <c r="AF445" s="394"/>
      <c r="AH445" s="366"/>
    </row>
    <row r="446" spans="1:34" ht="14.25">
      <c r="A446" s="366" t="s">
        <v>1095</v>
      </c>
      <c r="B446" s="196" t="s">
        <v>147</v>
      </c>
      <c r="C446" s="196" t="s">
        <v>86</v>
      </c>
      <c r="D446" s="335">
        <v>0</v>
      </c>
      <c r="E446" s="335">
        <v>0</v>
      </c>
      <c r="F446" s="335">
        <v>0</v>
      </c>
      <c r="G446" s="335">
        <v>0</v>
      </c>
      <c r="H446" s="335">
        <v>0</v>
      </c>
      <c r="I446" s="335">
        <v>0</v>
      </c>
      <c r="J446" s="335">
        <v>0</v>
      </c>
      <c r="K446" s="335">
        <v>302</v>
      </c>
      <c r="L446" s="335">
        <v>302</v>
      </c>
      <c r="M446" s="335">
        <v>0</v>
      </c>
      <c r="N446" s="335">
        <v>0</v>
      </c>
      <c r="O446" s="335">
        <v>0</v>
      </c>
      <c r="P446" s="335">
        <v>0</v>
      </c>
      <c r="Q446" s="335">
        <v>0</v>
      </c>
      <c r="R446" s="335">
        <v>0</v>
      </c>
      <c r="S446" s="335">
        <v>0</v>
      </c>
      <c r="T446" s="335">
        <v>102</v>
      </c>
      <c r="U446" s="335">
        <v>102</v>
      </c>
      <c r="V446" s="335">
        <v>102</v>
      </c>
      <c r="W446" s="335">
        <v>0</v>
      </c>
      <c r="X446" s="335">
        <v>0</v>
      </c>
      <c r="Y446" s="381">
        <f t="shared" si="6"/>
        <v>458082</v>
      </c>
      <c r="Z446" s="335">
        <v>0</v>
      </c>
      <c r="AA446" s="335">
        <v>0</v>
      </c>
      <c r="AB446" s="335">
        <v>0</v>
      </c>
      <c r="AF446" s="394"/>
      <c r="AH446" s="366"/>
    </row>
    <row r="447" spans="1:34" ht="28.5">
      <c r="A447" s="366" t="s">
        <v>1096</v>
      </c>
      <c r="B447" s="196" t="s">
        <v>148</v>
      </c>
      <c r="C447" s="196" t="s">
        <v>607</v>
      </c>
      <c r="D447" s="335">
        <v>0</v>
      </c>
      <c r="E447" s="335">
        <v>0</v>
      </c>
      <c r="F447" s="335">
        <v>0</v>
      </c>
      <c r="G447" s="335">
        <v>0</v>
      </c>
      <c r="H447" s="335">
        <v>0</v>
      </c>
      <c r="I447" s="335">
        <v>0</v>
      </c>
      <c r="J447" s="335">
        <v>0</v>
      </c>
      <c r="K447" s="335">
        <v>73</v>
      </c>
      <c r="L447" s="335">
        <v>73</v>
      </c>
      <c r="M447" s="335">
        <v>0</v>
      </c>
      <c r="N447" s="335">
        <v>0</v>
      </c>
      <c r="O447" s="335">
        <v>0</v>
      </c>
      <c r="P447" s="335">
        <v>0</v>
      </c>
      <c r="Q447" s="335">
        <v>0</v>
      </c>
      <c r="R447" s="335">
        <v>0</v>
      </c>
      <c r="S447" s="335">
        <v>0</v>
      </c>
      <c r="T447" s="335">
        <v>13</v>
      </c>
      <c r="U447" s="335">
        <v>13</v>
      </c>
      <c r="V447" s="335">
        <v>13</v>
      </c>
      <c r="W447" s="335">
        <v>0</v>
      </c>
      <c r="X447" s="335">
        <v>0</v>
      </c>
      <c r="Y447" s="381">
        <f t="shared" si="6"/>
        <v>58383</v>
      </c>
      <c r="Z447" s="335">
        <v>0</v>
      </c>
      <c r="AA447" s="335">
        <v>0</v>
      </c>
      <c r="AB447" s="335">
        <v>0</v>
      </c>
      <c r="AF447" s="394"/>
      <c r="AH447" s="366"/>
    </row>
    <row r="448" spans="1:34" ht="14.25">
      <c r="A448" s="366" t="s">
        <v>1097</v>
      </c>
      <c r="B448" s="196" t="s">
        <v>148</v>
      </c>
      <c r="C448" s="196" t="s">
        <v>86</v>
      </c>
      <c r="D448" s="335">
        <v>0</v>
      </c>
      <c r="E448" s="335">
        <v>0</v>
      </c>
      <c r="F448" s="335">
        <v>0</v>
      </c>
      <c r="G448" s="335">
        <v>0</v>
      </c>
      <c r="H448" s="335">
        <v>0</v>
      </c>
      <c r="I448" s="335">
        <v>0</v>
      </c>
      <c r="J448" s="335">
        <v>0</v>
      </c>
      <c r="K448" s="335">
        <v>73</v>
      </c>
      <c r="L448" s="335">
        <v>73</v>
      </c>
      <c r="M448" s="335">
        <v>0</v>
      </c>
      <c r="N448" s="335">
        <v>0</v>
      </c>
      <c r="O448" s="335">
        <v>0</v>
      </c>
      <c r="P448" s="335">
        <v>0</v>
      </c>
      <c r="Q448" s="335">
        <v>0</v>
      </c>
      <c r="R448" s="335">
        <v>0</v>
      </c>
      <c r="S448" s="335">
        <v>0</v>
      </c>
      <c r="T448" s="335">
        <v>16</v>
      </c>
      <c r="U448" s="335">
        <v>16</v>
      </c>
      <c r="V448" s="335">
        <v>16</v>
      </c>
      <c r="W448" s="335">
        <v>0</v>
      </c>
      <c r="X448" s="335">
        <v>0</v>
      </c>
      <c r="Y448" s="381">
        <f t="shared" si="6"/>
        <v>71856</v>
      </c>
      <c r="Z448" s="335">
        <v>0</v>
      </c>
      <c r="AA448" s="335">
        <v>0</v>
      </c>
      <c r="AB448" s="335">
        <v>0</v>
      </c>
      <c r="AF448" s="394"/>
      <c r="AH448" s="366"/>
    </row>
    <row r="449" spans="1:34" ht="28.5">
      <c r="A449" s="366" t="s">
        <v>1098</v>
      </c>
      <c r="B449" s="196" t="s">
        <v>450</v>
      </c>
      <c r="C449" s="196" t="s">
        <v>607</v>
      </c>
      <c r="D449" s="335">
        <v>0</v>
      </c>
      <c r="E449" s="335">
        <v>0</v>
      </c>
      <c r="F449" s="335">
        <v>0</v>
      </c>
      <c r="G449" s="335">
        <v>0</v>
      </c>
      <c r="H449" s="335">
        <v>0</v>
      </c>
      <c r="I449" s="335">
        <v>0</v>
      </c>
      <c r="J449" s="335">
        <v>0</v>
      </c>
      <c r="K449" s="335">
        <v>831</v>
      </c>
      <c r="L449" s="335">
        <v>831</v>
      </c>
      <c r="M449" s="335">
        <v>0</v>
      </c>
      <c r="N449" s="335">
        <v>0</v>
      </c>
      <c r="O449" s="335">
        <v>0</v>
      </c>
      <c r="P449" s="335">
        <v>0</v>
      </c>
      <c r="Q449" s="335">
        <v>0</v>
      </c>
      <c r="R449" s="335">
        <v>0</v>
      </c>
      <c r="S449" s="335">
        <v>0</v>
      </c>
      <c r="T449" s="335">
        <v>397</v>
      </c>
      <c r="U449" s="335">
        <v>397</v>
      </c>
      <c r="V449" s="335">
        <v>397</v>
      </c>
      <c r="W449" s="335">
        <v>0</v>
      </c>
      <c r="X449" s="335">
        <v>0</v>
      </c>
      <c r="Y449" s="381">
        <f t="shared" si="6"/>
        <v>1782927</v>
      </c>
      <c r="Z449" s="335">
        <v>73</v>
      </c>
      <c r="AA449" s="335">
        <v>0</v>
      </c>
      <c r="AB449" s="335">
        <v>0</v>
      </c>
      <c r="AF449" s="394"/>
      <c r="AH449" s="366"/>
    </row>
    <row r="450" spans="1:34" ht="28.5">
      <c r="A450" s="366" t="s">
        <v>1099</v>
      </c>
      <c r="B450" s="196" t="s">
        <v>450</v>
      </c>
      <c r="C450" s="196" t="s">
        <v>86</v>
      </c>
      <c r="D450" s="335">
        <v>0</v>
      </c>
      <c r="E450" s="335">
        <v>0</v>
      </c>
      <c r="F450" s="335">
        <v>0</v>
      </c>
      <c r="G450" s="335">
        <v>0</v>
      </c>
      <c r="H450" s="335">
        <v>0</v>
      </c>
      <c r="I450" s="335">
        <v>0</v>
      </c>
      <c r="J450" s="335">
        <v>0</v>
      </c>
      <c r="K450" s="335">
        <v>831</v>
      </c>
      <c r="L450" s="335">
        <v>831</v>
      </c>
      <c r="M450" s="335">
        <v>0</v>
      </c>
      <c r="N450" s="335">
        <v>0</v>
      </c>
      <c r="O450" s="335">
        <v>0</v>
      </c>
      <c r="P450" s="335">
        <v>0</v>
      </c>
      <c r="Q450" s="335">
        <v>0</v>
      </c>
      <c r="R450" s="335">
        <v>0</v>
      </c>
      <c r="S450" s="335">
        <v>0</v>
      </c>
      <c r="T450" s="335">
        <v>106</v>
      </c>
      <c r="U450" s="335">
        <v>106</v>
      </c>
      <c r="V450" s="335">
        <v>106</v>
      </c>
      <c r="W450" s="335">
        <v>0</v>
      </c>
      <c r="X450" s="335">
        <v>0</v>
      </c>
      <c r="Y450" s="381">
        <f t="shared" si="6"/>
        <v>476046</v>
      </c>
      <c r="Z450" s="335">
        <v>0</v>
      </c>
      <c r="AA450" s="335">
        <v>0</v>
      </c>
      <c r="AB450" s="335">
        <v>0</v>
      </c>
      <c r="AF450" s="394"/>
      <c r="AH450" s="366"/>
    </row>
    <row r="451" spans="1:34" ht="14.25">
      <c r="A451" s="366" t="s">
        <v>1100</v>
      </c>
      <c r="B451" s="196" t="s">
        <v>451</v>
      </c>
      <c r="C451" s="196" t="s">
        <v>608</v>
      </c>
      <c r="D451" s="335">
        <v>9</v>
      </c>
      <c r="E451" s="335">
        <v>0</v>
      </c>
      <c r="F451" s="335">
        <v>0</v>
      </c>
      <c r="G451" s="335">
        <v>0</v>
      </c>
      <c r="H451" s="335">
        <v>0</v>
      </c>
      <c r="I451" s="335">
        <v>13</v>
      </c>
      <c r="J451" s="335">
        <v>148</v>
      </c>
      <c r="K451" s="335">
        <v>0</v>
      </c>
      <c r="L451" s="335">
        <v>170</v>
      </c>
      <c r="M451" s="335">
        <v>6</v>
      </c>
      <c r="N451" s="335">
        <v>0</v>
      </c>
      <c r="O451" s="335">
        <v>0</v>
      </c>
      <c r="P451" s="335">
        <v>0</v>
      </c>
      <c r="Q451" s="335">
        <v>0</v>
      </c>
      <c r="R451" s="335">
        <v>9</v>
      </c>
      <c r="S451" s="335">
        <v>121</v>
      </c>
      <c r="T451" s="335">
        <v>0</v>
      </c>
      <c r="U451" s="335">
        <v>136</v>
      </c>
      <c r="V451" s="335">
        <v>133</v>
      </c>
      <c r="W451" s="335">
        <v>136</v>
      </c>
      <c r="X451" s="335">
        <v>133</v>
      </c>
      <c r="Y451" s="381">
        <f t="shared" si="6"/>
        <v>554344</v>
      </c>
      <c r="Z451" s="335">
        <v>0</v>
      </c>
      <c r="AA451" s="335">
        <v>0</v>
      </c>
      <c r="AB451" s="335">
        <v>0</v>
      </c>
      <c r="AF451" s="394"/>
      <c r="AH451" s="366"/>
    </row>
    <row r="452" spans="1:34" ht="14.25">
      <c r="A452" s="366" t="s">
        <v>1101</v>
      </c>
      <c r="B452" s="196" t="s">
        <v>412</v>
      </c>
      <c r="C452" s="196" t="s">
        <v>86</v>
      </c>
      <c r="D452" s="335">
        <v>0</v>
      </c>
      <c r="E452" s="335">
        <v>0</v>
      </c>
      <c r="F452" s="335">
        <v>0</v>
      </c>
      <c r="G452" s="335">
        <v>0</v>
      </c>
      <c r="H452" s="335">
        <v>0</v>
      </c>
      <c r="I452" s="335">
        <v>0</v>
      </c>
      <c r="J452" s="335">
        <v>0</v>
      </c>
      <c r="K452" s="335">
        <v>26</v>
      </c>
      <c r="L452" s="335">
        <v>26</v>
      </c>
      <c r="M452" s="335">
        <v>0</v>
      </c>
      <c r="N452" s="335">
        <v>0</v>
      </c>
      <c r="O452" s="335">
        <v>0</v>
      </c>
      <c r="P452" s="335">
        <v>0</v>
      </c>
      <c r="Q452" s="335">
        <v>0</v>
      </c>
      <c r="R452" s="335">
        <v>0</v>
      </c>
      <c r="S452" s="335">
        <v>0</v>
      </c>
      <c r="T452" s="335">
        <v>12</v>
      </c>
      <c r="U452" s="335">
        <v>12</v>
      </c>
      <c r="V452" s="335">
        <v>12</v>
      </c>
      <c r="W452" s="335">
        <v>0</v>
      </c>
      <c r="X452" s="335">
        <v>0</v>
      </c>
      <c r="Y452" s="381">
        <f t="shared" si="6"/>
        <v>53892</v>
      </c>
      <c r="Z452" s="335">
        <v>0</v>
      </c>
      <c r="AA452" s="335">
        <v>0</v>
      </c>
      <c r="AB452" s="335">
        <v>0</v>
      </c>
      <c r="AF452" s="394"/>
      <c r="AH452" s="366"/>
    </row>
    <row r="453" spans="1:34" ht="28.5">
      <c r="A453" s="366" t="s">
        <v>1102</v>
      </c>
      <c r="B453" s="196" t="s">
        <v>240</v>
      </c>
      <c r="C453" s="196" t="s">
        <v>607</v>
      </c>
      <c r="D453" s="335">
        <v>6</v>
      </c>
      <c r="E453" s="335">
        <v>0</v>
      </c>
      <c r="F453" s="335">
        <v>0</v>
      </c>
      <c r="G453" s="335">
        <v>0</v>
      </c>
      <c r="H453" s="335">
        <v>0</v>
      </c>
      <c r="I453" s="335">
        <v>3</v>
      </c>
      <c r="J453" s="335">
        <v>60</v>
      </c>
      <c r="K453" s="335">
        <v>0</v>
      </c>
      <c r="L453" s="335">
        <v>69</v>
      </c>
      <c r="M453" s="335">
        <v>4</v>
      </c>
      <c r="N453" s="335">
        <v>0</v>
      </c>
      <c r="O453" s="335">
        <v>0</v>
      </c>
      <c r="P453" s="335">
        <v>0</v>
      </c>
      <c r="Q453" s="335">
        <v>0</v>
      </c>
      <c r="R453" s="335">
        <v>3</v>
      </c>
      <c r="S453" s="335">
        <v>53</v>
      </c>
      <c r="T453" s="335">
        <v>0</v>
      </c>
      <c r="U453" s="335">
        <v>60</v>
      </c>
      <c r="V453" s="335">
        <v>58</v>
      </c>
      <c r="W453" s="335">
        <v>60</v>
      </c>
      <c r="X453" s="335">
        <v>58</v>
      </c>
      <c r="Y453" s="381">
        <f aca="true" t="shared" si="7" ref="Y453:Y461">((T453*CY_9_12_Pmt)+(X453*CY_K_8_Pmt))/2</f>
        <v>241744</v>
      </c>
      <c r="Z453" s="335">
        <v>0</v>
      </c>
      <c r="AA453" s="335">
        <v>0</v>
      </c>
      <c r="AB453" s="335">
        <v>0</v>
      </c>
      <c r="AF453" s="394"/>
      <c r="AH453" s="366"/>
    </row>
    <row r="454" spans="1:34" ht="28.5">
      <c r="A454" s="366" t="s">
        <v>1103</v>
      </c>
      <c r="B454" s="196" t="s">
        <v>240</v>
      </c>
      <c r="C454" s="196" t="s">
        <v>608</v>
      </c>
      <c r="D454" s="335">
        <v>6</v>
      </c>
      <c r="E454" s="335">
        <v>0</v>
      </c>
      <c r="F454" s="335">
        <v>0</v>
      </c>
      <c r="G454" s="335">
        <v>0</v>
      </c>
      <c r="H454" s="335">
        <v>0</v>
      </c>
      <c r="I454" s="335">
        <v>3</v>
      </c>
      <c r="J454" s="335">
        <v>60</v>
      </c>
      <c r="K454" s="335">
        <v>0</v>
      </c>
      <c r="L454" s="335">
        <v>69</v>
      </c>
      <c r="M454" s="335"/>
      <c r="N454" s="335"/>
      <c r="O454" s="335"/>
      <c r="P454" s="335"/>
      <c r="Q454" s="335"/>
      <c r="R454" s="335"/>
      <c r="S454" s="335"/>
      <c r="T454" s="335"/>
      <c r="U454" s="335"/>
      <c r="V454" s="335"/>
      <c r="W454" s="335"/>
      <c r="X454" s="335"/>
      <c r="Y454" s="381">
        <f t="shared" si="7"/>
        <v>0</v>
      </c>
      <c r="Z454" s="335">
        <v>0</v>
      </c>
      <c r="AA454" s="335">
        <v>0</v>
      </c>
      <c r="AB454" s="335">
        <v>0</v>
      </c>
      <c r="AF454" s="394"/>
      <c r="AH454" s="366"/>
    </row>
    <row r="455" spans="1:34" ht="28.5">
      <c r="A455" s="366" t="s">
        <v>1104</v>
      </c>
      <c r="B455" s="196" t="s">
        <v>240</v>
      </c>
      <c r="C455" s="196" t="s">
        <v>86</v>
      </c>
      <c r="D455" s="335">
        <v>6</v>
      </c>
      <c r="E455" s="335">
        <v>0</v>
      </c>
      <c r="F455" s="335">
        <v>0</v>
      </c>
      <c r="G455" s="335">
        <v>0</v>
      </c>
      <c r="H455" s="335">
        <v>0</v>
      </c>
      <c r="I455" s="335">
        <v>3</v>
      </c>
      <c r="J455" s="335">
        <v>60</v>
      </c>
      <c r="K455" s="335">
        <v>0</v>
      </c>
      <c r="L455" s="335">
        <v>69</v>
      </c>
      <c r="M455" s="335">
        <v>1</v>
      </c>
      <c r="N455" s="335">
        <v>0</v>
      </c>
      <c r="O455" s="335">
        <v>0</v>
      </c>
      <c r="P455" s="335">
        <v>0</v>
      </c>
      <c r="Q455" s="335">
        <v>0</v>
      </c>
      <c r="R455" s="335">
        <v>0</v>
      </c>
      <c r="S455" s="335">
        <v>2</v>
      </c>
      <c r="T455" s="335">
        <v>0</v>
      </c>
      <c r="U455" s="335">
        <v>3</v>
      </c>
      <c r="V455" s="335">
        <v>2.5</v>
      </c>
      <c r="W455" s="335">
        <v>3</v>
      </c>
      <c r="X455" s="335">
        <v>2.5</v>
      </c>
      <c r="Y455" s="381">
        <f t="shared" si="7"/>
        <v>10420</v>
      </c>
      <c r="Z455" s="335">
        <v>0</v>
      </c>
      <c r="AA455" s="335">
        <v>0</v>
      </c>
      <c r="AB455" s="335">
        <v>0</v>
      </c>
      <c r="AF455" s="394"/>
      <c r="AH455" s="366"/>
    </row>
    <row r="456" spans="1:34" ht="28.5">
      <c r="A456" s="366" t="s">
        <v>1105</v>
      </c>
      <c r="B456" s="196" t="s">
        <v>149</v>
      </c>
      <c r="C456" s="196" t="s">
        <v>607</v>
      </c>
      <c r="D456" s="335">
        <v>0</v>
      </c>
      <c r="E456" s="335">
        <v>16</v>
      </c>
      <c r="F456" s="335">
        <v>0</v>
      </c>
      <c r="G456" s="335">
        <v>0</v>
      </c>
      <c r="H456" s="335">
        <v>0</v>
      </c>
      <c r="I456" s="335">
        <v>22</v>
      </c>
      <c r="J456" s="335">
        <v>165</v>
      </c>
      <c r="K456" s="335">
        <v>0</v>
      </c>
      <c r="L456" s="335">
        <v>203</v>
      </c>
      <c r="M456" s="335">
        <v>0</v>
      </c>
      <c r="N456" s="335">
        <v>14</v>
      </c>
      <c r="O456" s="335">
        <v>0</v>
      </c>
      <c r="P456" s="335">
        <v>0</v>
      </c>
      <c r="Q456" s="335">
        <v>0</v>
      </c>
      <c r="R456" s="335">
        <v>21</v>
      </c>
      <c r="S456" s="335">
        <v>150</v>
      </c>
      <c r="T456" s="335">
        <v>0</v>
      </c>
      <c r="U456" s="335">
        <v>185</v>
      </c>
      <c r="V456" s="335">
        <v>179.4</v>
      </c>
      <c r="W456" s="335">
        <v>185</v>
      </c>
      <c r="X456" s="335">
        <v>179.4</v>
      </c>
      <c r="Y456" s="381">
        <f t="shared" si="7"/>
        <v>747739.2000000001</v>
      </c>
      <c r="Z456" s="335">
        <v>0</v>
      </c>
      <c r="AA456" s="335">
        <v>0</v>
      </c>
      <c r="AB456" s="335">
        <v>0</v>
      </c>
      <c r="AF456" s="394"/>
      <c r="AH456" s="366"/>
    </row>
    <row r="457" spans="1:34" ht="14.25">
      <c r="A457" s="366" t="s">
        <v>1106</v>
      </c>
      <c r="B457" s="196" t="s">
        <v>149</v>
      </c>
      <c r="C457" s="196" t="s">
        <v>86</v>
      </c>
      <c r="D457" s="335">
        <v>0</v>
      </c>
      <c r="E457" s="335">
        <v>16</v>
      </c>
      <c r="F457" s="335">
        <v>0</v>
      </c>
      <c r="G457" s="335">
        <v>0</v>
      </c>
      <c r="H457" s="335">
        <v>0</v>
      </c>
      <c r="I457" s="335">
        <v>22</v>
      </c>
      <c r="J457" s="335">
        <v>165</v>
      </c>
      <c r="K457" s="335">
        <v>0</v>
      </c>
      <c r="L457" s="335">
        <v>203</v>
      </c>
      <c r="M457" s="335">
        <v>0</v>
      </c>
      <c r="N457" s="335">
        <v>1</v>
      </c>
      <c r="O457" s="335">
        <v>0</v>
      </c>
      <c r="P457" s="335">
        <v>0</v>
      </c>
      <c r="Q457" s="335">
        <v>0</v>
      </c>
      <c r="R457" s="335">
        <v>0</v>
      </c>
      <c r="S457" s="335">
        <v>0</v>
      </c>
      <c r="T457" s="335">
        <v>0</v>
      </c>
      <c r="U457" s="335">
        <v>1</v>
      </c>
      <c r="V457" s="335">
        <v>0.6</v>
      </c>
      <c r="W457" s="335">
        <v>1</v>
      </c>
      <c r="X457" s="335">
        <v>0.6</v>
      </c>
      <c r="Y457" s="381">
        <f t="shared" si="7"/>
        <v>2500.7999999999997</v>
      </c>
      <c r="Z457" s="335">
        <v>0</v>
      </c>
      <c r="AA457" s="335">
        <v>0</v>
      </c>
      <c r="AB457" s="335">
        <v>0</v>
      </c>
      <c r="AF457" s="394"/>
      <c r="AH457" s="366"/>
    </row>
    <row r="458" spans="1:34" ht="14.25">
      <c r="A458" s="366" t="s">
        <v>1107</v>
      </c>
      <c r="B458" s="196" t="s">
        <v>497</v>
      </c>
      <c r="C458" s="196" t="s">
        <v>86</v>
      </c>
      <c r="D458" s="335">
        <v>0</v>
      </c>
      <c r="E458" s="335">
        <v>0</v>
      </c>
      <c r="F458" s="335">
        <v>0</v>
      </c>
      <c r="G458" s="335">
        <v>0</v>
      </c>
      <c r="H458" s="335">
        <v>0</v>
      </c>
      <c r="I458" s="335">
        <v>6</v>
      </c>
      <c r="J458" s="335">
        <v>20</v>
      </c>
      <c r="K458" s="335">
        <v>0</v>
      </c>
      <c r="L458" s="335">
        <v>26</v>
      </c>
      <c r="M458" s="335">
        <v>0</v>
      </c>
      <c r="N458" s="335">
        <v>0</v>
      </c>
      <c r="O458" s="335">
        <v>0</v>
      </c>
      <c r="P458" s="335">
        <v>0</v>
      </c>
      <c r="Q458" s="335">
        <v>0</v>
      </c>
      <c r="R458" s="335">
        <v>1</v>
      </c>
      <c r="S458" s="335">
        <v>5</v>
      </c>
      <c r="T458" s="335">
        <v>0</v>
      </c>
      <c r="U458" s="335">
        <v>6</v>
      </c>
      <c r="V458" s="335">
        <v>6</v>
      </c>
      <c r="W458" s="335">
        <v>6</v>
      </c>
      <c r="X458" s="335">
        <v>6</v>
      </c>
      <c r="Y458" s="381">
        <f t="shared" si="7"/>
        <v>25008</v>
      </c>
      <c r="Z458" s="335">
        <v>0</v>
      </c>
      <c r="AA458" s="335">
        <v>0</v>
      </c>
      <c r="AB458" s="335">
        <v>0</v>
      </c>
      <c r="AF458" s="394"/>
      <c r="AH458" s="366"/>
    </row>
    <row r="459" spans="1:34" ht="28.5">
      <c r="A459" s="366" t="s">
        <v>1108</v>
      </c>
      <c r="B459" s="196" t="s">
        <v>323</v>
      </c>
      <c r="C459" s="196" t="s">
        <v>607</v>
      </c>
      <c r="D459" s="335">
        <v>18</v>
      </c>
      <c r="E459" s="335">
        <v>0</v>
      </c>
      <c r="F459" s="335">
        <v>0</v>
      </c>
      <c r="G459" s="335">
        <v>0</v>
      </c>
      <c r="H459" s="335">
        <v>0</v>
      </c>
      <c r="I459" s="335">
        <v>9</v>
      </c>
      <c r="J459" s="335">
        <v>66</v>
      </c>
      <c r="K459" s="335">
        <v>0</v>
      </c>
      <c r="L459" s="335">
        <v>93</v>
      </c>
      <c r="M459" s="335">
        <v>2</v>
      </c>
      <c r="N459" s="335">
        <v>0</v>
      </c>
      <c r="O459" s="335">
        <v>0</v>
      </c>
      <c r="P459" s="335">
        <v>0</v>
      </c>
      <c r="Q459" s="335">
        <v>0</v>
      </c>
      <c r="R459" s="335">
        <v>2</v>
      </c>
      <c r="S459" s="335">
        <v>25</v>
      </c>
      <c r="T459" s="335">
        <v>0</v>
      </c>
      <c r="U459" s="335">
        <v>29</v>
      </c>
      <c r="V459" s="335">
        <v>28</v>
      </c>
      <c r="W459" s="335">
        <v>29</v>
      </c>
      <c r="X459" s="335">
        <v>28</v>
      </c>
      <c r="Y459" s="381">
        <f t="shared" si="7"/>
        <v>116704</v>
      </c>
      <c r="Z459" s="335">
        <v>0</v>
      </c>
      <c r="AA459" s="335">
        <v>0</v>
      </c>
      <c r="AB459" s="335">
        <v>0</v>
      </c>
      <c r="AF459" s="394"/>
      <c r="AH459" s="366"/>
    </row>
    <row r="460" spans="1:34" ht="28.5">
      <c r="A460" s="366" t="s">
        <v>1109</v>
      </c>
      <c r="B460" s="196" t="s">
        <v>323</v>
      </c>
      <c r="C460" s="196" t="s">
        <v>86</v>
      </c>
      <c r="D460" s="335">
        <v>18</v>
      </c>
      <c r="E460" s="335">
        <v>0</v>
      </c>
      <c r="F460" s="335">
        <v>0</v>
      </c>
      <c r="G460" s="335">
        <v>0</v>
      </c>
      <c r="H460" s="335">
        <v>0</v>
      </c>
      <c r="I460" s="335">
        <v>9</v>
      </c>
      <c r="J460" s="335">
        <v>66</v>
      </c>
      <c r="K460" s="335">
        <v>0</v>
      </c>
      <c r="L460" s="335">
        <v>93</v>
      </c>
      <c r="M460" s="335">
        <v>0</v>
      </c>
      <c r="N460" s="335">
        <v>0</v>
      </c>
      <c r="O460" s="335">
        <v>0</v>
      </c>
      <c r="P460" s="335">
        <v>0</v>
      </c>
      <c r="Q460" s="335">
        <v>0</v>
      </c>
      <c r="R460" s="335">
        <v>1</v>
      </c>
      <c r="S460" s="335">
        <v>10</v>
      </c>
      <c r="T460" s="335">
        <v>0</v>
      </c>
      <c r="U460" s="335">
        <v>11</v>
      </c>
      <c r="V460" s="335">
        <v>11</v>
      </c>
      <c r="W460" s="335">
        <v>11</v>
      </c>
      <c r="X460" s="335">
        <v>11</v>
      </c>
      <c r="Y460" s="381">
        <f t="shared" si="7"/>
        <v>45848</v>
      </c>
      <c r="Z460" s="335">
        <v>0</v>
      </c>
      <c r="AA460" s="335">
        <v>0</v>
      </c>
      <c r="AB460" s="335">
        <v>0</v>
      </c>
      <c r="AF460" s="394"/>
      <c r="AH460" s="366"/>
    </row>
    <row r="461" spans="1:34" ht="14.25">
      <c r="A461" s="373" t="s">
        <v>1110</v>
      </c>
      <c r="B461" s="196" t="s">
        <v>413</v>
      </c>
      <c r="C461" s="196" t="s">
        <v>86</v>
      </c>
      <c r="D461" s="372">
        <v>17</v>
      </c>
      <c r="E461" s="372">
        <v>0</v>
      </c>
      <c r="F461" s="372">
        <v>0</v>
      </c>
      <c r="G461" s="372">
        <v>0</v>
      </c>
      <c r="H461" s="372">
        <v>0</v>
      </c>
      <c r="I461" s="372">
        <v>20</v>
      </c>
      <c r="J461" s="372">
        <v>110</v>
      </c>
      <c r="K461" s="372">
        <v>0</v>
      </c>
      <c r="L461" s="372">
        <v>147</v>
      </c>
      <c r="M461" s="335">
        <v>3</v>
      </c>
      <c r="N461" s="335">
        <v>0</v>
      </c>
      <c r="O461" s="335">
        <v>0</v>
      </c>
      <c r="P461" s="335">
        <v>0</v>
      </c>
      <c r="Q461" s="335">
        <v>0</v>
      </c>
      <c r="R461" s="335">
        <v>2</v>
      </c>
      <c r="S461" s="335">
        <v>13</v>
      </c>
      <c r="T461" s="335">
        <v>0</v>
      </c>
      <c r="U461" s="335">
        <v>18</v>
      </c>
      <c r="V461" s="335">
        <v>16.5</v>
      </c>
      <c r="W461" s="335">
        <v>18</v>
      </c>
      <c r="X461" s="335">
        <v>16.5</v>
      </c>
      <c r="Y461" s="381">
        <f t="shared" si="7"/>
        <v>68772</v>
      </c>
      <c r="Z461" s="335">
        <v>0</v>
      </c>
      <c r="AA461" s="335">
        <v>0</v>
      </c>
      <c r="AB461" s="335">
        <v>0</v>
      </c>
      <c r="AF461" s="394"/>
      <c r="AH461" s="373"/>
    </row>
    <row r="462" spans="1:35" s="365" customFormat="1" ht="15" thickBot="1">
      <c r="A462" s="374" t="s">
        <v>241</v>
      </c>
      <c r="D462" s="367">
        <f aca="true" t="shared" si="8" ref="D462:X462">SUM(D5:D461)</f>
        <v>4462</v>
      </c>
      <c r="E462" s="367">
        <f t="shared" si="8"/>
        <v>2944</v>
      </c>
      <c r="F462" s="367">
        <f t="shared" si="8"/>
        <v>128</v>
      </c>
      <c r="G462" s="367">
        <f t="shared" si="8"/>
        <v>30</v>
      </c>
      <c r="H462" s="368">
        <f t="shared" si="8"/>
        <v>2</v>
      </c>
      <c r="I462" s="367">
        <f t="shared" si="8"/>
        <v>8686</v>
      </c>
      <c r="J462" s="367">
        <f t="shared" si="8"/>
        <v>68620</v>
      </c>
      <c r="K462" s="367">
        <f t="shared" si="8"/>
        <v>30259</v>
      </c>
      <c r="L462" s="367">
        <f t="shared" si="8"/>
        <v>115131</v>
      </c>
      <c r="M462" s="367">
        <f t="shared" si="8"/>
        <v>1238</v>
      </c>
      <c r="N462" s="367">
        <f t="shared" si="8"/>
        <v>1653</v>
      </c>
      <c r="O462" s="367">
        <f t="shared" si="8"/>
        <v>43</v>
      </c>
      <c r="P462" s="367">
        <f t="shared" si="8"/>
        <v>13</v>
      </c>
      <c r="Q462" s="368">
        <f t="shared" si="8"/>
        <v>0</v>
      </c>
      <c r="R462" s="367">
        <f t="shared" si="8"/>
        <v>3752</v>
      </c>
      <c r="S462" s="367">
        <f t="shared" si="8"/>
        <v>28981</v>
      </c>
      <c r="T462" s="367">
        <f t="shared" si="8"/>
        <v>10476</v>
      </c>
      <c r="U462" s="367">
        <f t="shared" si="8"/>
        <v>46156</v>
      </c>
      <c r="V462" s="389">
        <f t="shared" si="8"/>
        <v>44849.09999999997</v>
      </c>
      <c r="W462" s="389">
        <f t="shared" si="8"/>
        <v>35680</v>
      </c>
      <c r="X462" s="389">
        <f t="shared" si="8"/>
        <v>34373.09999999998</v>
      </c>
      <c r="Y462" s="375">
        <f aca="true" t="shared" si="9" ref="Y462:AF462">SUM(Y5:Y461)</f>
        <v>190314796.8</v>
      </c>
      <c r="Z462" s="367">
        <f t="shared" si="9"/>
        <v>576</v>
      </c>
      <c r="AA462" s="367">
        <f t="shared" si="9"/>
        <v>82</v>
      </c>
      <c r="AB462" s="367">
        <f t="shared" si="9"/>
        <v>0</v>
      </c>
      <c r="AC462" s="367">
        <f t="shared" si="9"/>
        <v>0</v>
      </c>
      <c r="AD462" s="367">
        <f t="shared" si="9"/>
        <v>0</v>
      </c>
      <c r="AE462" s="367">
        <f t="shared" si="9"/>
        <v>0</v>
      </c>
      <c r="AF462" s="395">
        <f t="shared" si="9"/>
        <v>0</v>
      </c>
      <c r="AH462"/>
      <c r="AI462"/>
    </row>
    <row r="463" ht="15" thickTop="1"/>
    <row r="466" spans="2:32" ht="14.25">
      <c r="B466">
        <v>1</v>
      </c>
      <c r="C466">
        <v>2</v>
      </c>
      <c r="D466">
        <v>3</v>
      </c>
      <c r="E466">
        <v>4</v>
      </c>
      <c r="F466">
        <v>5</v>
      </c>
      <c r="G466">
        <v>6</v>
      </c>
      <c r="H466">
        <v>7</v>
      </c>
      <c r="I466">
        <v>8</v>
      </c>
      <c r="J466">
        <v>9</v>
      </c>
      <c r="K466">
        <v>10</v>
      </c>
      <c r="L466">
        <v>11</v>
      </c>
      <c r="M466">
        <v>12</v>
      </c>
      <c r="N466">
        <v>13</v>
      </c>
      <c r="O466">
        <v>14</v>
      </c>
      <c r="P466">
        <v>15</v>
      </c>
      <c r="Q466">
        <v>16</v>
      </c>
      <c r="R466">
        <v>17</v>
      </c>
      <c r="S466">
        <v>18</v>
      </c>
      <c r="T466">
        <v>19</v>
      </c>
      <c r="U466">
        <v>20</v>
      </c>
      <c r="V466">
        <v>21</v>
      </c>
      <c r="W466">
        <v>22</v>
      </c>
      <c r="X466">
        <v>23</v>
      </c>
      <c r="Y466">
        <v>24</v>
      </c>
      <c r="Z466">
        <v>25</v>
      </c>
      <c r="AA466">
        <v>26</v>
      </c>
      <c r="AB466">
        <v>27</v>
      </c>
      <c r="AC466">
        <v>28</v>
      </c>
      <c r="AD466">
        <v>29</v>
      </c>
      <c r="AE466">
        <v>30</v>
      </c>
      <c r="AF466">
        <v>31</v>
      </c>
    </row>
    <row r="467" spans="1:32" ht="14.25">
      <c r="A467">
        <v>1</v>
      </c>
      <c r="B467">
        <v>2</v>
      </c>
      <c r="C467">
        <v>3</v>
      </c>
      <c r="D467">
        <v>4</v>
      </c>
      <c r="E467">
        <v>5</v>
      </c>
      <c r="F467">
        <v>6</v>
      </c>
      <c r="G467">
        <v>7</v>
      </c>
      <c r="H467">
        <v>8</v>
      </c>
      <c r="I467">
        <v>9</v>
      </c>
      <c r="J467">
        <v>10</v>
      </c>
      <c r="K467">
        <v>11</v>
      </c>
      <c r="L467">
        <v>12</v>
      </c>
      <c r="M467">
        <v>13</v>
      </c>
      <c r="N467">
        <v>14</v>
      </c>
      <c r="O467">
        <v>15</v>
      </c>
      <c r="P467">
        <v>16</v>
      </c>
      <c r="Q467">
        <v>17</v>
      </c>
      <c r="R467">
        <v>18</v>
      </c>
      <c r="S467">
        <v>19</v>
      </c>
      <c r="T467">
        <v>20</v>
      </c>
      <c r="U467">
        <v>21</v>
      </c>
      <c r="V467">
        <v>22</v>
      </c>
      <c r="W467">
        <v>23</v>
      </c>
      <c r="X467">
        <v>24</v>
      </c>
      <c r="Y467">
        <v>25</v>
      </c>
      <c r="Z467">
        <v>26</v>
      </c>
      <c r="AA467">
        <v>27</v>
      </c>
      <c r="AB467">
        <v>28</v>
      </c>
      <c r="AC467">
        <v>29</v>
      </c>
      <c r="AD467">
        <v>30</v>
      </c>
      <c r="AE467">
        <v>31</v>
      </c>
      <c r="AF467">
        <v>32</v>
      </c>
    </row>
    <row r="469" ht="14.25">
      <c r="Y469" s="396"/>
    </row>
    <row r="470" spans="25:35" ht="14.25">
      <c r="Y470" s="396"/>
      <c r="AH470" s="365"/>
      <c r="AI470" s="365"/>
    </row>
  </sheetData>
  <sheetProtection password="B7B0" sheet="1" autoFilter="0"/>
  <autoFilter ref="A4:AF462"/>
  <mergeCells count="2">
    <mergeCell ref="D3:L3"/>
    <mergeCell ref="M3:U3"/>
  </mergeCells>
  <printOptions/>
  <pageMargins left="0.7" right="0.7" top="0.75" bottom="0.75" header="0.3" footer="0.3"/>
  <pageSetup horizontalDpi="300" verticalDpi="300" orientation="portrait" r:id="rId1"/>
</worksheet>
</file>

<file path=xl/worksheets/sheet14.xml><?xml version="1.0" encoding="utf-8"?>
<worksheet xmlns="http://schemas.openxmlformats.org/spreadsheetml/2006/main" xmlns:r="http://schemas.openxmlformats.org/officeDocument/2006/relationships">
  <sheetPr>
    <tabColor rgb="FFFFFF00"/>
  </sheetPr>
  <dimension ref="A1:C11"/>
  <sheetViews>
    <sheetView zoomScalePageLayoutView="0" workbookViewId="0" topLeftCell="A1">
      <selection activeCell="I18" sqref="I18"/>
    </sheetView>
  </sheetViews>
  <sheetFormatPr defaultColWidth="9.140625" defaultRowHeight="15"/>
  <cols>
    <col min="1" max="1" width="11.421875" style="0" bestFit="1" customWidth="1"/>
    <col min="2" max="2" width="12.421875" style="0" customWidth="1"/>
  </cols>
  <sheetData>
    <row r="1" spans="2:3" ht="28.5">
      <c r="B1" s="328" t="s">
        <v>614</v>
      </c>
      <c r="C1" t="s">
        <v>581</v>
      </c>
    </row>
    <row r="2" spans="1:2" ht="14.25">
      <c r="A2" t="s">
        <v>455</v>
      </c>
      <c r="B2" s="336">
        <v>8336</v>
      </c>
    </row>
    <row r="3" spans="1:2" ht="14.25">
      <c r="A3" t="s">
        <v>456</v>
      </c>
      <c r="B3" s="336">
        <v>8982</v>
      </c>
    </row>
    <row r="5" spans="2:3" ht="28.5">
      <c r="B5" s="328" t="s">
        <v>613</v>
      </c>
      <c r="C5" t="s">
        <v>580</v>
      </c>
    </row>
    <row r="6" spans="1:2" ht="14.25">
      <c r="A6" t="s">
        <v>455</v>
      </c>
      <c r="B6" s="319">
        <v>8300</v>
      </c>
    </row>
    <row r="7" spans="1:2" ht="14.25">
      <c r="A7" t="s">
        <v>456</v>
      </c>
      <c r="B7" s="319">
        <v>8946</v>
      </c>
    </row>
    <row r="9" ht="14.25">
      <c r="B9" s="328"/>
    </row>
    <row r="10" ht="14.25">
      <c r="B10" s="319"/>
    </row>
    <row r="11" ht="14.25">
      <c r="B11" s="319"/>
    </row>
  </sheetData>
  <sheetProtection password="B421" sheet="1"/>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F381"/>
  <sheetViews>
    <sheetView showGridLines="0" workbookViewId="0" topLeftCell="A1">
      <selection activeCell="K16" sqref="K16"/>
    </sheetView>
  </sheetViews>
  <sheetFormatPr defaultColWidth="9.140625" defaultRowHeight="15"/>
  <cols>
    <col min="1" max="1" width="11.421875" style="9" customWidth="1"/>
    <col min="2" max="2" width="20.421875" style="9" customWidth="1"/>
    <col min="3" max="3" width="31.8515625" style="9" customWidth="1"/>
    <col min="4" max="5" width="15.8515625" style="9" customWidth="1"/>
    <col min="6" max="16384" width="9.140625" style="4" customWidth="1"/>
  </cols>
  <sheetData>
    <row r="1" spans="2:5" s="9" customFormat="1" ht="108" customHeight="1" thickBot="1">
      <c r="B1" s="426" t="s">
        <v>1114</v>
      </c>
      <c r="C1" s="427"/>
      <c r="D1" s="428" t="s">
        <v>647</v>
      </c>
      <c r="E1" s="429"/>
    </row>
    <row r="2" spans="1:5" s="9" customFormat="1" ht="21" customHeight="1" thickTop="1">
      <c r="A2" s="16"/>
      <c r="B2" s="17"/>
      <c r="C2" s="18" t="s">
        <v>40</v>
      </c>
      <c r="D2" s="17"/>
      <c r="E2" s="17"/>
    </row>
    <row r="3" spans="1:5" s="9" customFormat="1" ht="14.25" customHeight="1">
      <c r="A3" s="425" t="s">
        <v>38</v>
      </c>
      <c r="B3" s="425"/>
      <c r="C3" s="425"/>
      <c r="D3" s="425"/>
      <c r="E3" s="425"/>
    </row>
    <row r="4" spans="1:5" s="3" customFormat="1" ht="21.75" customHeight="1">
      <c r="A4" s="424"/>
      <c r="B4" s="424"/>
      <c r="C4" s="424"/>
      <c r="D4" s="424"/>
      <c r="E4" s="424"/>
    </row>
    <row r="5" spans="1:5" s="9" customFormat="1" ht="14.25" customHeight="1">
      <c r="A5" s="425" t="s">
        <v>82</v>
      </c>
      <c r="B5" s="425"/>
      <c r="C5" s="425"/>
      <c r="D5" s="425"/>
      <c r="E5" s="425"/>
    </row>
    <row r="6" spans="1:5" s="3" customFormat="1" ht="21.75" customHeight="1">
      <c r="A6" s="424"/>
      <c r="B6" s="424"/>
      <c r="C6" s="424"/>
      <c r="D6" s="424"/>
      <c r="E6" s="424"/>
    </row>
    <row r="7" spans="1:5" s="9" customFormat="1" ht="27" customHeight="1">
      <c r="A7" s="423" t="s">
        <v>253</v>
      </c>
      <c r="B7" s="423"/>
      <c r="C7" s="423"/>
      <c r="D7" s="423"/>
      <c r="E7" s="423"/>
    </row>
    <row r="8" spans="1:5" s="9" customFormat="1" ht="14.25" customHeight="1">
      <c r="A8" s="221">
        <f>IF(ISERROR(VLOOKUP(A$4&amp;"-Milwaukee",Counts!$A$5:$A$461,1,0)),"","X")</f>
      </c>
      <c r="B8" s="131" t="s">
        <v>256</v>
      </c>
      <c r="C8" s="131"/>
      <c r="D8" s="131"/>
      <c r="E8" s="131"/>
    </row>
    <row r="9" spans="1:5" s="9" customFormat="1" ht="14.25" customHeight="1">
      <c r="A9" s="221">
        <f>IF(ISERROR(VLOOKUP(A$4&amp;"-Racine",Counts!$A$5:$A$461,1,0)),"","X")</f>
      </c>
      <c r="B9" s="131" t="s">
        <v>78</v>
      </c>
      <c r="C9" s="131"/>
      <c r="D9" s="131"/>
      <c r="E9" s="131"/>
    </row>
    <row r="10" spans="1:5" s="3" customFormat="1" ht="12.75" thickBot="1">
      <c r="A10" s="222">
        <f>IF(ISERROR(VLOOKUP(A$4&amp;"-WPCP",Counts!$A$5:$A$461,1,0)),"","X")</f>
      </c>
      <c r="B10" s="132" t="s">
        <v>79</v>
      </c>
      <c r="C10" s="223"/>
      <c r="D10" s="223"/>
      <c r="E10" s="223"/>
    </row>
    <row r="11" spans="1:5" s="19" customFormat="1" ht="22.5" customHeight="1" thickTop="1">
      <c r="A11" s="106"/>
      <c r="B11" s="129"/>
      <c r="C11" s="130" t="s">
        <v>41</v>
      </c>
      <c r="D11" s="129"/>
      <c r="E11" s="129"/>
    </row>
    <row r="12" spans="1:5" s="19" customFormat="1" ht="14.25" customHeight="1">
      <c r="A12" s="413" t="s">
        <v>39</v>
      </c>
      <c r="B12" s="414"/>
      <c r="C12" s="414"/>
      <c r="D12" s="417" t="s">
        <v>317</v>
      </c>
      <c r="E12" s="418"/>
    </row>
    <row r="13" spans="1:5" s="20" customFormat="1" ht="21.75" customHeight="1" thickBot="1">
      <c r="A13" s="415"/>
      <c r="B13" s="415"/>
      <c r="C13" s="416"/>
      <c r="D13" s="419"/>
      <c r="E13" s="420"/>
    </row>
    <row r="14" spans="1:5" s="9" customFormat="1" ht="21" customHeight="1" thickTop="1">
      <c r="A14" s="16"/>
      <c r="B14" s="17"/>
      <c r="C14" s="18" t="s">
        <v>42</v>
      </c>
      <c r="D14" s="17"/>
      <c r="E14" s="17"/>
    </row>
    <row r="15" spans="1:5" s="9" customFormat="1" ht="57.75" customHeight="1">
      <c r="A15" s="412" t="s">
        <v>351</v>
      </c>
      <c r="B15" s="412"/>
      <c r="C15" s="412"/>
      <c r="D15" s="412"/>
      <c r="E15" s="412"/>
    </row>
    <row r="16" spans="1:5" s="9" customFormat="1" ht="14.25" customHeight="1">
      <c r="A16" s="425" t="s">
        <v>54</v>
      </c>
      <c r="B16" s="425"/>
      <c r="C16" s="425"/>
      <c r="D16" s="425"/>
      <c r="E16" s="425"/>
    </row>
    <row r="17" spans="1:5" s="3" customFormat="1" ht="21.75" customHeight="1">
      <c r="A17" s="424"/>
      <c r="B17" s="424"/>
      <c r="C17" s="424"/>
      <c r="D17" s="424"/>
      <c r="E17" s="424"/>
    </row>
    <row r="18" spans="1:5" s="9" customFormat="1" ht="12.75" customHeight="1">
      <c r="A18" s="388" t="s">
        <v>176</v>
      </c>
      <c r="B18" s="388"/>
      <c r="C18" s="388"/>
      <c r="D18" s="421" t="s">
        <v>43</v>
      </c>
      <c r="E18" s="421"/>
    </row>
    <row r="19" spans="1:5" s="9" customFormat="1" ht="28.5" customHeight="1">
      <c r="A19" s="391"/>
      <c r="B19" s="391"/>
      <c r="C19" s="392"/>
      <c r="D19" s="391"/>
      <c r="E19" s="393"/>
    </row>
    <row r="20" spans="1:5" s="39" customFormat="1" ht="10.5" thickBot="1">
      <c r="A20" s="224"/>
      <c r="B20" s="224"/>
      <c r="C20" s="224"/>
      <c r="D20" s="224"/>
      <c r="E20" s="225"/>
    </row>
    <row r="21" spans="1:5" s="39" customFormat="1" ht="25.5" customHeight="1" thickBot="1">
      <c r="A21" s="411" t="s">
        <v>283</v>
      </c>
      <c r="B21" s="411"/>
      <c r="C21" s="411"/>
      <c r="D21" s="226"/>
      <c r="E21" s="227"/>
    </row>
    <row r="22" spans="1:5" s="9" customFormat="1" ht="10.5" thickBot="1">
      <c r="A22" s="40"/>
      <c r="B22" s="40"/>
      <c r="C22" s="40"/>
      <c r="D22" s="40"/>
      <c r="E22" s="40"/>
    </row>
    <row r="23" spans="1:5" s="9" customFormat="1" ht="21" customHeight="1" thickTop="1">
      <c r="A23" s="16"/>
      <c r="B23" s="17"/>
      <c r="C23" s="18" t="s">
        <v>641</v>
      </c>
      <c r="D23" s="17"/>
      <c r="E23" s="17"/>
    </row>
    <row r="24" spans="1:6" s="9" customFormat="1" ht="13.5" customHeight="1">
      <c r="A24" s="401" t="s">
        <v>633</v>
      </c>
      <c r="B24" s="401"/>
      <c r="C24" s="402" t="str">
        <f>IF((ABS('Schedule 1-1'!F7)+ABS('Schedule 1-1'!F8)+ABS('Schedule 1-1'!F9)+ABS('Schedule 1-1'!F10)+ABS('Schedule 1-1'!F11)+ABS('Schedule 1-1'!F12)+ABS('Schedule 1-1'!F13)+ABS('Schedule 1-1'!F14))=0,"No","Yes")</f>
        <v>No</v>
      </c>
      <c r="D24" s="44"/>
      <c r="E24" s="7"/>
      <c r="F24" s="44"/>
    </row>
    <row r="25" spans="1:6" s="9" customFormat="1" ht="13.5" customHeight="1">
      <c r="A25" s="7" t="s">
        <v>634</v>
      </c>
      <c r="B25" s="7"/>
      <c r="C25" s="400" t="str">
        <f>IF((ABS('Schedule 1-1'!F20)+ABS('Schedule 1-1'!F21))=0,"No K4 Parental Outreach Change",IF('Schedule 1-1'!F20&lt;0,"K4 Parental Outreach Added","K4 Parental Outreach Disallowed"))</f>
        <v>No K4 Parental Outreach Change</v>
      </c>
      <c r="D25" s="44"/>
      <c r="E25" s="398"/>
      <c r="F25" s="44"/>
    </row>
    <row r="26" spans="1:6" s="9" customFormat="1" ht="13.5" customHeight="1">
      <c r="A26" s="399"/>
      <c r="B26" s="44"/>
      <c r="C26" s="399"/>
      <c r="D26" s="397" t="s">
        <v>418</v>
      </c>
      <c r="E26" s="397" t="s">
        <v>347</v>
      </c>
      <c r="F26" s="44"/>
    </row>
    <row r="27" spans="1:6" s="9" customFormat="1" ht="13.5" customHeight="1">
      <c r="A27" s="401" t="s">
        <v>635</v>
      </c>
      <c r="B27" s="401"/>
      <c r="C27" s="401"/>
      <c r="D27" s="403">
        <f>IF(ISBLANK($A$4),"",'Schedule 2'!B13-E27)</f>
      </c>
      <c r="E27" s="403">
        <f>'Schedule 2'!C13</f>
      </c>
      <c r="F27" s="44"/>
    </row>
    <row r="28" spans="1:6" s="9" customFormat="1" ht="13.5" customHeight="1">
      <c r="A28" s="7" t="s">
        <v>636</v>
      </c>
      <c r="B28" s="7"/>
      <c r="C28" s="7"/>
      <c r="D28" s="400">
        <f>IF(ISBLANK($A$4),"",'Schedule 3'!B14-E28)</f>
      </c>
      <c r="E28" s="400">
        <f>'Schedule 3'!C14</f>
      </c>
      <c r="F28" s="44"/>
    </row>
    <row r="29" spans="1:6" s="9" customFormat="1" ht="13.5" customHeight="1">
      <c r="A29" s="401" t="s">
        <v>637</v>
      </c>
      <c r="B29" s="401"/>
      <c r="C29" s="401"/>
      <c r="D29" s="403">
        <f>IF(ISBLANK($A$4),"",'Schedule 4'!G12)</f>
      </c>
      <c r="E29" s="403">
        <f>'Schedule 4'!H12</f>
      </c>
      <c r="F29" s="44"/>
    </row>
    <row r="30" spans="1:6" s="9" customFormat="1" ht="13.5" customHeight="1" thickBot="1">
      <c r="A30" s="405" t="s">
        <v>638</v>
      </c>
      <c r="B30" s="405"/>
      <c r="C30" s="405"/>
      <c r="D30" s="408">
        <f>'Schedule 3'!J5</f>
        <v>0</v>
      </c>
      <c r="E30" s="408" t="s">
        <v>415</v>
      </c>
      <c r="F30" s="44"/>
    </row>
    <row r="31" spans="1:6" s="9" customFormat="1" ht="13.5" customHeight="1" hidden="1">
      <c r="A31" s="401" t="s">
        <v>639</v>
      </c>
      <c r="B31" s="401"/>
      <c r="C31" s="401"/>
      <c r="D31" s="403">
        <f>SUM('Sample Info'!D9+'Sample Info'!D15+'Sample Info'!D21)</f>
        <v>0</v>
      </c>
      <c r="E31" s="403" t="s">
        <v>415</v>
      </c>
      <c r="F31" s="44"/>
    </row>
    <row r="32" spans="1:6" s="9" customFormat="1" ht="13.5" customHeight="1" hidden="1" thickBot="1">
      <c r="A32" s="405" t="s">
        <v>640</v>
      </c>
      <c r="B32" s="405"/>
      <c r="C32" s="405"/>
      <c r="D32" s="422" t="str">
        <f>IF(AND('Schedule 6'!I5="No",'Schedule 5'!L28&gt;0),"Summer School Doesn't Meet Required Hours",IF(SUM('Schedule 6'!H10:I39)&gt;0,"Summer School Updates","No Summer School Change"))</f>
        <v>No Summer School Change</v>
      </c>
      <c r="E32" s="422"/>
      <c r="F32" s="44"/>
    </row>
    <row r="33" spans="1:6" s="9" customFormat="1" ht="12" customHeight="1" thickTop="1">
      <c r="A33" s="7"/>
      <c r="B33" s="7"/>
      <c r="C33" s="7"/>
      <c r="D33" s="404"/>
      <c r="E33" s="404"/>
      <c r="F33" s="44"/>
    </row>
    <row r="34" spans="1:6" s="9" customFormat="1" ht="25.5" customHeight="1">
      <c r="A34" s="410" t="s">
        <v>416</v>
      </c>
      <c r="B34" s="410"/>
      <c r="C34" s="410"/>
      <c r="D34" s="410"/>
      <c r="E34" s="410"/>
      <c r="F34" s="44"/>
    </row>
    <row r="35" s="9" customFormat="1" ht="15" customHeight="1"/>
    <row r="36" ht="14.25" hidden="1">
      <c r="A36" s="170" t="s">
        <v>464</v>
      </c>
    </row>
    <row r="37" ht="14.25" hidden="1">
      <c r="A37" s="170" t="s">
        <v>84</v>
      </c>
    </row>
    <row r="38" ht="14.25" hidden="1">
      <c r="A38" s="170" t="s">
        <v>518</v>
      </c>
    </row>
    <row r="39" ht="14.25" hidden="1">
      <c r="A39" s="170" t="s">
        <v>465</v>
      </c>
    </row>
    <row r="40" ht="14.25" hidden="1">
      <c r="A40" s="170" t="s">
        <v>85</v>
      </c>
    </row>
    <row r="41" ht="14.25" hidden="1">
      <c r="A41" s="170" t="s">
        <v>87</v>
      </c>
    </row>
    <row r="42" ht="14.25" hidden="1">
      <c r="A42" s="170" t="s">
        <v>364</v>
      </c>
    </row>
    <row r="43" ht="14.25" hidden="1">
      <c r="A43" s="170" t="s">
        <v>193</v>
      </c>
    </row>
    <row r="44" ht="14.25" hidden="1">
      <c r="A44" s="170" t="s">
        <v>88</v>
      </c>
    </row>
    <row r="45" ht="14.25" hidden="1">
      <c r="A45" s="170" t="s">
        <v>466</v>
      </c>
    </row>
    <row r="46" s="9" customFormat="1" ht="14.25" hidden="1">
      <c r="A46" s="170" t="s">
        <v>287</v>
      </c>
    </row>
    <row r="47" s="9" customFormat="1" ht="14.25" hidden="1">
      <c r="A47" s="170" t="s">
        <v>262</v>
      </c>
    </row>
    <row r="48" s="9" customFormat="1" ht="14.25" hidden="1">
      <c r="A48" s="170" t="s">
        <v>263</v>
      </c>
    </row>
    <row r="49" s="9" customFormat="1" ht="14.25" hidden="1">
      <c r="A49" s="170" t="s">
        <v>89</v>
      </c>
    </row>
    <row r="50" s="9" customFormat="1" ht="14.25" hidden="1">
      <c r="A50" s="170" t="s">
        <v>616</v>
      </c>
    </row>
    <row r="51" s="9" customFormat="1" ht="14.25" hidden="1">
      <c r="A51" s="170" t="s">
        <v>498</v>
      </c>
    </row>
    <row r="52" s="9" customFormat="1" ht="14.25" hidden="1">
      <c r="A52" s="170" t="s">
        <v>194</v>
      </c>
    </row>
    <row r="53" s="9" customFormat="1" ht="14.25" hidden="1">
      <c r="A53" s="170" t="s">
        <v>90</v>
      </c>
    </row>
    <row r="54" s="9" customFormat="1" ht="14.25" hidden="1">
      <c r="A54" s="170" t="s">
        <v>440</v>
      </c>
    </row>
    <row r="55" s="9" customFormat="1" ht="14.25" hidden="1">
      <c r="A55" s="170" t="s">
        <v>288</v>
      </c>
    </row>
    <row r="56" s="9" customFormat="1" ht="14.25" hidden="1">
      <c r="A56" s="170" t="s">
        <v>195</v>
      </c>
    </row>
    <row r="57" s="9" customFormat="1" ht="14.25" hidden="1">
      <c r="A57" s="170" t="s">
        <v>365</v>
      </c>
    </row>
    <row r="58" s="9" customFormat="1" ht="14.25" hidden="1">
      <c r="A58" s="170" t="s">
        <v>91</v>
      </c>
    </row>
    <row r="59" s="9" customFormat="1" ht="14.25" hidden="1">
      <c r="A59" s="170" t="s">
        <v>325</v>
      </c>
    </row>
    <row r="60" s="9" customFormat="1" ht="14.25" hidden="1">
      <c r="A60" s="170" t="s">
        <v>366</v>
      </c>
    </row>
    <row r="61" s="9" customFormat="1" ht="14.25" hidden="1">
      <c r="A61" s="170" t="s">
        <v>151</v>
      </c>
    </row>
    <row r="62" s="9" customFormat="1" ht="14.25" hidden="1">
      <c r="A62" s="170" t="s">
        <v>150</v>
      </c>
    </row>
    <row r="63" s="9" customFormat="1" ht="14.25" hidden="1">
      <c r="A63" s="170" t="s">
        <v>467</v>
      </c>
    </row>
    <row r="64" s="9" customFormat="1" ht="14.25" hidden="1">
      <c r="A64" s="170" t="s">
        <v>289</v>
      </c>
    </row>
    <row r="65" s="9" customFormat="1" ht="14.25" hidden="1">
      <c r="A65" s="170" t="s">
        <v>519</v>
      </c>
    </row>
    <row r="66" s="9" customFormat="1" ht="14.25" hidden="1">
      <c r="A66" s="170" t="s">
        <v>468</v>
      </c>
    </row>
    <row r="67" s="9" customFormat="1" ht="14.25" hidden="1">
      <c r="A67" s="170" t="s">
        <v>520</v>
      </c>
    </row>
    <row r="68" s="9" customFormat="1" ht="14.25" hidden="1">
      <c r="A68" s="170" t="s">
        <v>367</v>
      </c>
    </row>
    <row r="69" s="9" customFormat="1" ht="14.25" hidden="1">
      <c r="A69" s="170" t="s">
        <v>196</v>
      </c>
    </row>
    <row r="70" s="9" customFormat="1" ht="14.25" hidden="1">
      <c r="A70" s="170" t="s">
        <v>92</v>
      </c>
    </row>
    <row r="71" s="9" customFormat="1" ht="14.25" hidden="1">
      <c r="A71" s="170" t="s">
        <v>93</v>
      </c>
    </row>
    <row r="72" s="9" customFormat="1" ht="14.25" hidden="1">
      <c r="A72" s="170" t="s">
        <v>368</v>
      </c>
    </row>
    <row r="73" s="9" customFormat="1" ht="14.25" hidden="1">
      <c r="A73" s="170" t="s">
        <v>94</v>
      </c>
    </row>
    <row r="74" s="9" customFormat="1" ht="14.25" hidden="1">
      <c r="A74" s="170" t="s">
        <v>469</v>
      </c>
    </row>
    <row r="75" s="9" customFormat="1" ht="14.25" hidden="1">
      <c r="A75" s="170" t="s">
        <v>152</v>
      </c>
    </row>
    <row r="76" s="9" customFormat="1" ht="14.25" hidden="1">
      <c r="A76" s="170" t="s">
        <v>369</v>
      </c>
    </row>
    <row r="77" s="9" customFormat="1" ht="14.25" hidden="1">
      <c r="A77" s="170" t="s">
        <v>582</v>
      </c>
    </row>
    <row r="78" s="9" customFormat="1" ht="14.25" hidden="1">
      <c r="A78" s="170" t="s">
        <v>617</v>
      </c>
    </row>
    <row r="79" s="9" customFormat="1" ht="14.25" hidden="1">
      <c r="A79" s="170" t="s">
        <v>521</v>
      </c>
    </row>
    <row r="80" s="9" customFormat="1" ht="14.25" hidden="1">
      <c r="A80" s="170" t="s">
        <v>95</v>
      </c>
    </row>
    <row r="81" s="9" customFormat="1" ht="14.25" hidden="1">
      <c r="A81" s="170" t="s">
        <v>96</v>
      </c>
    </row>
    <row r="82" s="9" customFormat="1" ht="14.25" hidden="1">
      <c r="A82" s="170" t="s">
        <v>97</v>
      </c>
    </row>
    <row r="83" s="9" customFormat="1" ht="14.25" hidden="1">
      <c r="A83" s="170" t="s">
        <v>502</v>
      </c>
    </row>
    <row r="84" s="9" customFormat="1" ht="14.25" hidden="1">
      <c r="A84" s="170" t="s">
        <v>290</v>
      </c>
    </row>
    <row r="85" s="9" customFormat="1" ht="14.25" hidden="1">
      <c r="A85" s="170" t="s">
        <v>197</v>
      </c>
    </row>
    <row r="86" s="9" customFormat="1" ht="14.25" hidden="1">
      <c r="A86" s="170" t="s">
        <v>98</v>
      </c>
    </row>
    <row r="87" s="9" customFormat="1" ht="14.25" hidden="1">
      <c r="A87" s="170" t="s">
        <v>99</v>
      </c>
    </row>
    <row r="88" s="9" customFormat="1" ht="14.25" hidden="1">
      <c r="A88" s="170" t="s">
        <v>503</v>
      </c>
    </row>
    <row r="89" s="9" customFormat="1" ht="14.25" hidden="1">
      <c r="A89" s="170" t="s">
        <v>522</v>
      </c>
    </row>
    <row r="90" s="9" customFormat="1" ht="14.25" hidden="1">
      <c r="A90" s="170" t="s">
        <v>441</v>
      </c>
    </row>
    <row r="91" s="9" customFormat="1" ht="14.25" hidden="1">
      <c r="A91" s="170" t="s">
        <v>100</v>
      </c>
    </row>
    <row r="92" s="9" customFormat="1" ht="14.25" hidden="1">
      <c r="A92" s="170" t="s">
        <v>264</v>
      </c>
    </row>
    <row r="93" s="9" customFormat="1" ht="14.25" hidden="1">
      <c r="A93" s="170" t="s">
        <v>101</v>
      </c>
    </row>
    <row r="94" s="9" customFormat="1" ht="14.25" hidden="1">
      <c r="A94" s="170" t="s">
        <v>370</v>
      </c>
    </row>
    <row r="95" s="9" customFormat="1" ht="14.25" hidden="1">
      <c r="A95" s="170" t="s">
        <v>324</v>
      </c>
    </row>
    <row r="96" s="9" customFormat="1" ht="14.25" hidden="1">
      <c r="A96" s="170" t="s">
        <v>470</v>
      </c>
    </row>
    <row r="97" s="9" customFormat="1" ht="14.25" hidden="1">
      <c r="A97" s="170" t="s">
        <v>618</v>
      </c>
    </row>
    <row r="98" s="9" customFormat="1" ht="14.25" hidden="1">
      <c r="A98" s="170" t="s">
        <v>619</v>
      </c>
    </row>
    <row r="99" s="9" customFormat="1" ht="14.25" hidden="1">
      <c r="A99" s="170" t="s">
        <v>504</v>
      </c>
    </row>
    <row r="100" s="9" customFormat="1" ht="14.25" hidden="1">
      <c r="A100" s="170" t="s">
        <v>505</v>
      </c>
    </row>
    <row r="101" s="9" customFormat="1" ht="14.25" hidden="1">
      <c r="A101" s="170" t="s">
        <v>506</v>
      </c>
    </row>
    <row r="102" s="9" customFormat="1" ht="14.25" hidden="1">
      <c r="A102" s="170" t="s">
        <v>291</v>
      </c>
    </row>
    <row r="103" s="9" customFormat="1" ht="14.25" hidden="1">
      <c r="A103" s="170" t="s">
        <v>102</v>
      </c>
    </row>
    <row r="104" s="9" customFormat="1" ht="14.25" hidden="1">
      <c r="A104" s="170" t="s">
        <v>103</v>
      </c>
    </row>
    <row r="105" s="9" customFormat="1" ht="14.25" hidden="1">
      <c r="A105" s="170" t="s">
        <v>198</v>
      </c>
    </row>
    <row r="106" s="9" customFormat="1" ht="14.25" hidden="1">
      <c r="A106" s="170" t="s">
        <v>265</v>
      </c>
    </row>
    <row r="107" s="9" customFormat="1" ht="14.25" hidden="1">
      <c r="A107" s="170" t="s">
        <v>199</v>
      </c>
    </row>
    <row r="108" s="9" customFormat="1" ht="14.25" hidden="1">
      <c r="A108" s="170" t="s">
        <v>442</v>
      </c>
    </row>
    <row r="109" s="9" customFormat="1" ht="14.25" hidden="1">
      <c r="A109" s="170" t="s">
        <v>318</v>
      </c>
    </row>
    <row r="110" s="9" customFormat="1" ht="14.25" hidden="1">
      <c r="A110" s="170" t="s">
        <v>371</v>
      </c>
    </row>
    <row r="111" s="9" customFormat="1" ht="14.25" hidden="1">
      <c r="A111" s="170" t="s">
        <v>471</v>
      </c>
    </row>
    <row r="112" s="9" customFormat="1" ht="14.25" hidden="1">
      <c r="A112" s="170" t="s">
        <v>153</v>
      </c>
    </row>
    <row r="113" s="9" customFormat="1" ht="14.25" hidden="1">
      <c r="A113" s="170" t="s">
        <v>104</v>
      </c>
    </row>
    <row r="114" s="9" customFormat="1" ht="14.25" hidden="1">
      <c r="A114" s="170" t="s">
        <v>292</v>
      </c>
    </row>
    <row r="115" s="9" customFormat="1" ht="14.25" hidden="1">
      <c r="A115" s="170" t="s">
        <v>200</v>
      </c>
    </row>
    <row r="116" s="9" customFormat="1" ht="14.25" hidden="1">
      <c r="A116" s="170" t="s">
        <v>201</v>
      </c>
    </row>
    <row r="117" s="9" customFormat="1" ht="14.25" hidden="1">
      <c r="A117" s="170" t="s">
        <v>202</v>
      </c>
    </row>
    <row r="118" s="9" customFormat="1" ht="14.25" hidden="1">
      <c r="A118" s="170" t="s">
        <v>372</v>
      </c>
    </row>
    <row r="119" s="9" customFormat="1" ht="14.25" hidden="1">
      <c r="A119" s="170" t="s">
        <v>373</v>
      </c>
    </row>
    <row r="120" s="9" customFormat="1" ht="14.25" hidden="1">
      <c r="A120" s="170" t="s">
        <v>203</v>
      </c>
    </row>
    <row r="121" s="9" customFormat="1" ht="14.25" hidden="1">
      <c r="A121" s="170" t="s">
        <v>105</v>
      </c>
    </row>
    <row r="122" s="9" customFormat="1" ht="14.25" hidden="1">
      <c r="A122" s="170" t="s">
        <v>472</v>
      </c>
    </row>
    <row r="123" s="9" customFormat="1" ht="14.25" hidden="1">
      <c r="A123" s="170" t="s">
        <v>106</v>
      </c>
    </row>
    <row r="124" s="9" customFormat="1" ht="14.25" hidden="1">
      <c r="A124" s="170" t="s">
        <v>523</v>
      </c>
    </row>
    <row r="125" s="9" customFormat="1" ht="14.25" hidden="1">
      <c r="A125" s="170" t="s">
        <v>499</v>
      </c>
    </row>
    <row r="126" s="9" customFormat="1" ht="14.25" hidden="1">
      <c r="A126" s="170" t="s">
        <v>107</v>
      </c>
    </row>
    <row r="127" s="9" customFormat="1" ht="14.25" hidden="1">
      <c r="A127" s="170" t="s">
        <v>374</v>
      </c>
    </row>
    <row r="128" s="9" customFormat="1" ht="14.25" hidden="1">
      <c r="A128" s="170" t="s">
        <v>319</v>
      </c>
    </row>
    <row r="129" s="9" customFormat="1" ht="14.25" hidden="1">
      <c r="A129" s="170" t="s">
        <v>524</v>
      </c>
    </row>
    <row r="130" s="9" customFormat="1" ht="14.25" hidden="1">
      <c r="A130" s="170" t="s">
        <v>507</v>
      </c>
    </row>
    <row r="131" s="9" customFormat="1" ht="14.25" hidden="1">
      <c r="A131" s="170" t="s">
        <v>508</v>
      </c>
    </row>
    <row r="132" s="9" customFormat="1" ht="14.25" hidden="1">
      <c r="A132" s="170" t="s">
        <v>108</v>
      </c>
    </row>
    <row r="133" s="9" customFormat="1" ht="14.25" hidden="1">
      <c r="A133" s="170" t="s">
        <v>109</v>
      </c>
    </row>
    <row r="134" ht="14.25" hidden="1">
      <c r="A134" s="170" t="s">
        <v>266</v>
      </c>
    </row>
    <row r="135" ht="14.25" hidden="1">
      <c r="A135" s="170" t="s">
        <v>110</v>
      </c>
    </row>
    <row r="136" ht="14.25" hidden="1">
      <c r="A136" s="170" t="s">
        <v>111</v>
      </c>
    </row>
    <row r="137" ht="14.25" hidden="1">
      <c r="A137" s="170" t="s">
        <v>112</v>
      </c>
    </row>
    <row r="138" ht="14.25" hidden="1">
      <c r="A138" s="170" t="s">
        <v>154</v>
      </c>
    </row>
    <row r="139" ht="14.25" hidden="1">
      <c r="A139" s="170" t="s">
        <v>525</v>
      </c>
    </row>
    <row r="140" ht="14.25" hidden="1">
      <c r="A140" s="170" t="s">
        <v>113</v>
      </c>
    </row>
    <row r="141" ht="14.25" hidden="1">
      <c r="A141" s="170" t="s">
        <v>375</v>
      </c>
    </row>
    <row r="142" ht="14.25" hidden="1">
      <c r="A142" s="170" t="s">
        <v>204</v>
      </c>
    </row>
    <row r="143" ht="14.25" hidden="1">
      <c r="A143" s="170" t="s">
        <v>114</v>
      </c>
    </row>
    <row r="144" ht="14.25" hidden="1">
      <c r="A144" s="170" t="s">
        <v>526</v>
      </c>
    </row>
    <row r="145" ht="14.25" hidden="1">
      <c r="A145" s="170" t="s">
        <v>583</v>
      </c>
    </row>
    <row r="146" ht="14.25" hidden="1">
      <c r="A146" s="170" t="s">
        <v>205</v>
      </c>
    </row>
    <row r="147" ht="14.25" hidden="1">
      <c r="A147" s="170" t="s">
        <v>376</v>
      </c>
    </row>
    <row r="148" ht="14.25" hidden="1">
      <c r="A148" s="170" t="s">
        <v>527</v>
      </c>
    </row>
    <row r="149" ht="14.25" hidden="1">
      <c r="A149" s="170" t="s">
        <v>267</v>
      </c>
    </row>
    <row r="150" ht="14.25" hidden="1">
      <c r="A150" s="170" t="s">
        <v>268</v>
      </c>
    </row>
    <row r="151" ht="14.25" hidden="1">
      <c r="A151" s="170" t="s">
        <v>473</v>
      </c>
    </row>
    <row r="152" ht="14.25" hidden="1">
      <c r="A152" s="170" t="s">
        <v>620</v>
      </c>
    </row>
    <row r="153" ht="14.25" hidden="1">
      <c r="A153" s="170" t="s">
        <v>115</v>
      </c>
    </row>
    <row r="154" ht="14.25" hidden="1">
      <c r="A154" s="170" t="s">
        <v>377</v>
      </c>
    </row>
    <row r="155" ht="14.25" hidden="1">
      <c r="A155" s="170" t="s">
        <v>116</v>
      </c>
    </row>
    <row r="156" ht="14.25" hidden="1">
      <c r="A156" s="170" t="s">
        <v>378</v>
      </c>
    </row>
    <row r="157" ht="14.25" hidden="1">
      <c r="A157" s="170" t="s">
        <v>293</v>
      </c>
    </row>
    <row r="158" ht="14.25" hidden="1">
      <c r="A158" s="170" t="s">
        <v>206</v>
      </c>
    </row>
    <row r="159" ht="14.25" hidden="1">
      <c r="A159" s="170" t="s">
        <v>528</v>
      </c>
    </row>
    <row r="160" ht="14.25" hidden="1">
      <c r="A160" s="170" t="s">
        <v>117</v>
      </c>
    </row>
    <row r="161" ht="14.25" hidden="1">
      <c r="A161" s="170" t="s">
        <v>207</v>
      </c>
    </row>
    <row r="162" ht="14.25" hidden="1">
      <c r="A162" s="170" t="s">
        <v>474</v>
      </c>
    </row>
    <row r="163" ht="14.25" hidden="1">
      <c r="A163" s="170" t="s">
        <v>208</v>
      </c>
    </row>
    <row r="164" ht="14.25" hidden="1">
      <c r="A164" s="170" t="s">
        <v>443</v>
      </c>
    </row>
    <row r="165" ht="14.25" hidden="1">
      <c r="A165" s="170" t="s">
        <v>444</v>
      </c>
    </row>
    <row r="166" ht="14.25" hidden="1">
      <c r="A166" s="170" t="s">
        <v>118</v>
      </c>
    </row>
    <row r="167" ht="14.25" hidden="1">
      <c r="A167" s="170" t="s">
        <v>155</v>
      </c>
    </row>
    <row r="168" ht="14.25" hidden="1">
      <c r="A168" s="170" t="s">
        <v>119</v>
      </c>
    </row>
    <row r="169" ht="14.25" hidden="1">
      <c r="A169" s="170" t="s">
        <v>178</v>
      </c>
    </row>
    <row r="170" ht="14.25" hidden="1">
      <c r="A170" s="170" t="s">
        <v>120</v>
      </c>
    </row>
    <row r="171" ht="14.25" hidden="1">
      <c r="A171" s="170" t="s">
        <v>269</v>
      </c>
    </row>
    <row r="172" ht="14.25" hidden="1">
      <c r="A172" s="170" t="s">
        <v>529</v>
      </c>
    </row>
    <row r="173" ht="14.25" hidden="1">
      <c r="A173" s="170" t="s">
        <v>530</v>
      </c>
    </row>
    <row r="174" ht="14.25" hidden="1">
      <c r="A174" s="170" t="s">
        <v>209</v>
      </c>
    </row>
    <row r="175" ht="14.25" hidden="1">
      <c r="A175" s="170" t="s">
        <v>584</v>
      </c>
    </row>
    <row r="176" ht="14.25" hidden="1">
      <c r="A176" s="170" t="s">
        <v>621</v>
      </c>
    </row>
    <row r="177" spans="1:3" ht="14.25" hidden="1">
      <c r="A177" s="170" t="s">
        <v>121</v>
      </c>
      <c r="C177" s="162"/>
    </row>
    <row r="178" ht="14.25" hidden="1">
      <c r="A178" s="170" t="s">
        <v>652</v>
      </c>
    </row>
    <row r="179" ht="14.25" hidden="1">
      <c r="A179" s="170" t="s">
        <v>475</v>
      </c>
    </row>
    <row r="180" ht="14.25" hidden="1">
      <c r="A180" s="170" t="s">
        <v>294</v>
      </c>
    </row>
    <row r="181" ht="14.25" hidden="1">
      <c r="A181" s="170" t="s">
        <v>509</v>
      </c>
    </row>
    <row r="182" ht="14.25" hidden="1">
      <c r="A182" s="170" t="s">
        <v>122</v>
      </c>
    </row>
    <row r="183" ht="14.25" hidden="1">
      <c r="A183" s="170" t="s">
        <v>123</v>
      </c>
    </row>
    <row r="184" ht="14.25" hidden="1">
      <c r="A184" s="170" t="s">
        <v>445</v>
      </c>
    </row>
    <row r="185" ht="14.25" hidden="1">
      <c r="A185" s="170" t="s">
        <v>379</v>
      </c>
    </row>
    <row r="186" ht="14.25" hidden="1">
      <c r="A186" s="170" t="s">
        <v>210</v>
      </c>
    </row>
    <row r="187" ht="14.25" hidden="1">
      <c r="A187" s="170" t="s">
        <v>211</v>
      </c>
    </row>
    <row r="188" ht="14.25" hidden="1">
      <c r="A188" s="170" t="s">
        <v>124</v>
      </c>
    </row>
    <row r="189" ht="14.25" hidden="1">
      <c r="A189" s="170" t="s">
        <v>270</v>
      </c>
    </row>
    <row r="190" ht="14.25" hidden="1">
      <c r="A190" s="170" t="s">
        <v>212</v>
      </c>
    </row>
    <row r="191" ht="14.25" hidden="1">
      <c r="A191" s="170" t="s">
        <v>213</v>
      </c>
    </row>
    <row r="192" ht="14.25" hidden="1">
      <c r="A192" s="170" t="s">
        <v>380</v>
      </c>
    </row>
    <row r="193" ht="14.25" hidden="1">
      <c r="A193" s="170" t="s">
        <v>476</v>
      </c>
    </row>
    <row r="194" ht="14.25" hidden="1">
      <c r="A194" s="170" t="s">
        <v>214</v>
      </c>
    </row>
    <row r="195" ht="14.25" hidden="1">
      <c r="A195" s="170" t="s">
        <v>156</v>
      </c>
    </row>
    <row r="196" ht="14.25" hidden="1">
      <c r="A196" s="170" t="s">
        <v>295</v>
      </c>
    </row>
    <row r="197" ht="14.25" hidden="1">
      <c r="A197" s="170" t="s">
        <v>296</v>
      </c>
    </row>
    <row r="198" ht="14.25" hidden="1">
      <c r="A198" s="170" t="s">
        <v>622</v>
      </c>
    </row>
    <row r="199" ht="14.25" hidden="1">
      <c r="A199" s="170" t="s">
        <v>531</v>
      </c>
    </row>
    <row r="200" ht="14.25" hidden="1">
      <c r="A200" s="170" t="s">
        <v>215</v>
      </c>
    </row>
    <row r="201" ht="14.25" hidden="1">
      <c r="A201" s="170" t="s">
        <v>157</v>
      </c>
    </row>
    <row r="202" s="9" customFormat="1" ht="14.25" hidden="1">
      <c r="A202" s="170" t="s">
        <v>297</v>
      </c>
    </row>
    <row r="203" s="9" customFormat="1" ht="14.25" hidden="1">
      <c r="A203" s="170" t="s">
        <v>623</v>
      </c>
    </row>
    <row r="204" s="9" customFormat="1" ht="14.25" hidden="1">
      <c r="A204" s="170" t="s">
        <v>653</v>
      </c>
    </row>
    <row r="205" s="9" customFormat="1" ht="14.25" hidden="1">
      <c r="A205" s="170" t="s">
        <v>216</v>
      </c>
    </row>
    <row r="206" s="9" customFormat="1" ht="14.25" hidden="1">
      <c r="A206" s="170" t="s">
        <v>624</v>
      </c>
    </row>
    <row r="207" s="9" customFormat="1" ht="14.25" hidden="1">
      <c r="A207" s="170" t="s">
        <v>298</v>
      </c>
    </row>
    <row r="208" s="9" customFormat="1" ht="14.25" hidden="1">
      <c r="A208" s="170" t="s">
        <v>271</v>
      </c>
    </row>
    <row r="209" s="9" customFormat="1" ht="14.25" hidden="1">
      <c r="A209" s="170" t="s">
        <v>532</v>
      </c>
    </row>
    <row r="210" s="9" customFormat="1" ht="14.25" hidden="1">
      <c r="A210" s="170" t="s">
        <v>125</v>
      </c>
    </row>
    <row r="211" s="9" customFormat="1" ht="14.25" hidden="1">
      <c r="A211" s="170" t="s">
        <v>477</v>
      </c>
    </row>
    <row r="212" s="9" customFormat="1" ht="14.25" hidden="1">
      <c r="A212" s="170" t="s">
        <v>217</v>
      </c>
    </row>
    <row r="213" s="9" customFormat="1" ht="14.25" hidden="1">
      <c r="A213" s="170" t="s">
        <v>179</v>
      </c>
    </row>
    <row r="214" s="9" customFormat="1" ht="14.25" hidden="1">
      <c r="A214" s="170" t="s">
        <v>478</v>
      </c>
    </row>
    <row r="215" s="9" customFormat="1" ht="14.25" hidden="1">
      <c r="A215" s="170" t="s">
        <v>126</v>
      </c>
    </row>
    <row r="216" s="9" customFormat="1" ht="14.25" hidden="1">
      <c r="A216" s="170" t="s">
        <v>510</v>
      </c>
    </row>
    <row r="217" ht="14.25" hidden="1">
      <c r="A217" s="170" t="s">
        <v>381</v>
      </c>
    </row>
    <row r="218" ht="14.25" hidden="1">
      <c r="A218" s="170" t="s">
        <v>218</v>
      </c>
    </row>
    <row r="219" ht="14.25" hidden="1">
      <c r="A219" s="170" t="s">
        <v>180</v>
      </c>
    </row>
    <row r="220" ht="14.25" hidden="1">
      <c r="A220" s="170" t="s">
        <v>382</v>
      </c>
    </row>
    <row r="221" ht="14.25" hidden="1">
      <c r="A221" s="170" t="s">
        <v>479</v>
      </c>
    </row>
    <row r="222" ht="14.25" hidden="1">
      <c r="A222" s="170" t="s">
        <v>320</v>
      </c>
    </row>
    <row r="223" ht="14.25" hidden="1">
      <c r="A223" s="170" t="s">
        <v>383</v>
      </c>
    </row>
    <row r="224" ht="14.25" hidden="1">
      <c r="A224" s="170" t="s">
        <v>321</v>
      </c>
    </row>
    <row r="225" ht="14.25" hidden="1">
      <c r="A225" s="170" t="s">
        <v>384</v>
      </c>
    </row>
    <row r="226" ht="14.25" hidden="1">
      <c r="A226" s="170" t="s">
        <v>272</v>
      </c>
    </row>
    <row r="227" ht="14.25" hidden="1">
      <c r="A227" s="170" t="s">
        <v>127</v>
      </c>
    </row>
    <row r="228" ht="14.25" hidden="1">
      <c r="A228" s="170" t="s">
        <v>480</v>
      </c>
    </row>
    <row r="229" ht="14.25" hidden="1">
      <c r="A229" s="170" t="s">
        <v>481</v>
      </c>
    </row>
    <row r="230" ht="14.25" hidden="1">
      <c r="A230" s="170" t="s">
        <v>533</v>
      </c>
    </row>
    <row r="231" ht="14.25" hidden="1">
      <c r="A231" s="170" t="s">
        <v>385</v>
      </c>
    </row>
    <row r="232" ht="14.25" hidden="1">
      <c r="A232" s="170" t="s">
        <v>534</v>
      </c>
    </row>
    <row r="233" ht="14.25" hidden="1">
      <c r="A233" s="170" t="s">
        <v>512</v>
      </c>
    </row>
    <row r="234" ht="14.25" hidden="1">
      <c r="A234" s="170" t="s">
        <v>511</v>
      </c>
    </row>
    <row r="235" ht="14.25" hidden="1">
      <c r="A235" s="170" t="s">
        <v>219</v>
      </c>
    </row>
    <row r="236" ht="14.25" hidden="1">
      <c r="A236" s="170" t="s">
        <v>386</v>
      </c>
    </row>
    <row r="237" ht="14.25" hidden="1">
      <c r="A237" s="170" t="s">
        <v>387</v>
      </c>
    </row>
    <row r="238" ht="14.25" hidden="1">
      <c r="A238" s="170" t="s">
        <v>446</v>
      </c>
    </row>
    <row r="239" ht="14.25" hidden="1">
      <c r="A239" s="170" t="s">
        <v>273</v>
      </c>
    </row>
    <row r="240" ht="14.25" hidden="1">
      <c r="A240" s="170" t="s">
        <v>128</v>
      </c>
    </row>
    <row r="241" ht="14.25" hidden="1">
      <c r="A241" s="170" t="s">
        <v>535</v>
      </c>
    </row>
    <row r="242" ht="14.25" hidden="1">
      <c r="A242" s="170" t="s">
        <v>625</v>
      </c>
    </row>
    <row r="243" ht="14.25" hidden="1">
      <c r="A243" s="170" t="s">
        <v>482</v>
      </c>
    </row>
    <row r="244" ht="14.25" hidden="1">
      <c r="A244" s="170" t="s">
        <v>483</v>
      </c>
    </row>
    <row r="245" ht="14.25" hidden="1">
      <c r="A245" s="170" t="s">
        <v>274</v>
      </c>
    </row>
    <row r="246" ht="14.25" hidden="1">
      <c r="A246" s="170" t="s">
        <v>626</v>
      </c>
    </row>
    <row r="247" ht="14.25" hidden="1">
      <c r="A247" s="170" t="s">
        <v>627</v>
      </c>
    </row>
    <row r="248" ht="14.25" hidden="1">
      <c r="A248" s="170" t="s">
        <v>220</v>
      </c>
    </row>
    <row r="249" ht="14.25" hidden="1">
      <c r="A249" s="170" t="s">
        <v>484</v>
      </c>
    </row>
    <row r="250" ht="14.25" hidden="1">
      <c r="A250" s="170" t="s">
        <v>628</v>
      </c>
    </row>
    <row r="251" ht="14.25" hidden="1">
      <c r="A251" s="170" t="s">
        <v>513</v>
      </c>
    </row>
    <row r="252" ht="14.25" hidden="1">
      <c r="A252" s="170" t="s">
        <v>536</v>
      </c>
    </row>
    <row r="253" ht="14.25" hidden="1">
      <c r="A253" s="170" t="s">
        <v>485</v>
      </c>
    </row>
    <row r="254" ht="14.25" hidden="1">
      <c r="A254" s="170" t="s">
        <v>486</v>
      </c>
    </row>
    <row r="255" ht="14.25" hidden="1">
      <c r="A255" s="170" t="s">
        <v>299</v>
      </c>
    </row>
    <row r="256" ht="14.25" hidden="1">
      <c r="A256" s="170" t="s">
        <v>388</v>
      </c>
    </row>
    <row r="257" ht="14.25" hidden="1">
      <c r="A257" s="170" t="s">
        <v>389</v>
      </c>
    </row>
    <row r="258" ht="14.25" hidden="1">
      <c r="A258" s="170" t="s">
        <v>487</v>
      </c>
    </row>
    <row r="259" ht="14.25" hidden="1">
      <c r="A259" s="170" t="s">
        <v>537</v>
      </c>
    </row>
    <row r="260" ht="14.25" hidden="1">
      <c r="A260" s="170" t="s">
        <v>158</v>
      </c>
    </row>
    <row r="261" ht="14.25" hidden="1">
      <c r="A261" s="170" t="s">
        <v>221</v>
      </c>
    </row>
    <row r="262" ht="14.25" hidden="1">
      <c r="A262" s="170" t="s">
        <v>300</v>
      </c>
    </row>
    <row r="263" ht="14.25" hidden="1">
      <c r="A263" s="170" t="s">
        <v>301</v>
      </c>
    </row>
    <row r="264" ht="14.25" hidden="1">
      <c r="A264" s="170" t="s">
        <v>390</v>
      </c>
    </row>
    <row r="265" ht="14.25" hidden="1">
      <c r="A265" s="170" t="s">
        <v>629</v>
      </c>
    </row>
    <row r="266" ht="14.25" hidden="1">
      <c r="A266" s="170" t="s">
        <v>488</v>
      </c>
    </row>
    <row r="267" ht="14.25" hidden="1">
      <c r="A267" s="170" t="s">
        <v>222</v>
      </c>
    </row>
    <row r="268" ht="14.25" hidden="1">
      <c r="A268" s="170" t="s">
        <v>129</v>
      </c>
    </row>
    <row r="269" ht="14.25" hidden="1">
      <c r="A269" s="170" t="s">
        <v>391</v>
      </c>
    </row>
    <row r="270" ht="14.25" hidden="1">
      <c r="A270" s="170" t="s">
        <v>392</v>
      </c>
    </row>
    <row r="271" ht="14.25" hidden="1">
      <c r="A271" s="170" t="s">
        <v>130</v>
      </c>
    </row>
    <row r="272" ht="14.25" hidden="1">
      <c r="A272" s="170" t="s">
        <v>131</v>
      </c>
    </row>
    <row r="273" ht="14.25" hidden="1">
      <c r="A273" s="170" t="s">
        <v>132</v>
      </c>
    </row>
    <row r="274" ht="14.25" hidden="1">
      <c r="A274" s="170" t="s">
        <v>159</v>
      </c>
    </row>
    <row r="275" ht="14.25" hidden="1">
      <c r="A275" s="170" t="s">
        <v>538</v>
      </c>
    </row>
    <row r="276" ht="14.25" hidden="1">
      <c r="A276" s="170" t="s">
        <v>302</v>
      </c>
    </row>
    <row r="277" ht="14.25" hidden="1">
      <c r="A277" s="170" t="s">
        <v>393</v>
      </c>
    </row>
    <row r="278" ht="14.25" hidden="1">
      <c r="A278" s="170" t="s">
        <v>275</v>
      </c>
    </row>
    <row r="279" ht="14.25" hidden="1">
      <c r="A279" s="170" t="s">
        <v>303</v>
      </c>
    </row>
    <row r="280" ht="14.25" hidden="1">
      <c r="A280" s="170" t="s">
        <v>394</v>
      </c>
    </row>
    <row r="281" ht="14.25" hidden="1">
      <c r="A281" s="170" t="s">
        <v>276</v>
      </c>
    </row>
    <row r="282" ht="14.25" hidden="1">
      <c r="A282" s="170" t="s">
        <v>181</v>
      </c>
    </row>
    <row r="283" ht="14.25" hidden="1">
      <c r="A283" s="170" t="s">
        <v>539</v>
      </c>
    </row>
    <row r="284" ht="14.25" hidden="1">
      <c r="A284" s="170" t="s">
        <v>133</v>
      </c>
    </row>
    <row r="285" ht="14.25" hidden="1">
      <c r="A285" s="170" t="s">
        <v>223</v>
      </c>
    </row>
    <row r="286" ht="14.25" hidden="1">
      <c r="A286" s="170" t="s">
        <v>630</v>
      </c>
    </row>
    <row r="287" ht="14.25" hidden="1">
      <c r="A287" s="170" t="s">
        <v>585</v>
      </c>
    </row>
    <row r="288" ht="14.25" hidden="1">
      <c r="A288" s="170" t="s">
        <v>447</v>
      </c>
    </row>
    <row r="289" ht="14.25" hidden="1">
      <c r="A289" s="170" t="s">
        <v>224</v>
      </c>
    </row>
    <row r="290" ht="14.25" hidden="1">
      <c r="A290" s="170" t="s">
        <v>489</v>
      </c>
    </row>
    <row r="291" ht="14.25" hidden="1">
      <c r="A291" s="170" t="s">
        <v>322</v>
      </c>
    </row>
    <row r="292" ht="14.25" hidden="1">
      <c r="A292" s="170" t="s">
        <v>304</v>
      </c>
    </row>
    <row r="293" ht="14.25" hidden="1">
      <c r="A293" s="170" t="s">
        <v>490</v>
      </c>
    </row>
    <row r="294" ht="14.25" hidden="1">
      <c r="A294" s="170" t="s">
        <v>305</v>
      </c>
    </row>
    <row r="295" ht="14.25" hidden="1">
      <c r="A295" s="170" t="s">
        <v>395</v>
      </c>
    </row>
    <row r="296" ht="14.25" hidden="1">
      <c r="A296" s="170" t="s">
        <v>396</v>
      </c>
    </row>
    <row r="297" ht="14.25" hidden="1">
      <c r="A297" s="170" t="s">
        <v>306</v>
      </c>
    </row>
    <row r="298" ht="14.25" hidden="1">
      <c r="A298" s="170" t="s">
        <v>631</v>
      </c>
    </row>
    <row r="299" ht="14.25" hidden="1">
      <c r="A299" s="170" t="s">
        <v>134</v>
      </c>
    </row>
    <row r="300" ht="14.25" hidden="1">
      <c r="A300" s="170" t="s">
        <v>448</v>
      </c>
    </row>
    <row r="301" ht="14.25" hidden="1">
      <c r="A301" s="170" t="s">
        <v>540</v>
      </c>
    </row>
    <row r="302" ht="14.25" hidden="1">
      <c r="A302" s="170" t="s">
        <v>449</v>
      </c>
    </row>
    <row r="303" ht="14.25" hidden="1">
      <c r="A303" s="170" t="s">
        <v>225</v>
      </c>
    </row>
    <row r="304" ht="14.25" hidden="1">
      <c r="A304" s="170" t="s">
        <v>397</v>
      </c>
    </row>
    <row r="305" ht="14.25" hidden="1">
      <c r="A305" s="170" t="s">
        <v>398</v>
      </c>
    </row>
    <row r="306" s="9" customFormat="1" ht="14.25" hidden="1">
      <c r="A306" s="170" t="s">
        <v>541</v>
      </c>
    </row>
    <row r="307" s="9" customFormat="1" ht="14.25" hidden="1">
      <c r="A307" s="170" t="s">
        <v>226</v>
      </c>
    </row>
    <row r="308" s="9" customFormat="1" ht="14.25" hidden="1">
      <c r="A308" s="170" t="s">
        <v>135</v>
      </c>
    </row>
    <row r="309" s="9" customFormat="1" ht="14.25" hidden="1">
      <c r="A309" s="170" t="s">
        <v>277</v>
      </c>
    </row>
    <row r="310" s="9" customFormat="1" ht="14.25" hidden="1">
      <c r="A310" s="170" t="s">
        <v>307</v>
      </c>
    </row>
    <row r="311" s="9" customFormat="1" ht="14.25" hidden="1">
      <c r="A311" s="170" t="s">
        <v>227</v>
      </c>
    </row>
    <row r="312" s="9" customFormat="1" ht="14.25" hidden="1">
      <c r="A312" s="170" t="s">
        <v>136</v>
      </c>
    </row>
    <row r="313" s="9" customFormat="1" ht="14.25" hidden="1">
      <c r="A313" s="170" t="s">
        <v>632</v>
      </c>
    </row>
    <row r="314" s="9" customFormat="1" ht="14.25" hidden="1">
      <c r="A314" s="170" t="s">
        <v>278</v>
      </c>
    </row>
    <row r="315" s="9" customFormat="1" ht="14.25" hidden="1">
      <c r="A315" s="170" t="s">
        <v>491</v>
      </c>
    </row>
    <row r="316" s="9" customFormat="1" ht="14.25" hidden="1">
      <c r="A316" s="170" t="s">
        <v>399</v>
      </c>
    </row>
    <row r="317" s="9" customFormat="1" ht="14.25" hidden="1">
      <c r="A317" s="170" t="s">
        <v>492</v>
      </c>
    </row>
    <row r="318" s="9" customFormat="1" ht="14.25" hidden="1">
      <c r="A318" s="170" t="s">
        <v>542</v>
      </c>
    </row>
    <row r="319" s="9" customFormat="1" ht="14.25" hidden="1">
      <c r="A319" s="170" t="s">
        <v>400</v>
      </c>
    </row>
    <row r="320" s="9" customFormat="1" ht="14.25" hidden="1">
      <c r="A320" s="170" t="s">
        <v>401</v>
      </c>
    </row>
    <row r="321" s="9" customFormat="1" ht="14.25" hidden="1">
      <c r="A321" s="170" t="s">
        <v>493</v>
      </c>
    </row>
    <row r="322" s="9" customFormat="1" ht="14.25" hidden="1">
      <c r="A322" s="170" t="s">
        <v>308</v>
      </c>
    </row>
    <row r="323" s="9" customFormat="1" ht="14.25" hidden="1">
      <c r="A323" s="170" t="s">
        <v>228</v>
      </c>
    </row>
    <row r="324" s="9" customFormat="1" ht="14.25" hidden="1">
      <c r="A324" s="170" t="s">
        <v>402</v>
      </c>
    </row>
    <row r="325" s="9" customFormat="1" ht="14.25" hidden="1">
      <c r="A325" s="170" t="s">
        <v>182</v>
      </c>
    </row>
    <row r="326" s="9" customFormat="1" ht="14.25" hidden="1">
      <c r="A326" s="170" t="s">
        <v>494</v>
      </c>
    </row>
    <row r="327" s="9" customFormat="1" ht="14.25" hidden="1">
      <c r="A327" s="170" t="s">
        <v>279</v>
      </c>
    </row>
    <row r="328" s="9" customFormat="1" ht="14.25" hidden="1">
      <c r="A328" s="170" t="s">
        <v>495</v>
      </c>
    </row>
    <row r="329" s="9" customFormat="1" ht="14.25" hidden="1">
      <c r="A329" s="170" t="s">
        <v>229</v>
      </c>
    </row>
    <row r="330" s="9" customFormat="1" ht="14.25" hidden="1">
      <c r="A330" s="170" t="s">
        <v>230</v>
      </c>
    </row>
    <row r="331" s="9" customFormat="1" ht="14.25" hidden="1">
      <c r="A331" s="170" t="s">
        <v>231</v>
      </c>
    </row>
    <row r="332" s="9" customFormat="1" ht="14.25" hidden="1">
      <c r="A332" s="170" t="s">
        <v>403</v>
      </c>
    </row>
    <row r="333" s="9" customFormat="1" ht="14.25" hidden="1">
      <c r="A333" s="170" t="s">
        <v>232</v>
      </c>
    </row>
    <row r="334" s="9" customFormat="1" ht="14.25" hidden="1">
      <c r="A334" s="170" t="s">
        <v>404</v>
      </c>
    </row>
    <row r="335" s="9" customFormat="1" ht="14.25" hidden="1">
      <c r="A335" s="170" t="s">
        <v>280</v>
      </c>
    </row>
    <row r="336" s="9" customFormat="1" ht="14.25" hidden="1">
      <c r="A336" s="170" t="s">
        <v>233</v>
      </c>
    </row>
    <row r="337" s="9" customFormat="1" ht="14.25" hidden="1">
      <c r="A337" s="170" t="s">
        <v>234</v>
      </c>
    </row>
    <row r="338" s="9" customFormat="1" ht="14.25" hidden="1">
      <c r="A338" s="170" t="s">
        <v>235</v>
      </c>
    </row>
    <row r="339" s="9" customFormat="1" ht="14.25" hidden="1">
      <c r="A339" s="170" t="s">
        <v>137</v>
      </c>
    </row>
    <row r="340" s="9" customFormat="1" ht="14.25" hidden="1">
      <c r="A340" s="170" t="s">
        <v>236</v>
      </c>
    </row>
    <row r="341" s="9" customFormat="1" ht="14.25" hidden="1">
      <c r="A341" s="170" t="s">
        <v>138</v>
      </c>
    </row>
    <row r="342" s="9" customFormat="1" ht="14.25" hidden="1">
      <c r="A342" s="170" t="s">
        <v>139</v>
      </c>
    </row>
    <row r="343" s="9" customFormat="1" ht="14.25" hidden="1">
      <c r="A343" s="170" t="s">
        <v>543</v>
      </c>
    </row>
    <row r="344" s="9" customFormat="1" ht="14.25" hidden="1">
      <c r="A344" s="170" t="s">
        <v>140</v>
      </c>
    </row>
    <row r="345" s="9" customFormat="1" ht="14.25" hidden="1">
      <c r="A345" s="170" t="s">
        <v>183</v>
      </c>
    </row>
    <row r="346" s="9" customFormat="1" ht="14.25" hidden="1">
      <c r="A346" s="170" t="s">
        <v>405</v>
      </c>
    </row>
    <row r="347" s="9" customFormat="1" ht="14.25" hidden="1">
      <c r="A347" s="170" t="s">
        <v>141</v>
      </c>
    </row>
    <row r="348" s="9" customFormat="1" ht="14.25" hidden="1">
      <c r="A348" s="170" t="s">
        <v>544</v>
      </c>
    </row>
    <row r="349" s="9" customFormat="1" ht="14.25" hidden="1">
      <c r="A349" s="170" t="s">
        <v>406</v>
      </c>
    </row>
    <row r="350" s="9" customFormat="1" ht="14.25" hidden="1">
      <c r="A350" s="170" t="s">
        <v>142</v>
      </c>
    </row>
    <row r="351" s="9" customFormat="1" ht="14.25" hidden="1">
      <c r="A351" s="170" t="s">
        <v>407</v>
      </c>
    </row>
    <row r="352" s="9" customFormat="1" ht="14.25" hidden="1">
      <c r="A352" s="170" t="s">
        <v>545</v>
      </c>
    </row>
    <row r="353" s="9" customFormat="1" ht="14.25" hidden="1">
      <c r="A353" s="170" t="s">
        <v>143</v>
      </c>
    </row>
    <row r="354" s="9" customFormat="1" ht="14.25" hidden="1">
      <c r="A354" s="170" t="s">
        <v>408</v>
      </c>
    </row>
    <row r="355" s="9" customFormat="1" ht="14.25" hidden="1">
      <c r="A355" s="170" t="s">
        <v>546</v>
      </c>
    </row>
    <row r="356" s="9" customFormat="1" ht="14.25" hidden="1">
      <c r="A356" s="170" t="s">
        <v>144</v>
      </c>
    </row>
    <row r="357" s="9" customFormat="1" ht="14.25" hidden="1">
      <c r="A357" s="170" t="s">
        <v>409</v>
      </c>
    </row>
    <row r="358" s="9" customFormat="1" ht="14.25" hidden="1">
      <c r="A358" s="170" t="s">
        <v>237</v>
      </c>
    </row>
    <row r="359" s="9" customFormat="1" ht="14.25" hidden="1">
      <c r="A359" s="170" t="s">
        <v>160</v>
      </c>
    </row>
    <row r="360" s="9" customFormat="1" ht="14.25" hidden="1">
      <c r="A360" s="170" t="s">
        <v>309</v>
      </c>
    </row>
    <row r="361" ht="14.25" hidden="1">
      <c r="A361" s="170" t="s">
        <v>177</v>
      </c>
    </row>
    <row r="362" ht="14.25" hidden="1">
      <c r="A362" s="170" t="s">
        <v>145</v>
      </c>
    </row>
    <row r="363" ht="14.25" hidden="1">
      <c r="A363" s="170" t="s">
        <v>410</v>
      </c>
    </row>
    <row r="364" spans="1:4" ht="14.25" hidden="1">
      <c r="A364" s="170" t="s">
        <v>161</v>
      </c>
      <c r="D364" s="128"/>
    </row>
    <row r="365" ht="14.25" hidden="1">
      <c r="A365" s="170" t="s">
        <v>514</v>
      </c>
    </row>
    <row r="366" ht="14.25" hidden="1">
      <c r="A366" s="170" t="s">
        <v>281</v>
      </c>
    </row>
    <row r="367" ht="14.25" hidden="1">
      <c r="A367" s="170" t="s">
        <v>238</v>
      </c>
    </row>
    <row r="368" ht="14.25" hidden="1">
      <c r="A368" s="170" t="s">
        <v>146</v>
      </c>
    </row>
    <row r="369" ht="14.25" hidden="1">
      <c r="A369" s="170" t="s">
        <v>239</v>
      </c>
    </row>
    <row r="370" ht="14.25" hidden="1">
      <c r="A370" s="170" t="s">
        <v>411</v>
      </c>
    </row>
    <row r="371" ht="14.25" hidden="1">
      <c r="A371" s="170" t="s">
        <v>496</v>
      </c>
    </row>
    <row r="372" ht="14.25" hidden="1">
      <c r="A372" s="170" t="s">
        <v>147</v>
      </c>
    </row>
    <row r="373" ht="14.25" hidden="1">
      <c r="A373" s="170" t="s">
        <v>148</v>
      </c>
    </row>
    <row r="374" ht="14.25" hidden="1">
      <c r="A374" s="170" t="s">
        <v>450</v>
      </c>
    </row>
    <row r="375" ht="14.25" hidden="1">
      <c r="A375" s="170" t="s">
        <v>451</v>
      </c>
    </row>
    <row r="376" ht="14.25" hidden="1">
      <c r="A376" s="170" t="s">
        <v>412</v>
      </c>
    </row>
    <row r="377" ht="14.25" hidden="1">
      <c r="A377" s="170" t="s">
        <v>240</v>
      </c>
    </row>
    <row r="378" ht="14.25" hidden="1">
      <c r="A378" s="170" t="s">
        <v>149</v>
      </c>
    </row>
    <row r="379" ht="14.25" hidden="1">
      <c r="A379" s="170" t="s">
        <v>497</v>
      </c>
    </row>
    <row r="380" ht="14.25" hidden="1">
      <c r="A380" s="170" t="s">
        <v>323</v>
      </c>
    </row>
    <row r="381" ht="14.25" hidden="1">
      <c r="A381" s="170" t="s">
        <v>413</v>
      </c>
    </row>
    <row r="382" ht="9.75" hidden="1"/>
  </sheetData>
  <sheetProtection password="B7B0" sheet="1"/>
  <mergeCells count="18">
    <mergeCell ref="A7:E7"/>
    <mergeCell ref="A17:E17"/>
    <mergeCell ref="A16:E16"/>
    <mergeCell ref="A6:E6"/>
    <mergeCell ref="A5:E5"/>
    <mergeCell ref="B1:C1"/>
    <mergeCell ref="D1:E1"/>
    <mergeCell ref="A3:E3"/>
    <mergeCell ref="A4:E4"/>
    <mergeCell ref="A34:E34"/>
    <mergeCell ref="A21:C21"/>
    <mergeCell ref="A15:E15"/>
    <mergeCell ref="A12:C12"/>
    <mergeCell ref="A13:C13"/>
    <mergeCell ref="D12:E12"/>
    <mergeCell ref="D13:E13"/>
    <mergeCell ref="D18:E18"/>
    <mergeCell ref="D32:E32"/>
  </mergeCells>
  <dataValidations count="1">
    <dataValidation type="list" allowBlank="1" showInputMessage="1" showErrorMessage="1" sqref="A4:E4">
      <formula1>$A$36:$A$381</formula1>
    </dataValidation>
  </dataValidations>
  <printOptions/>
  <pageMargins left="0.5" right="0.5" top="0.5" bottom="0.5" header="0.3" footer="0.3"/>
  <pageSetup fitToHeight="1" fitToWidth="1" horizontalDpi="600" verticalDpi="600" orientation="portrait" scale="91" r:id="rId2"/>
  <headerFooter>
    <oddHeader xml:space="preserve">&amp;C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77"/>
  <sheetViews>
    <sheetView showGridLines="0" showZeros="0" showOutlineSymbols="0" workbookViewId="0" topLeftCell="A1">
      <selection activeCell="K16" sqref="K16"/>
    </sheetView>
  </sheetViews>
  <sheetFormatPr defaultColWidth="9.140625" defaultRowHeight="15"/>
  <cols>
    <col min="1" max="1" width="3.421875" style="66" bestFit="1" customWidth="1"/>
    <col min="2" max="2" width="22.8515625" style="66" customWidth="1"/>
    <col min="3" max="3" width="34.00390625" style="66" customWidth="1"/>
    <col min="4" max="5" width="9.140625" style="66" customWidth="1"/>
    <col min="6" max="16384" width="9.140625" style="76" customWidth="1"/>
  </cols>
  <sheetData>
    <row r="1" spans="1:5" s="66" customFormat="1" ht="12" customHeight="1">
      <c r="A1" s="433">
        <f>'Cover Page'!A4:E4</f>
        <v>0</v>
      </c>
      <c r="B1" s="433"/>
      <c r="C1" s="433"/>
      <c r="D1" s="433"/>
      <c r="E1" s="433"/>
    </row>
    <row r="2" spans="1:5" s="66" customFormat="1" ht="12" customHeight="1">
      <c r="A2" s="434" t="s">
        <v>65</v>
      </c>
      <c r="B2" s="434"/>
      <c r="C2" s="434"/>
      <c r="D2" s="434"/>
      <c r="E2" s="434"/>
    </row>
    <row r="3" spans="1:5" s="66" customFormat="1" ht="12" customHeight="1">
      <c r="A3" s="434" t="s">
        <v>648</v>
      </c>
      <c r="B3" s="434"/>
      <c r="C3" s="434"/>
      <c r="D3" s="434"/>
      <c r="E3" s="434"/>
    </row>
    <row r="4" spans="4:6" s="66" customFormat="1" ht="12" customHeight="1">
      <c r="D4" s="67"/>
      <c r="E4" s="68"/>
      <c r="F4" s="68"/>
    </row>
    <row r="5" spans="1:6" s="66" customFormat="1" ht="14.25" customHeight="1">
      <c r="A5" s="435" t="s">
        <v>66</v>
      </c>
      <c r="B5" s="435"/>
      <c r="C5" s="435"/>
      <c r="D5" s="435"/>
      <c r="E5" s="435"/>
      <c r="F5" s="69"/>
    </row>
    <row r="6" spans="1:6" s="66" customFormat="1" ht="14.25" customHeight="1">
      <c r="A6" s="435" t="s">
        <v>421</v>
      </c>
      <c r="B6" s="435"/>
      <c r="C6" s="435"/>
      <c r="D6" s="435"/>
      <c r="E6" s="435"/>
      <c r="F6" s="70"/>
    </row>
    <row r="7" spans="1:5" s="66" customFormat="1" ht="14.25" customHeight="1">
      <c r="A7" s="435" t="s">
        <v>577</v>
      </c>
      <c r="B7" s="435"/>
      <c r="C7" s="435"/>
      <c r="D7" s="435"/>
      <c r="E7" s="435"/>
    </row>
    <row r="8" spans="1:5" s="66" customFormat="1" ht="16.5" customHeight="1" thickBot="1">
      <c r="A8" s="136"/>
      <c r="B8" s="136"/>
      <c r="C8" s="136"/>
      <c r="D8" s="136"/>
      <c r="E8" s="69"/>
    </row>
    <row r="9" spans="1:5" s="66" customFormat="1" ht="26.25" customHeight="1" thickBot="1">
      <c r="A9" s="228" t="s">
        <v>64</v>
      </c>
      <c r="B9" s="430" t="s">
        <v>552</v>
      </c>
      <c r="C9" s="430"/>
      <c r="D9" s="430"/>
      <c r="E9" s="71" t="str">
        <f>IF('Schedule 1-1'!G15&gt;0,"ERROR","OK")</f>
        <v>OK</v>
      </c>
    </row>
    <row r="10" spans="1:5" s="73" customFormat="1" ht="16.5" customHeight="1" thickBot="1">
      <c r="A10" s="229"/>
      <c r="B10" s="92"/>
      <c r="C10" s="92"/>
      <c r="D10" s="92"/>
      <c r="E10" s="93"/>
    </row>
    <row r="11" spans="1:5" s="66" customFormat="1" ht="30.75" customHeight="1" thickBot="1">
      <c r="A11" s="228" t="s">
        <v>64</v>
      </c>
      <c r="B11" s="430" t="s">
        <v>458</v>
      </c>
      <c r="C11" s="430"/>
      <c r="D11" s="430"/>
      <c r="E11" s="71" t="str">
        <f>IF('Schedule 3'!J5="","ERROR","OK")</f>
        <v>ERROR</v>
      </c>
    </row>
    <row r="12" spans="1:6" s="66" customFormat="1" ht="16.5" customHeight="1" thickBot="1">
      <c r="A12" s="74"/>
      <c r="B12" s="72"/>
      <c r="C12" s="72"/>
      <c r="D12" s="72"/>
      <c r="E12" s="74"/>
      <c r="F12" s="75"/>
    </row>
    <row r="13" spans="1:5" s="66" customFormat="1" ht="16.5" customHeight="1" thickBot="1">
      <c r="A13" s="228" t="s">
        <v>64</v>
      </c>
      <c r="B13" s="431" t="s">
        <v>463</v>
      </c>
      <c r="C13" s="431"/>
      <c r="D13" s="431"/>
      <c r="E13" s="71" t="str">
        <f>IF('Schedule 1-1'!I30="","ERROR",IF(AND(SUM('Schedule 1-1'!E20:E21)&gt;0,'Schedule 1-1'!I30="N/A"),"ERROR","OK"))</f>
        <v>ERROR</v>
      </c>
    </row>
    <row r="14" spans="1:14" s="73" customFormat="1" ht="16.5" customHeight="1" thickBot="1">
      <c r="A14" s="229"/>
      <c r="B14" s="92"/>
      <c r="C14" s="92"/>
      <c r="D14" s="92"/>
      <c r="E14" s="93"/>
      <c r="F14" s="66"/>
      <c r="G14" s="66"/>
      <c r="H14" s="66"/>
      <c r="I14" s="66"/>
      <c r="J14" s="66"/>
      <c r="K14" s="66"/>
      <c r="L14" s="66"/>
      <c r="M14" s="66"/>
      <c r="N14" s="66"/>
    </row>
    <row r="15" spans="1:5" s="66" customFormat="1" ht="16.5" customHeight="1" thickBot="1">
      <c r="A15" s="228" t="s">
        <v>64</v>
      </c>
      <c r="B15" s="197" t="s">
        <v>459</v>
      </c>
      <c r="C15" s="197"/>
      <c r="D15" s="197"/>
      <c r="E15" s="71" t="str">
        <f>IF(ISBLANK('Cover Page'!A4),"OK",IF(AND('Schedule 2'!B13='Schedule 2'!D13,'Schedule 2'!B13='Schedule 2'!E13,'Schedule 2'!B13='Schedule 2'!F13,'Schedule 2'!B13='Schedule 2'!G13,'Schedule 2'!B13='Schedule 2'!H13),"OK","ERROR"))</f>
        <v>OK</v>
      </c>
    </row>
    <row r="16" spans="1:5" s="66" customFormat="1" ht="16.5" customHeight="1" thickBot="1">
      <c r="A16" s="230"/>
      <c r="B16" s="197"/>
      <c r="C16" s="197"/>
      <c r="D16" s="72"/>
      <c r="E16" s="73"/>
    </row>
    <row r="17" spans="1:5" s="66" customFormat="1" ht="16.5" customHeight="1" thickBot="1">
      <c r="A17" s="228" t="s">
        <v>64</v>
      </c>
      <c r="B17" s="197" t="s">
        <v>460</v>
      </c>
      <c r="C17" s="197"/>
      <c r="D17" s="197"/>
      <c r="E17" s="71" t="str">
        <f>IF(ISBLANK('Cover Page'!A4),"OK",IF(AND('Schedule 3'!B14='Schedule 3'!D14,'Schedule 3'!B14='Schedule 3'!E14,'Schedule 3'!B14='Schedule 3'!F14,'Schedule 3'!B14='Schedule 3'!G14),"OK","ERROR"))</f>
        <v>OK</v>
      </c>
    </row>
    <row r="18" spans="1:5" s="66" customFormat="1" ht="16.5" customHeight="1" thickBot="1">
      <c r="A18" s="230"/>
      <c r="B18" s="197"/>
      <c r="C18" s="197"/>
      <c r="D18" s="72"/>
      <c r="E18" s="73"/>
    </row>
    <row r="19" spans="1:5" s="66" customFormat="1" ht="16.5" customHeight="1" thickBot="1">
      <c r="A19" s="228" t="s">
        <v>64</v>
      </c>
      <c r="B19" s="431" t="s">
        <v>461</v>
      </c>
      <c r="C19" s="431"/>
      <c r="D19" s="431"/>
      <c r="E19" s="71" t="str">
        <f>IF(ISBLANK('Cover Page'!A4),"OK",IF(AND('Schedule 4'!B12='Schedule 4'!C12,'Schedule 4'!B12='Schedule 4'!D12,'Schedule 4'!B12='Schedule 4'!E12,'Schedule 4'!B12='Schedule 4'!F12,'Schedule 4'!B12=('Schedule 4'!G12+'Schedule 4'!H12)),"OK","ERROR"))</f>
        <v>OK</v>
      </c>
    </row>
    <row r="20" spans="1:6" s="66" customFormat="1" ht="16.5" customHeight="1">
      <c r="A20" s="74"/>
      <c r="B20" s="72"/>
      <c r="C20" s="72"/>
      <c r="D20" s="72"/>
      <c r="E20" s="74"/>
      <c r="F20" s="75"/>
    </row>
    <row r="21" spans="1:5" s="73" customFormat="1" ht="16.5" customHeight="1" hidden="1" thickBot="1">
      <c r="A21" s="228" t="s">
        <v>64</v>
      </c>
      <c r="B21" s="345" t="s">
        <v>462</v>
      </c>
      <c r="C21" s="345"/>
      <c r="D21" s="345"/>
      <c r="E21" s="71" t="str">
        <f>IF(OR('Sample Info'!D8&lt;'Sample Info'!D11,'Sample Info'!D14&lt;'Sample Info'!D17,'Sample Info'!D20&lt;'Sample Info'!D23),"ERROR","OK")</f>
        <v>OK</v>
      </c>
    </row>
    <row r="22" ht="12.75" hidden="1" thickBot="1"/>
    <row r="23" spans="1:5" s="66" customFormat="1" ht="16.5" customHeight="1" hidden="1" thickBot="1">
      <c r="A23" s="228" t="s">
        <v>64</v>
      </c>
      <c r="B23" s="432" t="s">
        <v>516</v>
      </c>
      <c r="C23" s="432"/>
      <c r="D23" s="432"/>
      <c r="E23" s="71" t="str">
        <f>IF(ISBLANK('Schedule 6'!I5),"ERROR",IF(AND('Schedule 6'!I5="N/A",'Schedule 5'!L28&gt;0),"ERROR","OK"))</f>
        <v>ERROR</v>
      </c>
    </row>
    <row r="24" spans="1:5" s="66" customFormat="1" ht="16.5" customHeight="1" hidden="1" thickBot="1">
      <c r="A24" s="231"/>
      <c r="B24" s="346"/>
      <c r="C24" s="346"/>
      <c r="D24" s="346"/>
      <c r="E24" s="186"/>
    </row>
    <row r="25" spans="1:15" s="66" customFormat="1" ht="16.5" customHeight="1" hidden="1" thickBot="1">
      <c r="A25" s="228" t="s">
        <v>64</v>
      </c>
      <c r="B25" s="432" t="s">
        <v>517</v>
      </c>
      <c r="C25" s="432"/>
      <c r="D25" s="432"/>
      <c r="E25" s="71" t="str">
        <f>IF('Schedule 6'!I6="","ERROR","OK")</f>
        <v>ERROR</v>
      </c>
      <c r="G25" s="73"/>
      <c r="H25" s="73"/>
      <c r="I25" s="73"/>
      <c r="J25" s="73"/>
      <c r="K25" s="73"/>
      <c r="L25" s="73"/>
      <c r="M25" s="73"/>
      <c r="N25" s="73"/>
      <c r="O25" s="73"/>
    </row>
    <row r="26" ht="12.75" hidden="1" thickBot="1"/>
    <row r="27" spans="1:6" ht="18.75" customHeight="1" hidden="1" thickBot="1">
      <c r="A27" s="228" t="s">
        <v>64</v>
      </c>
      <c r="B27" s="432" t="s">
        <v>644</v>
      </c>
      <c r="C27" s="432"/>
      <c r="D27" s="432"/>
      <c r="E27" s="71" t="str">
        <f>IF(SUM('Schedule 6'!K40:N40)&gt;0,"ERROR","OK")</f>
        <v>OK</v>
      </c>
      <c r="F27" s="66"/>
    </row>
    <row r="28" ht="12.75" hidden="1" thickBot="1"/>
    <row r="29" spans="1:6" ht="17.25" customHeight="1" hidden="1" thickBot="1">
      <c r="A29" s="228" t="s">
        <v>64</v>
      </c>
      <c r="B29" s="432" t="s">
        <v>550</v>
      </c>
      <c r="C29" s="432"/>
      <c r="D29" s="432"/>
      <c r="E29" s="71" t="str">
        <f>IF(SUM('Schedule 2'!AL13)&gt;0,"ERROR","OK")</f>
        <v>OK</v>
      </c>
      <c r="F29" s="66"/>
    </row>
    <row r="30" ht="17.25" customHeight="1" hidden="1" thickBot="1"/>
    <row r="31" spans="1:6" ht="17.25" customHeight="1" hidden="1" thickBot="1">
      <c r="A31" s="228" t="s">
        <v>64</v>
      </c>
      <c r="B31" s="432" t="s">
        <v>549</v>
      </c>
      <c r="C31" s="432"/>
      <c r="D31" s="432"/>
      <c r="E31" s="71" t="str">
        <f>IF(SUM('Schedule 1-1'!I37)&gt;0,"ERROR","OK")</f>
        <v>OK</v>
      </c>
      <c r="F31" s="66"/>
    </row>
    <row r="32" ht="11.25"/>
    <row r="33" ht="11.25"/>
    <row r="34" ht="11.25"/>
    <row r="35" ht="11.25"/>
    <row r="36" ht="11.25"/>
    <row r="37" ht="11.25"/>
    <row r="38" ht="11.25"/>
    <row r="39" ht="11.25"/>
    <row r="40" ht="11.25"/>
    <row r="41" ht="11.25"/>
    <row r="42" ht="11.25"/>
    <row r="43" ht="11.25"/>
    <row r="44" ht="11.25"/>
    <row r="45" ht="11.25"/>
    <row r="46" ht="11.25"/>
    <row r="47" ht="11.25"/>
    <row r="48" ht="11.25"/>
    <row r="49" ht="11.25"/>
    <row r="50" ht="11.25"/>
    <row r="51" ht="11.25"/>
    <row r="77" ht="12">
      <c r="A77" s="161"/>
    </row>
  </sheetData>
  <sheetProtection password="B7B0" sheet="1"/>
  <mergeCells count="15">
    <mergeCell ref="A1:E1"/>
    <mergeCell ref="A2:E2"/>
    <mergeCell ref="A3:E3"/>
    <mergeCell ref="A5:E5"/>
    <mergeCell ref="A6:E6"/>
    <mergeCell ref="A7:E7"/>
    <mergeCell ref="B11:D11"/>
    <mergeCell ref="B13:D13"/>
    <mergeCell ref="B9:D9"/>
    <mergeCell ref="B29:D29"/>
    <mergeCell ref="B31:D31"/>
    <mergeCell ref="B27:D27"/>
    <mergeCell ref="B25:D25"/>
    <mergeCell ref="B23:D23"/>
    <mergeCell ref="B19:D19"/>
  </mergeCells>
  <conditionalFormatting sqref="E1:E28 E30 E32:E65536">
    <cfRule type="cellIs" priority="3" dxfId="5" operator="equal" stopIfTrue="1">
      <formula>"ERROR"</formula>
    </cfRule>
  </conditionalFormatting>
  <conditionalFormatting sqref="E29">
    <cfRule type="cellIs" priority="2" dxfId="5" operator="equal" stopIfTrue="1">
      <formula>"ERROR"</formula>
    </cfRule>
  </conditionalFormatting>
  <conditionalFormatting sqref="E31">
    <cfRule type="cellIs" priority="1" dxfId="5" operator="equal" stopIfTrue="1">
      <formula>"ERROR"</formula>
    </cfRule>
  </conditionalFormatting>
  <printOptions horizontalCentered="1"/>
  <pageMargins left="0.5" right="0.5" top="0.5" bottom="0.5" header="0.3" footer="0.3"/>
  <pageSetup fitToHeight="1" fitToWidth="1" horizontalDpi="600" verticalDpi="600" orientation="portrait" r:id="rId3"/>
  <headerFooter>
    <oddHeader>&amp;L&amp;"Arial,Regular"&amp;8Page 2&amp;R&amp;"Arial,Regular"&amp;8PI-PCP-106 (5 Lines)</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L81"/>
  <sheetViews>
    <sheetView showGridLines="0" zoomScaleSheetLayoutView="90" workbookViewId="0" topLeftCell="A1">
      <selection activeCell="K16" sqref="K16"/>
    </sheetView>
  </sheetViews>
  <sheetFormatPr defaultColWidth="9.140625" defaultRowHeight="15"/>
  <cols>
    <col min="1" max="1" width="5.00390625" style="9" customWidth="1"/>
    <col min="2" max="2" width="24.421875" style="9" customWidth="1"/>
    <col min="3" max="3" width="9.57421875" style="9" customWidth="1"/>
    <col min="4" max="5" width="10.8515625" style="9" customWidth="1"/>
    <col min="6" max="6" width="9.57421875" style="9" customWidth="1"/>
    <col min="7" max="7" width="10.140625" style="9" customWidth="1"/>
    <col min="8" max="9" width="10.00390625" style="9" customWidth="1"/>
    <col min="10" max="16384" width="9.140625" style="9" customWidth="1"/>
  </cols>
  <sheetData>
    <row r="1" spans="1:9" ht="10.5">
      <c r="A1" s="466" t="str">
        <f>IF(ISBLANK('Cover Page'!A4),"School Name",'Cover Page'!A4)</f>
        <v>School Name</v>
      </c>
      <c r="B1" s="466"/>
      <c r="C1" s="466"/>
      <c r="D1" s="466"/>
      <c r="E1" s="466"/>
      <c r="F1" s="466"/>
      <c r="G1" s="466"/>
      <c r="H1" s="466"/>
      <c r="I1" s="466"/>
    </row>
    <row r="2" spans="1:9" ht="10.5">
      <c r="A2" s="467" t="str">
        <f>'Error Report'!A3</f>
        <v>January 14, 2022 Choice Enrollment Audit</v>
      </c>
      <c r="B2" s="467"/>
      <c r="C2" s="467"/>
      <c r="D2" s="467"/>
      <c r="E2" s="467"/>
      <c r="F2" s="467"/>
      <c r="G2" s="467"/>
      <c r="H2" s="467"/>
      <c r="I2" s="467"/>
    </row>
    <row r="3" spans="1:9" ht="14.25" customHeight="1" thickBot="1">
      <c r="A3" s="440" t="s">
        <v>192</v>
      </c>
      <c r="B3" s="440"/>
      <c r="C3" s="440"/>
      <c r="D3" s="440"/>
      <c r="E3" s="440"/>
      <c r="F3" s="440"/>
      <c r="G3" s="440"/>
      <c r="H3" s="440"/>
      <c r="I3" s="440"/>
    </row>
    <row r="4" spans="1:9" ht="21" customHeight="1" thickTop="1">
      <c r="A4" s="22"/>
      <c r="B4" s="22"/>
      <c r="C4" s="447" t="s">
        <v>46</v>
      </c>
      <c r="D4" s="447"/>
      <c r="E4" s="447"/>
      <c r="F4" s="447"/>
      <c r="G4" s="22"/>
      <c r="H4" s="22"/>
      <c r="I4" s="22"/>
    </row>
    <row r="5" spans="1:9" ht="26.25" customHeight="1">
      <c r="A5" s="480" t="s">
        <v>452</v>
      </c>
      <c r="B5" s="480"/>
      <c r="C5" s="480"/>
      <c r="D5" s="480"/>
      <c r="E5" s="480"/>
      <c r="F5" s="480"/>
      <c r="G5" s="480"/>
      <c r="H5" s="480"/>
      <c r="I5" s="480"/>
    </row>
    <row r="6" spans="1:9" s="232" customFormat="1" ht="25.5" customHeight="1">
      <c r="A6" s="199" t="s">
        <v>60</v>
      </c>
      <c r="B6" s="478" t="s">
        <v>61</v>
      </c>
      <c r="C6" s="479"/>
      <c r="D6" s="165" t="s">
        <v>55</v>
      </c>
      <c r="E6" s="165" t="s">
        <v>56</v>
      </c>
      <c r="F6" s="198" t="s">
        <v>7</v>
      </c>
      <c r="G6" s="468" t="s">
        <v>261</v>
      </c>
      <c r="H6" s="469"/>
      <c r="I6" s="469"/>
    </row>
    <row r="7" spans="1:9" ht="16.5" customHeight="1">
      <c r="A7" s="23">
        <v>1</v>
      </c>
      <c r="B7" s="476" t="s">
        <v>0</v>
      </c>
      <c r="C7" s="477"/>
      <c r="D7" s="233">
        <f>IF('Cover Page'!$A$4="",0,VLOOKUP('Cover Page'!$A$4,Counts!$B$4:$AF$461,Counts!$D$466,FALSE))</f>
        <v>0</v>
      </c>
      <c r="E7" s="52"/>
      <c r="F7" s="234">
        <f aca="true" t="shared" si="0" ref="F7:F14">E7-D7</f>
        <v>0</v>
      </c>
      <c r="G7" s="470" t="str">
        <f aca="true" t="shared" si="1" ref="G7:G14">IF(E7&lt;E20,"ERROR","OK")</f>
        <v>OK</v>
      </c>
      <c r="H7" s="471"/>
      <c r="I7" s="471"/>
    </row>
    <row r="8" spans="1:9" ht="16.5" customHeight="1">
      <c r="A8" s="23">
        <v>2</v>
      </c>
      <c r="B8" s="462" t="s">
        <v>252</v>
      </c>
      <c r="C8" s="463"/>
      <c r="D8" s="233">
        <f>IF('Cover Page'!$A$4="",0,VLOOKUP('Cover Page'!$A$4,Counts!$B$4:$AF$461,Counts!$E$466,FALSE))</f>
        <v>0</v>
      </c>
      <c r="E8" s="52"/>
      <c r="F8" s="234">
        <f t="shared" si="0"/>
        <v>0</v>
      </c>
      <c r="G8" s="470" t="str">
        <f t="shared" si="1"/>
        <v>OK</v>
      </c>
      <c r="H8" s="471"/>
      <c r="I8" s="471"/>
    </row>
    <row r="9" spans="1:9" ht="16.5" customHeight="1">
      <c r="A9" s="23">
        <v>3</v>
      </c>
      <c r="B9" s="462" t="s">
        <v>44</v>
      </c>
      <c r="C9" s="463"/>
      <c r="D9" s="233">
        <f>IF('Cover Page'!$A$4="",0,VLOOKUP('Cover Page'!$A$4,Counts!$B$4:$AF$461,Counts!$F$466,FALSE))</f>
        <v>0</v>
      </c>
      <c r="E9" s="52"/>
      <c r="F9" s="234">
        <f t="shared" si="0"/>
        <v>0</v>
      </c>
      <c r="G9" s="470" t="str">
        <f t="shared" si="1"/>
        <v>OK</v>
      </c>
      <c r="H9" s="471"/>
      <c r="I9" s="471"/>
    </row>
    <row r="10" spans="1:9" ht="16.5" customHeight="1">
      <c r="A10" s="23">
        <v>4</v>
      </c>
      <c r="B10" s="462" t="s">
        <v>45</v>
      </c>
      <c r="C10" s="463"/>
      <c r="D10" s="233">
        <f>IF('Cover Page'!$A$4="",0,VLOOKUP('Cover Page'!$A$4,Counts!$B$4:$AF$461,Counts!$G$466,FALSE))</f>
        <v>0</v>
      </c>
      <c r="E10" s="52"/>
      <c r="F10" s="234">
        <f t="shared" si="0"/>
        <v>0</v>
      </c>
      <c r="G10" s="470" t="str">
        <f t="shared" si="1"/>
        <v>OK</v>
      </c>
      <c r="H10" s="471"/>
      <c r="I10" s="471"/>
    </row>
    <row r="11" spans="1:9" ht="16.5" customHeight="1">
      <c r="A11" s="23">
        <v>5</v>
      </c>
      <c r="B11" s="462" t="s">
        <v>1</v>
      </c>
      <c r="C11" s="463"/>
      <c r="D11" s="233">
        <f>IF('Cover Page'!$A$4="",0,VLOOKUP('Cover Page'!$A$4,Counts!$B$4:$AF$461,Counts!$H$466,FALSE))</f>
        <v>0</v>
      </c>
      <c r="E11" s="52"/>
      <c r="F11" s="234">
        <f t="shared" si="0"/>
        <v>0</v>
      </c>
      <c r="G11" s="470" t="str">
        <f t="shared" si="1"/>
        <v>OK</v>
      </c>
      <c r="H11" s="471"/>
      <c r="I11" s="471"/>
    </row>
    <row r="12" spans="1:9" ht="16.5" customHeight="1">
      <c r="A12" s="23">
        <v>6</v>
      </c>
      <c r="B12" s="462" t="s">
        <v>2</v>
      </c>
      <c r="C12" s="463"/>
      <c r="D12" s="233">
        <f>IF('Cover Page'!$A$4="",0,VLOOKUP('Cover Page'!$A$4,Counts!$B$4:$AF$461,Counts!$I$466,FALSE))</f>
        <v>0</v>
      </c>
      <c r="E12" s="52"/>
      <c r="F12" s="234">
        <f t="shared" si="0"/>
        <v>0</v>
      </c>
      <c r="G12" s="470" t="str">
        <f t="shared" si="1"/>
        <v>OK</v>
      </c>
      <c r="H12" s="471"/>
      <c r="I12" s="471"/>
    </row>
    <row r="13" spans="1:9" ht="16.5" customHeight="1">
      <c r="A13" s="24">
        <v>7</v>
      </c>
      <c r="B13" s="77" t="s">
        <v>81</v>
      </c>
      <c r="C13" s="78"/>
      <c r="D13" s="233">
        <f>IF('Cover Page'!$A$4="",0,VLOOKUP('Cover Page'!$A$4,Counts!$B$4:$AF$461,Counts!$J$466,FALSE))</f>
        <v>0</v>
      </c>
      <c r="E13" s="53"/>
      <c r="F13" s="234">
        <f t="shared" si="0"/>
        <v>0</v>
      </c>
      <c r="G13" s="470" t="str">
        <f t="shared" si="1"/>
        <v>OK</v>
      </c>
      <c r="H13" s="471"/>
      <c r="I13" s="471"/>
    </row>
    <row r="14" spans="1:9" ht="16.5" customHeight="1" thickBot="1">
      <c r="A14" s="24">
        <v>8</v>
      </c>
      <c r="B14" s="464" t="s">
        <v>67</v>
      </c>
      <c r="C14" s="465"/>
      <c r="D14" s="233">
        <f>IF('Cover Page'!$A$4="",0,VLOOKUP('Cover Page'!$A$4,Counts!$B$4:$AF$461,Counts!$K$466,FALSE))</f>
        <v>0</v>
      </c>
      <c r="E14" s="53"/>
      <c r="F14" s="235">
        <f t="shared" si="0"/>
        <v>0</v>
      </c>
      <c r="G14" s="484" t="str">
        <f t="shared" si="1"/>
        <v>OK</v>
      </c>
      <c r="H14" s="485"/>
      <c r="I14" s="485"/>
    </row>
    <row r="15" spans="1:9" ht="16.5" customHeight="1" thickBot="1">
      <c r="A15" s="25">
        <v>9</v>
      </c>
      <c r="B15" s="472" t="s">
        <v>3</v>
      </c>
      <c r="C15" s="473"/>
      <c r="D15" s="236">
        <f>IF(ISBLANK('Cover Page'!A4),"",SUM(D7:D14))</f>
      </c>
      <c r="E15" s="237">
        <f>IF(ISBLANK('Cover Page'!A4),"",SUM(E7:E14))</f>
      </c>
      <c r="F15" s="238">
        <f>SUM(F7:F14)</f>
        <v>0</v>
      </c>
      <c r="G15" s="474">
        <f>COUNTIF(G7:I14,"ERROR")</f>
        <v>0</v>
      </c>
      <c r="H15" s="475"/>
      <c r="I15" s="475"/>
    </row>
    <row r="16" spans="1:9" ht="21" customHeight="1" thickTop="1">
      <c r="A16" s="22"/>
      <c r="B16" s="22"/>
      <c r="C16" s="447" t="s">
        <v>50</v>
      </c>
      <c r="D16" s="447"/>
      <c r="E16" s="447"/>
      <c r="F16" s="447"/>
      <c r="G16" s="22"/>
      <c r="H16" s="22"/>
      <c r="I16" s="22"/>
    </row>
    <row r="17" spans="1:9" ht="31.5" customHeight="1">
      <c r="A17" s="480" t="s">
        <v>431</v>
      </c>
      <c r="B17" s="480"/>
      <c r="C17" s="480"/>
      <c r="D17" s="480"/>
      <c r="E17" s="480"/>
      <c r="F17" s="480"/>
      <c r="G17" s="480"/>
      <c r="H17" s="480"/>
      <c r="I17" s="480"/>
    </row>
    <row r="18" spans="1:9" ht="11.25" customHeight="1">
      <c r="A18" s="486" t="s">
        <v>60</v>
      </c>
      <c r="B18" s="481" t="s">
        <v>62</v>
      </c>
      <c r="C18" s="482"/>
      <c r="D18" s="452" t="s">
        <v>55</v>
      </c>
      <c r="E18" s="454" t="s">
        <v>56</v>
      </c>
      <c r="F18" s="456" t="s">
        <v>7</v>
      </c>
      <c r="G18" s="488"/>
      <c r="H18" s="488"/>
      <c r="I18" s="488"/>
    </row>
    <row r="19" spans="1:9" ht="29.25" customHeight="1">
      <c r="A19" s="487"/>
      <c r="B19" s="483"/>
      <c r="C19" s="451"/>
      <c r="D19" s="453"/>
      <c r="E19" s="489"/>
      <c r="F19" s="207" t="s">
        <v>310</v>
      </c>
      <c r="G19" s="207" t="s">
        <v>4</v>
      </c>
      <c r="H19" s="208" t="s">
        <v>342</v>
      </c>
      <c r="I19" s="208" t="s">
        <v>343</v>
      </c>
    </row>
    <row r="20" spans="1:9" ht="16.5" customHeight="1">
      <c r="A20" s="23">
        <v>10</v>
      </c>
      <c r="B20" s="476" t="s">
        <v>0</v>
      </c>
      <c r="C20" s="477"/>
      <c r="D20" s="239">
        <f>SUM('Schedule 1-2'!D8,'Schedule 1-2'!D20,'Schedule 1-2'!D32)</f>
        <v>0</v>
      </c>
      <c r="E20" s="240">
        <f>SUM('Schedule 1-2'!E8,'Schedule 1-2'!E20,'Schedule 1-2'!E32)</f>
        <v>0</v>
      </c>
      <c r="F20" s="241">
        <f>SUM('Schedule 1-2'!F8,'Schedule 1-2'!F20,'Schedule 1-2'!F32)</f>
        <v>0</v>
      </c>
      <c r="G20" s="241">
        <f>SUM('Schedule 1-2'!G8,'Schedule 1-2'!G20,'Schedule 1-2'!G32)</f>
        <v>0</v>
      </c>
      <c r="H20" s="241">
        <f>SUM('Schedule 1-2'!H8,'Schedule 1-2'!H20,'Schedule 1-2'!H32)</f>
        <v>0</v>
      </c>
      <c r="I20" s="242">
        <f>SUM('Schedule 1-2'!I8,'Schedule 1-2'!I20,'Schedule 1-2'!I32)</f>
        <v>0</v>
      </c>
    </row>
    <row r="21" spans="1:9" ht="16.5" customHeight="1">
      <c r="A21" s="23">
        <v>11</v>
      </c>
      <c r="B21" s="462" t="s">
        <v>252</v>
      </c>
      <c r="C21" s="463"/>
      <c r="D21" s="239">
        <f>SUM('Schedule 1-2'!D9,'Schedule 1-2'!D21,'Schedule 1-2'!D33)</f>
        <v>0</v>
      </c>
      <c r="E21" s="240">
        <f>SUM('Schedule 1-2'!E9,'Schedule 1-2'!E21,'Schedule 1-2'!E33)</f>
        <v>0</v>
      </c>
      <c r="F21" s="241">
        <f>SUM('Schedule 1-2'!F9,'Schedule 1-2'!F21,'Schedule 1-2'!F33)</f>
        <v>0</v>
      </c>
      <c r="G21" s="241">
        <f>SUM('Schedule 1-2'!G9,'Schedule 1-2'!G21,'Schedule 1-2'!G33)</f>
        <v>0</v>
      </c>
      <c r="H21" s="241">
        <f>SUM('Schedule 1-2'!H9,'Schedule 1-2'!H21,'Schedule 1-2'!H33)</f>
        <v>0</v>
      </c>
      <c r="I21" s="242">
        <f>SUM('Schedule 1-2'!I9,'Schedule 1-2'!I21,'Schedule 1-2'!I33)</f>
        <v>0</v>
      </c>
    </row>
    <row r="22" spans="1:9" ht="16.5" customHeight="1">
      <c r="A22" s="23">
        <v>12</v>
      </c>
      <c r="B22" s="462" t="s">
        <v>44</v>
      </c>
      <c r="C22" s="463"/>
      <c r="D22" s="239">
        <f>SUM('Schedule 1-2'!D10,'Schedule 1-2'!D22,'Schedule 1-2'!D34)</f>
        <v>0</v>
      </c>
      <c r="E22" s="240">
        <f>SUM('Schedule 1-2'!E10,'Schedule 1-2'!E22,'Schedule 1-2'!E34)</f>
        <v>0</v>
      </c>
      <c r="F22" s="243"/>
      <c r="G22" s="241">
        <f>SUM('Schedule 1-2'!G10,'Schedule 1-2'!G22,'Schedule 1-2'!G34)</f>
        <v>0</v>
      </c>
      <c r="H22" s="241">
        <f>SUM('Schedule 1-2'!H10,'Schedule 1-2'!H22,'Schedule 1-2'!H34)</f>
        <v>0</v>
      </c>
      <c r="I22" s="242">
        <f>SUM('Schedule 1-2'!I10,'Schedule 1-2'!I22,'Schedule 1-2'!I34)</f>
        <v>0</v>
      </c>
    </row>
    <row r="23" spans="1:9" ht="16.5" customHeight="1">
      <c r="A23" s="23">
        <v>13</v>
      </c>
      <c r="B23" s="462" t="s">
        <v>45</v>
      </c>
      <c r="C23" s="463"/>
      <c r="D23" s="239">
        <f>SUM('Schedule 1-2'!D11,'Schedule 1-2'!D23,'Schedule 1-2'!D35)</f>
        <v>0</v>
      </c>
      <c r="E23" s="240">
        <f>SUM('Schedule 1-2'!E11,'Schedule 1-2'!E23,'Schedule 1-2'!E35)</f>
        <v>0</v>
      </c>
      <c r="F23" s="244"/>
      <c r="G23" s="241">
        <f>SUM('Schedule 1-2'!G11,'Schedule 1-2'!G23,'Schedule 1-2'!G35)</f>
        <v>0</v>
      </c>
      <c r="H23" s="241">
        <f>SUM('Schedule 1-2'!H11,'Schedule 1-2'!H23,'Schedule 1-2'!H35)</f>
        <v>0</v>
      </c>
      <c r="I23" s="242">
        <f>SUM('Schedule 1-2'!I11,'Schedule 1-2'!I23,'Schedule 1-2'!I35)</f>
        <v>0</v>
      </c>
    </row>
    <row r="24" spans="1:9" ht="16.5" customHeight="1">
      <c r="A24" s="23">
        <v>14</v>
      </c>
      <c r="B24" s="462" t="s">
        <v>1</v>
      </c>
      <c r="C24" s="463"/>
      <c r="D24" s="239">
        <f>SUM('Schedule 1-2'!D12,'Schedule 1-2'!D24,'Schedule 1-2'!D36)</f>
        <v>0</v>
      </c>
      <c r="E24" s="240">
        <f>SUM('Schedule 1-2'!E12,'Schedule 1-2'!E24,'Schedule 1-2'!E36)</f>
        <v>0</v>
      </c>
      <c r="F24" s="244"/>
      <c r="G24" s="241">
        <f>SUM('Schedule 1-2'!G12,'Schedule 1-2'!G24,'Schedule 1-2'!G36)</f>
        <v>0</v>
      </c>
      <c r="H24" s="241">
        <f>SUM('Schedule 1-2'!H12,'Schedule 1-2'!H24,'Schedule 1-2'!H36)</f>
        <v>0</v>
      </c>
      <c r="I24" s="242">
        <f>SUM('Schedule 1-2'!I12,'Schedule 1-2'!I24,'Schedule 1-2'!I36)</f>
        <v>0</v>
      </c>
    </row>
    <row r="25" spans="1:9" ht="16.5" customHeight="1">
      <c r="A25" s="23">
        <v>15</v>
      </c>
      <c r="B25" s="462" t="s">
        <v>2</v>
      </c>
      <c r="C25" s="463"/>
      <c r="D25" s="239">
        <f>SUM('Schedule 1-2'!D13,'Schedule 1-2'!D25,'Schedule 1-2'!D37)</f>
        <v>0</v>
      </c>
      <c r="E25" s="240">
        <f>SUM('Schedule 1-2'!E13,'Schedule 1-2'!E25,'Schedule 1-2'!E37)</f>
        <v>0</v>
      </c>
      <c r="F25" s="244"/>
      <c r="G25" s="241">
        <f>SUM('Schedule 1-2'!G13,'Schedule 1-2'!G25,'Schedule 1-2'!G37)</f>
        <v>0</v>
      </c>
      <c r="H25" s="241">
        <f>SUM('Schedule 1-2'!H13,'Schedule 1-2'!H25,'Schedule 1-2'!H37)</f>
        <v>0</v>
      </c>
      <c r="I25" s="242">
        <f>SUM('Schedule 1-2'!I13,'Schedule 1-2'!I25,'Schedule 1-2'!I37)</f>
        <v>0</v>
      </c>
    </row>
    <row r="26" spans="1:9" ht="16.5" customHeight="1">
      <c r="A26" s="24">
        <v>16</v>
      </c>
      <c r="B26" s="77" t="s">
        <v>81</v>
      </c>
      <c r="C26" s="78"/>
      <c r="D26" s="239">
        <f>SUM('Schedule 1-2'!D14,'Schedule 1-2'!D26,'Schedule 1-2'!D38)</f>
        <v>0</v>
      </c>
      <c r="E26" s="240">
        <f>SUM('Schedule 1-2'!E14,'Schedule 1-2'!E26,'Schedule 1-2'!E38)</f>
        <v>0</v>
      </c>
      <c r="F26" s="244"/>
      <c r="G26" s="241">
        <f>SUM('Schedule 1-2'!G14,'Schedule 1-2'!G26,'Schedule 1-2'!G38)</f>
        <v>0</v>
      </c>
      <c r="H26" s="241">
        <f>SUM('Schedule 1-2'!H14,'Schedule 1-2'!H26,'Schedule 1-2'!H38)</f>
        <v>0</v>
      </c>
      <c r="I26" s="242">
        <f>SUM('Schedule 1-2'!I14,'Schedule 1-2'!I26,'Schedule 1-2'!I38)</f>
        <v>0</v>
      </c>
    </row>
    <row r="27" spans="1:9" ht="16.5" customHeight="1" thickBot="1">
      <c r="A27" s="24">
        <v>17</v>
      </c>
      <c r="B27" s="464" t="s">
        <v>67</v>
      </c>
      <c r="C27" s="465"/>
      <c r="D27" s="239">
        <f>SUM('Schedule 1-2'!D15,'Schedule 1-2'!D27,'Schedule 1-2'!D39)</f>
        <v>0</v>
      </c>
      <c r="E27" s="240">
        <f>SUM('Schedule 1-2'!E15,'Schedule 1-2'!E27,'Schedule 1-2'!E39)</f>
        <v>0</v>
      </c>
      <c r="F27" s="245"/>
      <c r="G27" s="241">
        <f>SUM('Schedule 1-2'!G15,'Schedule 1-2'!G27,'Schedule 1-2'!G39)</f>
        <v>0</v>
      </c>
      <c r="H27" s="241">
        <f>SUM('Schedule 1-2'!H15,'Schedule 1-2'!H27,'Schedule 1-2'!H39)</f>
        <v>0</v>
      </c>
      <c r="I27" s="242">
        <f>SUM('Schedule 1-2'!I15,'Schedule 1-2'!I27,'Schedule 1-2'!I39)</f>
        <v>0</v>
      </c>
    </row>
    <row r="28" spans="1:9" ht="16.5" customHeight="1" thickBot="1">
      <c r="A28" s="25">
        <v>18</v>
      </c>
      <c r="B28" s="472" t="s">
        <v>51</v>
      </c>
      <c r="C28" s="473"/>
      <c r="D28" s="246">
        <f>SUM(D20:D27)</f>
        <v>0</v>
      </c>
      <c r="E28" s="237">
        <f>SUM(E20:E27)</f>
        <v>0</v>
      </c>
      <c r="F28" s="247"/>
      <c r="G28" s="236">
        <f>SUM(G20:G27)</f>
        <v>0</v>
      </c>
      <c r="H28" s="236">
        <f>SUM(H20:H27)</f>
        <v>0</v>
      </c>
      <c r="I28" s="238">
        <f>SUM(I20:I27)</f>
        <v>0</v>
      </c>
    </row>
    <row r="29" spans="1:9" ht="21" customHeight="1" thickTop="1">
      <c r="A29" s="22"/>
      <c r="B29" s="22"/>
      <c r="C29" s="447" t="s">
        <v>436</v>
      </c>
      <c r="D29" s="447"/>
      <c r="E29" s="447"/>
      <c r="F29" s="447"/>
      <c r="G29" s="22"/>
      <c r="H29" s="22"/>
      <c r="I29" s="22"/>
    </row>
    <row r="30" spans="1:10" ht="33.75" customHeight="1" thickBot="1">
      <c r="A30" s="195">
        <v>19</v>
      </c>
      <c r="B30" s="459" t="s">
        <v>422</v>
      </c>
      <c r="C30" s="460"/>
      <c r="D30" s="460"/>
      <c r="E30" s="460"/>
      <c r="F30" s="460"/>
      <c r="G30" s="460"/>
      <c r="H30" s="461"/>
      <c r="I30" s="107"/>
      <c r="J30" s="44"/>
    </row>
    <row r="31" spans="1:9" ht="21" customHeight="1" thickTop="1">
      <c r="A31" s="22"/>
      <c r="B31" s="22"/>
      <c r="C31" s="447" t="s">
        <v>500</v>
      </c>
      <c r="D31" s="447"/>
      <c r="E31" s="447"/>
      <c r="F31" s="447"/>
      <c r="G31" s="22"/>
      <c r="H31" s="22"/>
      <c r="I31" s="22"/>
    </row>
    <row r="32" spans="1:10" ht="48.75" customHeight="1">
      <c r="A32" s="448" t="s">
        <v>501</v>
      </c>
      <c r="B32" s="449"/>
      <c r="C32" s="449"/>
      <c r="D32" s="449"/>
      <c r="E32" s="449"/>
      <c r="F32" s="449"/>
      <c r="G32" s="449"/>
      <c r="H32" s="449"/>
      <c r="I32" s="449"/>
      <c r="J32" s="44"/>
    </row>
    <row r="33" spans="1:10" ht="11.25" customHeight="1">
      <c r="A33" s="450" t="s">
        <v>60</v>
      </c>
      <c r="B33" s="457" t="s">
        <v>62</v>
      </c>
      <c r="C33" s="458"/>
      <c r="D33" s="458"/>
      <c r="E33" s="458"/>
      <c r="F33" s="452" t="s">
        <v>55</v>
      </c>
      <c r="G33" s="454" t="s">
        <v>56</v>
      </c>
      <c r="H33" s="455" t="s">
        <v>7</v>
      </c>
      <c r="I33" s="456"/>
      <c r="J33" s="44"/>
    </row>
    <row r="34" spans="1:10" ht="21">
      <c r="A34" s="451"/>
      <c r="B34" s="457"/>
      <c r="C34" s="458"/>
      <c r="D34" s="458"/>
      <c r="E34" s="458"/>
      <c r="F34" s="453"/>
      <c r="G34" s="454"/>
      <c r="H34" s="337" t="s">
        <v>4</v>
      </c>
      <c r="I34" s="338" t="s">
        <v>343</v>
      </c>
      <c r="J34" s="44"/>
    </row>
    <row r="35" spans="1:10" ht="16.5" customHeight="1">
      <c r="A35" s="23">
        <v>20</v>
      </c>
      <c r="B35" s="441" t="s">
        <v>187</v>
      </c>
      <c r="C35" s="441"/>
      <c r="D35" s="441"/>
      <c r="E35" s="441"/>
      <c r="F35" s="241">
        <f>IF('Cover Page'!$A$8="",0,VLOOKUP('Cover Page'!$A$4&amp;"-Milwaukee",Counts!$A$4:$Z$461,Counts!$Z$467,FALSE))</f>
        <v>0</v>
      </c>
      <c r="G35" s="241">
        <f>F35+H35+I35</f>
        <v>0</v>
      </c>
      <c r="H35" s="241">
        <f>-1*_xlfn.COUNTIFS('Schedule 2'!$H$8:$H$12,"MPCP",'Schedule 2'!$C$8:$C$12,"W")</f>
        <v>0</v>
      </c>
      <c r="I35" s="242">
        <f>_xlfn.COUNTIFS('Schedule 4'!$F$7:$F$11,"MPCP",'Schedule 4'!$H$7:$H$11,"X")</f>
        <v>0</v>
      </c>
      <c r="J35" s="44"/>
    </row>
    <row r="36" spans="1:10" ht="16.5" customHeight="1">
      <c r="A36" s="23">
        <v>21</v>
      </c>
      <c r="B36" s="441" t="s">
        <v>189</v>
      </c>
      <c r="C36" s="441"/>
      <c r="D36" s="441"/>
      <c r="E36" s="441"/>
      <c r="F36" s="241">
        <f>IF('Cover Page'!$A$9="",0,VLOOKUP('Cover Page'!$A$4&amp;"-Racine",Counts!$A$4:$AA$461,Counts!$AA$467,FALSE))</f>
        <v>0</v>
      </c>
      <c r="G36" s="241">
        <f>F36+H36+I36</f>
        <v>0</v>
      </c>
      <c r="H36" s="241">
        <f>-1*_xlfn.COUNTIFS('Schedule 2'!$H$8:$H$12,"RPCP",'Schedule 2'!$C$8:$C$12,"W")</f>
        <v>0</v>
      </c>
      <c r="I36" s="242">
        <f>_xlfn.COUNTIFS('Schedule 4'!$F$7:$F$11,"RPCP",'Schedule 4'!$H$7:$H$11,"X")</f>
        <v>0</v>
      </c>
      <c r="J36" s="44"/>
    </row>
    <row r="37" spans="1:10" ht="16.5" customHeight="1" hidden="1" thickBot="1">
      <c r="A37" s="47">
        <v>22</v>
      </c>
      <c r="B37" s="446" t="s">
        <v>191</v>
      </c>
      <c r="C37" s="446"/>
      <c r="D37" s="446"/>
      <c r="E37" s="446"/>
      <c r="F37" s="362">
        <f>IF('Cover Page'!$A$10="",0,VLOOKUP('Cover Page'!$A$4&amp;"-WPCP",Counts!$A$4:$AB$461,Counts!$AB$467,FALSE))</f>
        <v>0</v>
      </c>
      <c r="G37" s="362">
        <f>F37+H37+I37</f>
        <v>0</v>
      </c>
      <c r="H37" s="362">
        <f>-1*_xlfn.COUNTIFS('Schedule 2'!$H$8:$H$12,"WPCP",'Schedule 2'!$C$8:$C$12,"W")</f>
        <v>0</v>
      </c>
      <c r="I37" s="363">
        <f>_xlfn.COUNTIFS('Schedule 4'!$F$7:$F$11,"WPCP",'Schedule 4'!$H$7:$H$11,"X")</f>
        <v>0</v>
      </c>
      <c r="J37" s="44"/>
    </row>
    <row r="38" spans="1:12" ht="16.5" customHeight="1">
      <c r="A38" s="329"/>
      <c r="B38" s="330"/>
      <c r="C38" s="330"/>
      <c r="D38" s="330"/>
      <c r="E38" s="330"/>
      <c r="F38" s="331"/>
      <c r="G38" s="331"/>
      <c r="H38" s="331"/>
      <c r="I38" s="331"/>
      <c r="J38" s="44"/>
      <c r="K38" s="44"/>
      <c r="L38" s="44"/>
    </row>
    <row r="39" spans="1:12" ht="19.5" customHeight="1">
      <c r="A39" s="332"/>
      <c r="B39" s="333"/>
      <c r="C39" s="443"/>
      <c r="D39" s="443"/>
      <c r="E39" s="443"/>
      <c r="F39" s="443"/>
      <c r="G39" s="332"/>
      <c r="H39" s="332"/>
      <c r="I39" s="332"/>
      <c r="J39" s="44"/>
      <c r="K39" s="44"/>
      <c r="L39" s="44"/>
    </row>
    <row r="40" spans="1:12" ht="10.5">
      <c r="A40" s="444"/>
      <c r="B40" s="436"/>
      <c r="C40" s="436"/>
      <c r="D40" s="436"/>
      <c r="E40" s="436"/>
      <c r="F40" s="437"/>
      <c r="G40" s="439"/>
      <c r="H40" s="440"/>
      <c r="I40" s="440"/>
      <c r="J40" s="44"/>
      <c r="K40" s="44"/>
      <c r="L40" s="44"/>
    </row>
    <row r="41" spans="1:12" ht="10.5">
      <c r="A41" s="445"/>
      <c r="B41" s="436"/>
      <c r="C41" s="436"/>
      <c r="D41" s="436"/>
      <c r="E41" s="436"/>
      <c r="F41" s="438"/>
      <c r="G41" s="439"/>
      <c r="H41" s="334"/>
      <c r="I41" s="334"/>
      <c r="J41" s="44"/>
      <c r="K41" s="44"/>
      <c r="L41" s="44"/>
    </row>
    <row r="42" spans="1:12" ht="16.5" customHeight="1">
      <c r="A42" s="329"/>
      <c r="B42" s="442"/>
      <c r="C42" s="442"/>
      <c r="D42" s="442"/>
      <c r="E42" s="442"/>
      <c r="F42" s="331"/>
      <c r="G42" s="331"/>
      <c r="H42" s="331"/>
      <c r="I42" s="331"/>
      <c r="J42" s="44"/>
      <c r="K42" s="44"/>
      <c r="L42" s="44"/>
    </row>
    <row r="43" spans="1:12" ht="17.25" customHeight="1">
      <c r="A43" s="332"/>
      <c r="B43" s="333"/>
      <c r="C43" s="443"/>
      <c r="D43" s="443"/>
      <c r="E43" s="443"/>
      <c r="F43" s="443"/>
      <c r="G43" s="332"/>
      <c r="H43" s="332"/>
      <c r="I43" s="332"/>
      <c r="J43" s="44"/>
      <c r="K43" s="44"/>
      <c r="L43" s="44"/>
    </row>
    <row r="44" spans="1:12" ht="10.5">
      <c r="A44" s="444"/>
      <c r="B44" s="436"/>
      <c r="C44" s="436"/>
      <c r="D44" s="436"/>
      <c r="E44" s="436"/>
      <c r="F44" s="437"/>
      <c r="G44" s="439"/>
      <c r="H44" s="440"/>
      <c r="I44" s="440"/>
      <c r="J44" s="44"/>
      <c r="K44" s="44"/>
      <c r="L44" s="44"/>
    </row>
    <row r="45" spans="1:12" ht="10.5">
      <c r="A45" s="445"/>
      <c r="B45" s="436"/>
      <c r="C45" s="436"/>
      <c r="D45" s="436"/>
      <c r="E45" s="436"/>
      <c r="F45" s="438"/>
      <c r="G45" s="439"/>
      <c r="H45" s="334"/>
      <c r="I45" s="334"/>
      <c r="J45" s="44"/>
      <c r="K45" s="44"/>
      <c r="L45" s="44"/>
    </row>
    <row r="46" spans="1:12" ht="16.5" customHeight="1">
      <c r="A46" s="329"/>
      <c r="B46" s="442"/>
      <c r="C46" s="442"/>
      <c r="D46" s="442"/>
      <c r="E46" s="442"/>
      <c r="F46" s="331"/>
      <c r="G46" s="331"/>
      <c r="H46" s="331"/>
      <c r="I46" s="331"/>
      <c r="J46" s="44"/>
      <c r="K46" s="44"/>
      <c r="L46" s="44"/>
    </row>
    <row r="47" spans="1:12" ht="9.75">
      <c r="A47" s="44"/>
      <c r="B47" s="44"/>
      <c r="C47" s="44"/>
      <c r="D47" s="44"/>
      <c r="E47" s="44"/>
      <c r="F47" s="44"/>
      <c r="G47" s="44"/>
      <c r="H47" s="44"/>
      <c r="I47" s="44"/>
      <c r="J47" s="44"/>
      <c r="K47" s="44"/>
      <c r="L47" s="44"/>
    </row>
    <row r="48" spans="1:12" ht="9.75">
      <c r="A48" s="44"/>
      <c r="B48" s="44"/>
      <c r="C48" s="44"/>
      <c r="D48" s="44"/>
      <c r="E48" s="44"/>
      <c r="F48" s="44"/>
      <c r="G48" s="44"/>
      <c r="H48" s="44"/>
      <c r="I48" s="44"/>
      <c r="J48" s="44"/>
      <c r="K48" s="44"/>
      <c r="L48" s="44"/>
    </row>
    <row r="49" spans="1:12" ht="9.75">
      <c r="A49" s="44"/>
      <c r="B49" s="44"/>
      <c r="C49" s="44"/>
      <c r="D49" s="44"/>
      <c r="E49" s="44"/>
      <c r="F49" s="44"/>
      <c r="G49" s="44"/>
      <c r="H49" s="44"/>
      <c r="I49" s="44"/>
      <c r="J49" s="44"/>
      <c r="K49" s="44"/>
      <c r="L49" s="44"/>
    </row>
    <row r="50" spans="1:12" ht="9.75">
      <c r="A50" s="44"/>
      <c r="B50" s="44"/>
      <c r="C50" s="44"/>
      <c r="D50" s="44"/>
      <c r="E50" s="44"/>
      <c r="F50" s="44"/>
      <c r="G50" s="44"/>
      <c r="H50" s="44"/>
      <c r="I50" s="44"/>
      <c r="J50" s="44"/>
      <c r="K50" s="44"/>
      <c r="L50" s="44"/>
    </row>
    <row r="81" ht="10.5">
      <c r="A81" s="159"/>
    </row>
  </sheetData>
  <sheetProtection password="B7B0" sheet="1"/>
  <mergeCells count="65">
    <mergeCell ref="B21:C21"/>
    <mergeCell ref="B22:C22"/>
    <mergeCell ref="B28:C28"/>
    <mergeCell ref="A18:A19"/>
    <mergeCell ref="G10:I10"/>
    <mergeCell ref="F18:I18"/>
    <mergeCell ref="C16:F16"/>
    <mergeCell ref="E18:E19"/>
    <mergeCell ref="A17:I17"/>
    <mergeCell ref="B20:C20"/>
    <mergeCell ref="G12:I12"/>
    <mergeCell ref="B18:C19"/>
    <mergeCell ref="G14:I14"/>
    <mergeCell ref="B12:C12"/>
    <mergeCell ref="G13:I13"/>
    <mergeCell ref="D18:D19"/>
    <mergeCell ref="B8:C8"/>
    <mergeCell ref="B6:C6"/>
    <mergeCell ref="G9:I9"/>
    <mergeCell ref="A5:I5"/>
    <mergeCell ref="G11:I11"/>
    <mergeCell ref="B10:C10"/>
    <mergeCell ref="G8:I8"/>
    <mergeCell ref="B9:C9"/>
    <mergeCell ref="B11:C11"/>
    <mergeCell ref="A1:I1"/>
    <mergeCell ref="A2:I2"/>
    <mergeCell ref="A3:I3"/>
    <mergeCell ref="G6:I6"/>
    <mergeCell ref="G7:I7"/>
    <mergeCell ref="B15:C15"/>
    <mergeCell ref="C4:F4"/>
    <mergeCell ref="B14:C14"/>
    <mergeCell ref="G15:I15"/>
    <mergeCell ref="B7:C7"/>
    <mergeCell ref="B30:H30"/>
    <mergeCell ref="B23:C23"/>
    <mergeCell ref="B27:C27"/>
    <mergeCell ref="C29:F29"/>
    <mergeCell ref="B24:C24"/>
    <mergeCell ref="B25:C25"/>
    <mergeCell ref="C31:F31"/>
    <mergeCell ref="A32:I32"/>
    <mergeCell ref="A33:A34"/>
    <mergeCell ref="F33:F34"/>
    <mergeCell ref="G33:G34"/>
    <mergeCell ref="H33:I33"/>
    <mergeCell ref="B33:E34"/>
    <mergeCell ref="B46:E46"/>
    <mergeCell ref="B42:E42"/>
    <mergeCell ref="C43:F43"/>
    <mergeCell ref="B35:E35"/>
    <mergeCell ref="C39:F39"/>
    <mergeCell ref="A40:A41"/>
    <mergeCell ref="B40:E41"/>
    <mergeCell ref="F40:F41"/>
    <mergeCell ref="B37:E37"/>
    <mergeCell ref="A44:A45"/>
    <mergeCell ref="B44:E45"/>
    <mergeCell ref="F44:F45"/>
    <mergeCell ref="G44:G45"/>
    <mergeCell ref="H40:I40"/>
    <mergeCell ref="B36:E36"/>
    <mergeCell ref="H44:I44"/>
    <mergeCell ref="G40:G41"/>
  </mergeCells>
  <conditionalFormatting sqref="G7:I14">
    <cfRule type="cellIs" priority="1" dxfId="6" operator="equal" stopIfTrue="1">
      <formula>"ERROR"</formula>
    </cfRule>
  </conditionalFormatting>
  <dataValidations count="1">
    <dataValidation type="list" allowBlank="1" showInputMessage="1" showErrorMessage="1" sqref="I30">
      <formula1>"Yes,No,N/A"</formula1>
    </dataValidation>
  </dataValidations>
  <printOptions/>
  <pageMargins left="0.7" right="0.7" top="0.75" bottom="0.75" header="0.3" footer="0.3"/>
  <pageSetup fitToHeight="1" fitToWidth="1" horizontalDpi="600" verticalDpi="600" orientation="portrait" scale="90" r:id="rId1"/>
  <headerFooter>
    <oddHeader>&amp;L&amp;"Arial,Regular"&amp;8Page 3&amp;R&amp;"Arial,Regular"&amp;8PI-PCP-106 (5 Lines)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77"/>
  <sheetViews>
    <sheetView showGridLines="0" workbookViewId="0" topLeftCell="A1">
      <selection activeCell="K16" sqref="K16"/>
    </sheetView>
  </sheetViews>
  <sheetFormatPr defaultColWidth="9.140625" defaultRowHeight="15"/>
  <cols>
    <col min="1" max="1" width="5.00390625" style="9" customWidth="1"/>
    <col min="2" max="2" width="27.421875" style="9" customWidth="1"/>
    <col min="3" max="3" width="9.57421875" style="9" customWidth="1"/>
    <col min="4" max="5" width="10.8515625" style="9" customWidth="1"/>
    <col min="6" max="6" width="9.8515625" style="9" customWidth="1"/>
    <col min="7" max="7" width="11.140625" style="9" customWidth="1"/>
    <col min="8" max="9" width="11.57421875" style="9" customWidth="1"/>
    <col min="10" max="16384" width="9.140625" style="9" customWidth="1"/>
  </cols>
  <sheetData>
    <row r="1" spans="1:9" ht="10.5">
      <c r="A1" s="466" t="str">
        <f>IF(ISBLANK('Cover Page'!A4),"School Name",'Cover Page'!A4)</f>
        <v>School Name</v>
      </c>
      <c r="B1" s="466"/>
      <c r="C1" s="466"/>
      <c r="D1" s="466"/>
      <c r="E1" s="466"/>
      <c r="F1" s="466"/>
      <c r="G1" s="466"/>
      <c r="H1" s="466"/>
      <c r="I1" s="466"/>
    </row>
    <row r="2" spans="1:9" ht="10.5">
      <c r="A2" s="467" t="str">
        <f>'Error Report'!A3</f>
        <v>January 14, 2022 Choice Enrollment Audit</v>
      </c>
      <c r="B2" s="467"/>
      <c r="C2" s="467"/>
      <c r="D2" s="467"/>
      <c r="E2" s="467"/>
      <c r="F2" s="467"/>
      <c r="G2" s="467"/>
      <c r="H2" s="467"/>
      <c r="I2" s="467"/>
    </row>
    <row r="3" spans="1:9" ht="10.5">
      <c r="A3" s="440" t="s">
        <v>185</v>
      </c>
      <c r="B3" s="440"/>
      <c r="C3" s="440"/>
      <c r="D3" s="440"/>
      <c r="E3" s="440"/>
      <c r="F3" s="440"/>
      <c r="G3" s="440"/>
      <c r="H3" s="440"/>
      <c r="I3" s="440"/>
    </row>
    <row r="4" spans="1:9" s="121" customFormat="1" ht="47.25" customHeight="1" thickBot="1">
      <c r="A4" s="490" t="s">
        <v>453</v>
      </c>
      <c r="B4" s="490"/>
      <c r="C4" s="490"/>
      <c r="D4" s="490"/>
      <c r="E4" s="490"/>
      <c r="F4" s="490"/>
      <c r="G4" s="490"/>
      <c r="H4" s="490"/>
      <c r="I4" s="490"/>
    </row>
    <row r="5" spans="1:9" ht="21" customHeight="1" thickTop="1">
      <c r="A5" s="22"/>
      <c r="B5" s="22"/>
      <c r="C5" s="447" t="s">
        <v>186</v>
      </c>
      <c r="D5" s="447"/>
      <c r="E5" s="447"/>
      <c r="F5" s="447"/>
      <c r="G5" s="22"/>
      <c r="H5" s="22"/>
      <c r="I5" s="22"/>
    </row>
    <row r="6" spans="1:9" ht="14.25" customHeight="1">
      <c r="A6" s="486" t="s">
        <v>60</v>
      </c>
      <c r="B6" s="481" t="s">
        <v>62</v>
      </c>
      <c r="C6" s="482"/>
      <c r="D6" s="452" t="s">
        <v>55</v>
      </c>
      <c r="E6" s="454" t="s">
        <v>56</v>
      </c>
      <c r="F6" s="456" t="s">
        <v>7</v>
      </c>
      <c r="G6" s="488"/>
      <c r="H6" s="488"/>
      <c r="I6" s="488"/>
    </row>
    <row r="7" spans="1:9" ht="21.75" customHeight="1">
      <c r="A7" s="487"/>
      <c r="B7" s="483"/>
      <c r="C7" s="451"/>
      <c r="D7" s="453"/>
      <c r="E7" s="489"/>
      <c r="F7" s="305" t="s">
        <v>310</v>
      </c>
      <c r="G7" s="207" t="s">
        <v>4</v>
      </c>
      <c r="H7" s="208" t="s">
        <v>342</v>
      </c>
      <c r="I7" s="208" t="s">
        <v>423</v>
      </c>
    </row>
    <row r="8" spans="1:9" ht="16.5" customHeight="1">
      <c r="A8" s="23">
        <v>1</v>
      </c>
      <c r="B8" s="200" t="s">
        <v>0</v>
      </c>
      <c r="C8" s="201"/>
      <c r="D8" s="248">
        <f>IF('Cover Page'!$A$8="",0,VLOOKUP('Cover Page'!$A$4&amp;"-Milwaukee",Counts!$A$4:$AF$461,Counts!$M$467,FALSE))</f>
        <v>0</v>
      </c>
      <c r="E8" s="249">
        <f aca="true" t="shared" si="0" ref="E8:E15">D8+G8+F8+H8+I8</f>
        <v>0</v>
      </c>
      <c r="F8" s="241">
        <f>IF('Schedule 1-1'!$I$30="No",D9,IF('Schedule 1-1'!$I$30="Yes",-D8,0))</f>
        <v>0</v>
      </c>
      <c r="G8" s="241">
        <f>IF('Schedule 1-1'!I30="No",-1*_xlfn.COUNTIFS('Schedule 2'!$H$8:$H$12,"MPCP",'Schedule 2'!$B$8:$B$12,"K4",'Schedule 2'!$C$8:$C$12,""),0)</f>
        <v>0</v>
      </c>
      <c r="H8" s="242">
        <f>IF('Schedule 1-1'!I30="No",_xlfn.COUNTIFS('Schedule 3'!$M$9:$M$13,1,'Schedule 3'!$H$9:$H$13,"K4",'Schedule 3'!$G$9:$G$13,"MPCP",'Schedule 3'!$C$9:$C$13,"")+(-1*(_xlfn.COUNTIFS('Schedule 3'!$M$9:$M$13,1,'Schedule 3'!$B$9:$B$13,"K4",'Schedule 3'!$G$9:$G$13,"MPCP",'Schedule 3'!$C$9:$C$13,""))),0)</f>
        <v>0</v>
      </c>
      <c r="I8" s="242">
        <f>IF('Schedule 1-1'!I30="No",_xlfn.COUNTIFS('Schedule 4'!$F$7:$F$11,"MPCP",'Schedule 4'!$G$7:$G$11,"X",'Schedule 4'!$B$7:$B$11,"K4"),0)</f>
        <v>0</v>
      </c>
    </row>
    <row r="9" spans="1:9" ht="16.5" customHeight="1">
      <c r="A9" s="23">
        <v>2</v>
      </c>
      <c r="B9" s="202" t="s">
        <v>53</v>
      </c>
      <c r="C9" s="203"/>
      <c r="D9" s="248">
        <f>IF('Cover Page'!$A$8="",0,VLOOKUP('Cover Page'!$A$4&amp;"-Milwaukee",Counts!$A$4:$AF$461,Counts!$N$467,FALSE))</f>
        <v>0</v>
      </c>
      <c r="E9" s="249">
        <f t="shared" si="0"/>
        <v>0</v>
      </c>
      <c r="F9" s="241">
        <f>IF('Schedule 1-1'!$I$30="Yes",D8,IF('Schedule 1-1'!$I$30="No",-D9,0))</f>
        <v>0</v>
      </c>
      <c r="G9" s="241">
        <f>IF('Schedule 1-1'!I30="Yes",-1*_xlfn.COUNTIFS('Schedule 2'!$H$8:$H$12,"MPCP",'Schedule 2'!$B$8:$B$12,"K4",'Schedule 2'!$C$8:$C$12,""),0)</f>
        <v>0</v>
      </c>
      <c r="H9" s="242">
        <f>IF('Schedule 1-1'!I30="Yes",_xlfn.COUNTIFS('Schedule 3'!$M$9:$M$13,1,'Schedule 3'!$H$9:$H$13,"K4",'Schedule 3'!$G$9:$G$13,"MPCP",'Schedule 3'!$C$9:$C$13,"")+(-1*(_xlfn.COUNTIFS('Schedule 3'!$M$9:$M$13,1,'Schedule 3'!$B$9:$B$13,"K4",'Schedule 3'!$G$9:$G$13,"MPCP",'Schedule 3'!$C$9:$C$13,""))),0)</f>
        <v>0</v>
      </c>
      <c r="I9" s="242">
        <f>IF('Schedule 1-1'!I30="Yes",_xlfn.COUNTIFS('Schedule 4'!$F$7:$F$11,"MPCP",'Schedule 4'!$G$7:$G$11,"X",'Schedule 4'!$B$7:$B$11,"K4"),0)</f>
        <v>0</v>
      </c>
    </row>
    <row r="10" spans="1:9" ht="16.5" customHeight="1">
      <c r="A10" s="23">
        <v>3</v>
      </c>
      <c r="B10" s="202" t="s">
        <v>44</v>
      </c>
      <c r="C10" s="203"/>
      <c r="D10" s="248">
        <f>IF('Cover Page'!$A$8="",0,VLOOKUP('Cover Page'!$A$4&amp;"-Milwaukee",Counts!$A$4:$AF$461,Counts!$O$467,FALSE))</f>
        <v>0</v>
      </c>
      <c r="E10" s="249">
        <f t="shared" si="0"/>
        <v>0</v>
      </c>
      <c r="F10" s="243"/>
      <c r="G10" s="241">
        <f>-1*_xlfn.COUNTIFS('Schedule 2'!$H$8:$H$12,"MPCP",'Schedule 2'!$AJ$8:$AJ$12,'Schedule 1-2'!$B10,'Schedule 2'!$C$8:$C$12,"")</f>
        <v>0</v>
      </c>
      <c r="H10" s="242">
        <f>_xlfn.COUNTIFS('Schedule 3'!$M$9:$M$13,1,'Schedule 3'!$O$9:$O$13,'Schedule 1-2'!$B10,'Schedule 3'!$G$9:$G$13,"MPCP",'Schedule 3'!$C$9:$C$13,"")+(-1*(_xlfn.COUNTIFS('Schedule 3'!$M$9:$M$13,1,'Schedule 3'!$N$9:$N$13,'Schedule 1-2'!$B10,'Schedule 3'!$G$9:$G$13,"MPCP",'Schedule 3'!$C$9:$C$13,"")))</f>
        <v>0</v>
      </c>
      <c r="I10" s="242">
        <f>_xlfn.COUNTIFS('Schedule 4'!$F$7:$F$11,"MPCP",'Schedule 4'!$G$7:$G$11,"X",'Schedule 4'!$K$7:$K$11,'Schedule 1-2'!$B10)</f>
        <v>0</v>
      </c>
    </row>
    <row r="11" spans="1:9" ht="16.5" customHeight="1">
      <c r="A11" s="23">
        <v>4</v>
      </c>
      <c r="B11" s="202" t="s">
        <v>45</v>
      </c>
      <c r="C11" s="203"/>
      <c r="D11" s="248">
        <f>IF('Cover Page'!$A$8="",0,VLOOKUP('Cover Page'!$A$4&amp;"-Milwaukee",Counts!$A$4:$AF$461,Counts!$P$467,FALSE))</f>
        <v>0</v>
      </c>
      <c r="E11" s="249">
        <f t="shared" si="0"/>
        <v>0</v>
      </c>
      <c r="F11" s="244"/>
      <c r="G11" s="241">
        <f>-1*_xlfn.COUNTIFS('Schedule 2'!$H$8:$H$12,"MPCP",'Schedule 2'!$AJ$8:$AJ$12,'Schedule 1-2'!$B11,'Schedule 2'!$C$8:$C$12,"")</f>
        <v>0</v>
      </c>
      <c r="H11" s="242">
        <f>_xlfn.COUNTIFS('Schedule 3'!$M$9:$M$13,1,'Schedule 3'!$O$9:$O$13,'Schedule 1-2'!$B11,'Schedule 3'!$G$9:$G$13,"MPCP",'Schedule 3'!$C$9:$C$13,"")+(-1*(_xlfn.COUNTIFS('Schedule 3'!$M$9:$M$13,1,'Schedule 3'!$N$9:$N$13,'Schedule 1-2'!$B11,'Schedule 3'!$G$9:$G$13,"MPCP",'Schedule 3'!$C$9:$C$13,"")))</f>
        <v>0</v>
      </c>
      <c r="I11" s="242">
        <f>_xlfn.COUNTIFS('Schedule 4'!$F$7:$F$11,"MPCP",'Schedule 4'!$G$7:$G$11,"X",'Schedule 4'!$K$7:$K$11,'Schedule 1-2'!$B11)</f>
        <v>0</v>
      </c>
    </row>
    <row r="12" spans="1:9" ht="16.5" customHeight="1">
      <c r="A12" s="23">
        <v>5</v>
      </c>
      <c r="B12" s="202" t="s">
        <v>1</v>
      </c>
      <c r="C12" s="203"/>
      <c r="D12" s="248">
        <f>IF('Cover Page'!$A$8="",0,VLOOKUP('Cover Page'!$A$4&amp;"-Milwaukee",Counts!$A$4:$AF$461,Counts!$Q$467,FALSE))</f>
        <v>0</v>
      </c>
      <c r="E12" s="249">
        <f t="shared" si="0"/>
        <v>0</v>
      </c>
      <c r="F12" s="244"/>
      <c r="G12" s="241">
        <f>-1*_xlfn.COUNTIFS('Schedule 2'!$H$8:$H$12,"MPCP",'Schedule 2'!$AJ$8:$AJ$12,'Schedule 1-2'!$B12,'Schedule 2'!$C$8:$C$12,"")</f>
        <v>0</v>
      </c>
      <c r="H12" s="242">
        <f>_xlfn.COUNTIFS('Schedule 3'!$M$9:$M$13,1,'Schedule 3'!$O$9:$O$13,'Schedule 1-2'!$B12,'Schedule 3'!$G$9:$G$13,"MPCP",'Schedule 3'!$C$9:$C$13,"")+(-1*(_xlfn.COUNTIFS('Schedule 3'!$M$9:$M$13,1,'Schedule 3'!$N$9:$N$13,'Schedule 1-2'!$B12,'Schedule 3'!$G$9:$G$13,"MPCP",'Schedule 3'!$C$9:$C$13,"")))</f>
        <v>0</v>
      </c>
      <c r="I12" s="242">
        <f>_xlfn.COUNTIFS('Schedule 4'!$F$7:$F$11,"MPCP",'Schedule 4'!$G$7:$G$11,"X",'Schedule 4'!$K$7:$K$11,'Schedule 1-2'!$B12)</f>
        <v>0</v>
      </c>
    </row>
    <row r="13" spans="1:9" ht="16.5" customHeight="1">
      <c r="A13" s="23">
        <v>6</v>
      </c>
      <c r="B13" s="202" t="s">
        <v>2</v>
      </c>
      <c r="C13" s="203"/>
      <c r="D13" s="248">
        <f>IF('Cover Page'!$A$8="",0,VLOOKUP('Cover Page'!$A$4&amp;"-Milwaukee",Counts!$A$4:$AF$461,Counts!$R$467,FALSE))</f>
        <v>0</v>
      </c>
      <c r="E13" s="249">
        <f t="shared" si="0"/>
        <v>0</v>
      </c>
      <c r="F13" s="244"/>
      <c r="G13" s="241">
        <f>-1*_xlfn.COUNTIFS('Schedule 2'!$H$8:$H$12,"MPCP",'Schedule 2'!$AJ$8:$AJ$12,'Schedule 1-2'!$B13,'Schedule 2'!$C$8:$C$12,"")</f>
        <v>0</v>
      </c>
      <c r="H13" s="242">
        <f>_xlfn.COUNTIFS('Schedule 3'!$M$9:$M$13,1,'Schedule 3'!$O$9:$O$13,'Schedule 1-2'!$B13,'Schedule 3'!$G$9:$G$13,"MPCP",'Schedule 3'!$C$9:$C$13,"")+(-1*(_xlfn.COUNTIFS('Schedule 3'!$M$9:$M$13,1,'Schedule 3'!$N$9:$N$13,'Schedule 1-2'!$B13,'Schedule 3'!$G$9:$G$13,"MPCP",'Schedule 3'!$C$9:$C$13,"")))</f>
        <v>0</v>
      </c>
      <c r="I13" s="242">
        <f>_xlfn.COUNTIFS('Schedule 4'!$F$7:$F$11,"MPCP",'Schedule 4'!$G$7:$G$11,"X",'Schedule 4'!$K$7:$K$11,'Schedule 1-2'!$B13)</f>
        <v>0</v>
      </c>
    </row>
    <row r="14" spans="1:9" ht="16.5" customHeight="1">
      <c r="A14" s="24">
        <v>7</v>
      </c>
      <c r="B14" s="77" t="s">
        <v>81</v>
      </c>
      <c r="C14" s="78"/>
      <c r="D14" s="248">
        <f>IF('Cover Page'!$A$8="",0,VLOOKUP('Cover Page'!$A$4&amp;"-Milwaukee",Counts!$A$4:$AF$461,Counts!$S$467,FALSE))</f>
        <v>0</v>
      </c>
      <c r="E14" s="249">
        <f t="shared" si="0"/>
        <v>0</v>
      </c>
      <c r="F14" s="244"/>
      <c r="G14" s="241">
        <f>-1*_xlfn.COUNTIFS('Schedule 2'!$H$8:$H$12,"MPCP",'Schedule 2'!$AJ$8:$AJ$12,'Schedule 1-2'!$B14,'Schedule 2'!$C$8:$C$12,"")</f>
        <v>0</v>
      </c>
      <c r="H14" s="242">
        <f>_xlfn.COUNTIFS('Schedule 3'!$M$9:$M$13,1,'Schedule 3'!$O$9:$O$13,'Schedule 1-2'!$B14,'Schedule 3'!$G$9:$G$13,"MPCP",'Schedule 3'!$C$9:$C$13,"")+(-1*(_xlfn.COUNTIFS('Schedule 3'!$M$9:$M$13,1,'Schedule 3'!$N$9:$N$13,'Schedule 1-2'!$B14,'Schedule 3'!$G$9:$G$13,"MPCP",'Schedule 3'!$C$9:$C$13,"")))</f>
        <v>0</v>
      </c>
      <c r="I14" s="242">
        <f>_xlfn.COUNTIFS('Schedule 4'!$F$7:$F$11,"MPCP",'Schedule 4'!$G$7:$G$11,"X",'Schedule 4'!$K$7:$K$11,'Schedule 1-2'!$B14)</f>
        <v>0</v>
      </c>
    </row>
    <row r="15" spans="1:9" ht="16.5" customHeight="1" thickBot="1">
      <c r="A15" s="24">
        <v>8</v>
      </c>
      <c r="B15" s="204" t="s">
        <v>67</v>
      </c>
      <c r="C15" s="205"/>
      <c r="D15" s="248">
        <f>IF('Cover Page'!$A$8="",0,VLOOKUP('Cover Page'!$A$4&amp;"-Milwaukee",Counts!$A$4:$AF$461,Counts!$T$467,FALSE))</f>
        <v>0</v>
      </c>
      <c r="E15" s="249">
        <f t="shared" si="0"/>
        <v>0</v>
      </c>
      <c r="F15" s="245"/>
      <c r="G15" s="241">
        <f>-1*_xlfn.COUNTIFS('Schedule 2'!$H$8:$H$12,"MPCP",'Schedule 2'!$AJ$8:$AJ$12,'Schedule 1-2'!$B15,'Schedule 2'!$C$8:$C$12,"")</f>
        <v>0</v>
      </c>
      <c r="H15" s="242">
        <f>_xlfn.COUNTIFS('Schedule 3'!$M$9:$M$13,1,'Schedule 3'!$O$9:$O$13,'Schedule 1-2'!$B15,'Schedule 3'!$G$9:$G$13,"MPCP",'Schedule 3'!$C$9:$C$13,"")+(-1*(_xlfn.COUNTIFS('Schedule 3'!$M$9:$M$13,1,'Schedule 3'!$N$9:$N$13,'Schedule 1-2'!$B15,'Schedule 3'!$G$9:$G$13,"MPCP",'Schedule 3'!$C$9:$C$13,"")))</f>
        <v>0</v>
      </c>
      <c r="I15" s="242">
        <f>_xlfn.COUNTIFS('Schedule 4'!$F$7:$F$11,"MPCP",'Schedule 4'!$G$7:$G$11,"X",'Schedule 4'!$K$7:$K$11,'Schedule 1-2'!$B15)</f>
        <v>0</v>
      </c>
    </row>
    <row r="16" spans="1:9" ht="16.5" customHeight="1" thickBot="1">
      <c r="A16" s="25">
        <v>9</v>
      </c>
      <c r="B16" s="472" t="s">
        <v>187</v>
      </c>
      <c r="C16" s="473"/>
      <c r="D16" s="250">
        <f>SUM(D8:D15)</f>
        <v>0</v>
      </c>
      <c r="E16" s="251">
        <f>SUM(E8:E15)</f>
        <v>0</v>
      </c>
      <c r="F16" s="247"/>
      <c r="G16" s="236">
        <f>SUM(G8:G15)</f>
        <v>0</v>
      </c>
      <c r="H16" s="236">
        <f>SUM(H8:H15)</f>
        <v>0</v>
      </c>
      <c r="I16" s="238">
        <f>SUM(I8:I15)</f>
        <v>0</v>
      </c>
    </row>
    <row r="17" spans="1:9" ht="21" customHeight="1" thickTop="1">
      <c r="A17" s="22"/>
      <c r="B17" s="22"/>
      <c r="C17" s="447" t="s">
        <v>188</v>
      </c>
      <c r="D17" s="447"/>
      <c r="E17" s="447"/>
      <c r="F17" s="447"/>
      <c r="G17" s="22"/>
      <c r="H17" s="22"/>
      <c r="I17" s="22"/>
    </row>
    <row r="18" spans="1:9" ht="14.25" customHeight="1">
      <c r="A18" s="486" t="s">
        <v>60</v>
      </c>
      <c r="B18" s="481" t="s">
        <v>62</v>
      </c>
      <c r="C18" s="482"/>
      <c r="D18" s="452" t="s">
        <v>55</v>
      </c>
      <c r="E18" s="454" t="s">
        <v>56</v>
      </c>
      <c r="F18" s="456" t="s">
        <v>7</v>
      </c>
      <c r="G18" s="488"/>
      <c r="H18" s="488"/>
      <c r="I18" s="488"/>
    </row>
    <row r="19" spans="1:9" ht="21.75" customHeight="1">
      <c r="A19" s="487"/>
      <c r="B19" s="483"/>
      <c r="C19" s="451"/>
      <c r="D19" s="453"/>
      <c r="E19" s="489"/>
      <c r="F19" s="305" t="s">
        <v>310</v>
      </c>
      <c r="G19" s="207" t="s">
        <v>4</v>
      </c>
      <c r="H19" s="208" t="s">
        <v>342</v>
      </c>
      <c r="I19" s="208" t="s">
        <v>423</v>
      </c>
    </row>
    <row r="20" spans="1:9" ht="16.5" customHeight="1">
      <c r="A20" s="23">
        <v>10</v>
      </c>
      <c r="B20" s="200" t="s">
        <v>0</v>
      </c>
      <c r="C20" s="201"/>
      <c r="D20" s="248">
        <f>IF('Cover Page'!$A$9="",0,VLOOKUP('Cover Page'!$A$4&amp;"-Racine",Counts!$A$4:$AF$461,Counts!$M$467,FALSE))</f>
        <v>0</v>
      </c>
      <c r="E20" s="249">
        <f aca="true" t="shared" si="1" ref="E20:E27">D20+G20+F20+H20+I20</f>
        <v>0</v>
      </c>
      <c r="F20" s="241">
        <f>IF('Schedule 1-1'!$I$30="No",D21,IF('Schedule 1-1'!$I$30="Yes",-D20,0))</f>
        <v>0</v>
      </c>
      <c r="G20" s="241">
        <f>IF('Schedule 1-1'!I30="No",-1*_xlfn.COUNTIFS('Schedule 2'!$H$8:$H$12,"RPCP",'Schedule 2'!$B$8:$B$12,"K4",'Schedule 2'!$C$8:$C$12,""),0)</f>
        <v>0</v>
      </c>
      <c r="H20" s="242">
        <f>IF('Schedule 1-1'!I30="No",IF('Schedule 1-1'!I30="No",_xlfn.COUNTIFS('Schedule 3'!$M$9:$M$13,1,'Schedule 3'!$H$9:$H$13,"K4",'Schedule 3'!$G$9:$G$13,"RPCP",'Schedule 3'!$C$9:$C$13,"")+(-1*(_xlfn.COUNTIFS('Schedule 3'!$M$9:$M$13,1,'Schedule 3'!$B$9:$B$13,"K4",'Schedule 3'!$G$9:$G$13,"RPCP",'Schedule 3'!$C$9:$C$13,""))),0),0)</f>
        <v>0</v>
      </c>
      <c r="I20" s="242">
        <f>IF('Schedule 1-1'!I30="No",_xlfn.COUNTIFS('Schedule 4'!$F$7:$F$11,"RPCP",'Schedule 4'!$G$7:$G$11,"X",'Schedule 4'!$B$7:$B$11,"K4"),0)</f>
        <v>0</v>
      </c>
    </row>
    <row r="21" spans="1:9" ht="16.5" customHeight="1">
      <c r="A21" s="23">
        <v>11</v>
      </c>
      <c r="B21" s="202" t="s">
        <v>53</v>
      </c>
      <c r="C21" s="203"/>
      <c r="D21" s="248">
        <f>IF('Cover Page'!$A$9="",0,VLOOKUP('Cover Page'!$A$4&amp;"-Racine",Counts!$A$4:$AF$461,Counts!$N$467,FALSE))</f>
        <v>0</v>
      </c>
      <c r="E21" s="249">
        <f t="shared" si="1"/>
        <v>0</v>
      </c>
      <c r="F21" s="241">
        <f>IF('Schedule 1-1'!$I$30="Yes",D20,IF('Schedule 1-1'!$I$30="No",-D21,0))</f>
        <v>0</v>
      </c>
      <c r="G21" s="241">
        <f>IF('Schedule 1-1'!I30="Yes",-1*_xlfn.COUNTIFS('Schedule 2'!$H$8:$H$12,"RPCP",'Schedule 2'!$B$8:$B$12,"K4",'Schedule 2'!$C$8:$C$12,""),0)</f>
        <v>0</v>
      </c>
      <c r="H21" s="242">
        <f>IF('Schedule 1-1'!I30="Yes",_xlfn.COUNTIFS('Schedule 3'!$M$9:$M$13,1,'Schedule 3'!$H$9:$H$13,"K4",'Schedule 3'!$G$9:$G$13,"RPCP",'Schedule 3'!$C$9:$C$13,"")+(-1*(_xlfn.COUNTIFS('Schedule 3'!$M$9:$M$13,1,'Schedule 3'!$B$9:$B$13,"K4",'Schedule 3'!$G$9:$G$13,"RPCP",'Schedule 3'!$C$9:$C$13,""))),0)</f>
        <v>0</v>
      </c>
      <c r="I21" s="242">
        <f>IF('Schedule 1-1'!I30="Yes",_xlfn.COUNTIFS('Schedule 4'!$F$7:$F$11,"RPCP",'Schedule 4'!$G$7:$G$11,"X",'Schedule 4'!$B$7:$B$11,"K4"),0)</f>
        <v>0</v>
      </c>
    </row>
    <row r="22" spans="1:9" ht="16.5" customHeight="1">
      <c r="A22" s="23">
        <v>12</v>
      </c>
      <c r="B22" s="202" t="s">
        <v>44</v>
      </c>
      <c r="C22" s="203"/>
      <c r="D22" s="248">
        <f>IF('Cover Page'!$A$9="",0,VLOOKUP('Cover Page'!$A$4&amp;"-Racine",Counts!$A$4:$AF$461,Counts!$O$467,FALSE))</f>
        <v>0</v>
      </c>
      <c r="E22" s="249">
        <f t="shared" si="1"/>
        <v>0</v>
      </c>
      <c r="F22" s="243"/>
      <c r="G22" s="241">
        <f>-1*_xlfn.COUNTIFS('Schedule 2'!$H$8:$H$12,"RPCP",'Schedule 2'!$AJ$8:$AJ$12,'Schedule 1-2'!$B22,'Schedule 2'!$C$8:$C$12,"")</f>
        <v>0</v>
      </c>
      <c r="H22" s="242">
        <f>_xlfn.COUNTIFS('Schedule 3'!$M$9:$M$13,1,'Schedule 3'!$O$9:$O$13,'Schedule 1-2'!$B22,'Schedule 3'!$G$9:$G$13,"RPCP",'Schedule 3'!$C$9:$C$13,"")+(-1*(_xlfn.COUNTIFS('Schedule 3'!$M$9:$M$13,1,'Schedule 3'!$N$9:$N$13,'Schedule 1-2'!$B22,'Schedule 3'!$G$9:$G$13,"RPCP",'Schedule 3'!$C$9:$C$13,"")))</f>
        <v>0</v>
      </c>
      <c r="I22" s="242">
        <f>_xlfn.COUNTIFS('Schedule 4'!$F$7:$F$11,"RPCP",'Schedule 4'!$G$7:$G$11,"X",'Schedule 4'!$K$7:$K$11,'Schedule 1-2'!$B22)</f>
        <v>0</v>
      </c>
    </row>
    <row r="23" spans="1:9" ht="16.5" customHeight="1">
      <c r="A23" s="23">
        <v>13</v>
      </c>
      <c r="B23" s="202" t="s">
        <v>45</v>
      </c>
      <c r="C23" s="203"/>
      <c r="D23" s="248">
        <f>IF('Cover Page'!$A$9="",0,VLOOKUP('Cover Page'!$A$4&amp;"-Racine",Counts!$A$4:$AF$461,Counts!$P$467,FALSE))</f>
        <v>0</v>
      </c>
      <c r="E23" s="249">
        <f t="shared" si="1"/>
        <v>0</v>
      </c>
      <c r="F23" s="244"/>
      <c r="G23" s="241">
        <f>-1*_xlfn.COUNTIFS('Schedule 2'!$H$8:$H$12,"RPCP",'Schedule 2'!$AJ$8:$AJ$12,'Schedule 1-2'!$B23,'Schedule 2'!$C$8:$C$12,"")</f>
        <v>0</v>
      </c>
      <c r="H23" s="242">
        <f>_xlfn.COUNTIFS('Schedule 3'!$M$9:$M$13,1,'Schedule 3'!$O$9:$O$13,'Schedule 1-2'!$B23,'Schedule 3'!$G$9:$G$13,"RPCP",'Schedule 3'!$C$9:$C$13,"")+(-1*(_xlfn.COUNTIFS('Schedule 3'!$M$9:$M$13,1,'Schedule 3'!$N$9:$N$13,'Schedule 1-2'!$B23,'Schedule 3'!$G$9:$G$13,"RPCP",'Schedule 3'!$C$9:$C$13,"")))</f>
        <v>0</v>
      </c>
      <c r="I23" s="242">
        <f>_xlfn.COUNTIFS('Schedule 4'!$F$7:$F$11,"RPCP",'Schedule 4'!$G$7:$G$11,"X",'Schedule 4'!$K$7:$K$11,'Schedule 1-2'!$B23)</f>
        <v>0</v>
      </c>
    </row>
    <row r="24" spans="1:9" ht="16.5" customHeight="1">
      <c r="A24" s="23">
        <v>14</v>
      </c>
      <c r="B24" s="202" t="s">
        <v>1</v>
      </c>
      <c r="C24" s="203"/>
      <c r="D24" s="248">
        <f>IF('Cover Page'!$A$9="",0,VLOOKUP('Cover Page'!$A$4&amp;"-Racine",Counts!$A$4:$AF$461,Counts!$Q$467,FALSE))</f>
        <v>0</v>
      </c>
      <c r="E24" s="249">
        <f t="shared" si="1"/>
        <v>0</v>
      </c>
      <c r="F24" s="244"/>
      <c r="G24" s="241">
        <f>-1*_xlfn.COUNTIFS('Schedule 2'!$H$8:$H$12,"RPCP",'Schedule 2'!$AJ$8:$AJ$12,'Schedule 1-2'!$B24,'Schedule 2'!$C$8:$C$12,"")</f>
        <v>0</v>
      </c>
      <c r="H24" s="242">
        <f>_xlfn.COUNTIFS('Schedule 3'!$M$9:$M$13,1,'Schedule 3'!$O$9:$O$13,'Schedule 1-2'!$B24,'Schedule 3'!$G$9:$G$13,"RPCP",'Schedule 3'!$C$9:$C$13,"")+(-1*(_xlfn.COUNTIFS('Schedule 3'!$M$9:$M$13,1,'Schedule 3'!$N$9:$N$13,'Schedule 1-2'!$B24,'Schedule 3'!$G$9:$G$13,"RPCP",'Schedule 3'!$C$9:$C$13,"")))</f>
        <v>0</v>
      </c>
      <c r="I24" s="242">
        <f>_xlfn.COUNTIFS('Schedule 4'!$F$7:$F$11,"RPCP",'Schedule 4'!$G$7:$G$11,"X",'Schedule 4'!$K$7:$K$11,'Schedule 1-2'!$B24)</f>
        <v>0</v>
      </c>
    </row>
    <row r="25" spans="1:9" ht="16.5" customHeight="1">
      <c r="A25" s="23">
        <v>15</v>
      </c>
      <c r="B25" s="202" t="s">
        <v>2</v>
      </c>
      <c r="C25" s="203"/>
      <c r="D25" s="248">
        <f>IF('Cover Page'!$A$9="",0,VLOOKUP('Cover Page'!$A$4&amp;"-Racine",Counts!$A$4:$AF$461,Counts!$R$467,FALSE))</f>
        <v>0</v>
      </c>
      <c r="E25" s="249">
        <f t="shared" si="1"/>
        <v>0</v>
      </c>
      <c r="F25" s="244"/>
      <c r="G25" s="241">
        <f>-1*_xlfn.COUNTIFS('Schedule 2'!$H$8:$H$12,"RPCP",'Schedule 2'!$AJ$8:$AJ$12,'Schedule 1-2'!$B25,'Schedule 2'!$C$8:$C$12,"")</f>
        <v>0</v>
      </c>
      <c r="H25" s="242">
        <f>_xlfn.COUNTIFS('Schedule 3'!$M$9:$M$13,1,'Schedule 3'!$O$9:$O$13,'Schedule 1-2'!$B25,'Schedule 3'!$G$9:$G$13,"RPCP",'Schedule 3'!$C$9:$C$13,"")+(-1*(_xlfn.COUNTIFS('Schedule 3'!$M$9:$M$13,1,'Schedule 3'!$N$9:$N$13,'Schedule 1-2'!$B25,'Schedule 3'!$G$9:$G$13,"RPCP",'Schedule 3'!$C$9:$C$13,"")))</f>
        <v>0</v>
      </c>
      <c r="I25" s="242">
        <f>_xlfn.COUNTIFS('Schedule 4'!$F$7:$F$11,"RPCP",'Schedule 4'!$G$7:$G$11,"X",'Schedule 4'!$K$7:$K$11,'Schedule 1-2'!$B25)</f>
        <v>0</v>
      </c>
    </row>
    <row r="26" spans="1:9" ht="16.5" customHeight="1">
      <c r="A26" s="24">
        <v>16</v>
      </c>
      <c r="B26" s="77" t="s">
        <v>81</v>
      </c>
      <c r="C26" s="78"/>
      <c r="D26" s="248">
        <f>IF('Cover Page'!$A$9="",0,VLOOKUP('Cover Page'!$A$4&amp;"-Racine",Counts!$A$4:$AF$461,Counts!$S$467,FALSE))</f>
        <v>0</v>
      </c>
      <c r="E26" s="249">
        <f t="shared" si="1"/>
        <v>0</v>
      </c>
      <c r="F26" s="244"/>
      <c r="G26" s="241">
        <f>-1*_xlfn.COUNTIFS('Schedule 2'!$H$8:$H$12,"RPCP",'Schedule 2'!$AJ$8:$AJ$12,'Schedule 1-2'!$B26,'Schedule 2'!$C$8:$C$12,"")</f>
        <v>0</v>
      </c>
      <c r="H26" s="242">
        <f>_xlfn.COUNTIFS('Schedule 3'!$M$9:$M$13,1,'Schedule 3'!$O$9:$O$13,'Schedule 1-2'!$B26,'Schedule 3'!$G$9:$G$13,"RPCP",'Schedule 3'!$C$9:$C$13,"")+(-1*(_xlfn.COUNTIFS('Schedule 3'!$M$9:$M$13,1,'Schedule 3'!$N$9:$N$13,'Schedule 1-2'!$B26,'Schedule 3'!$G$9:$G$13,"RPCP",'Schedule 3'!$C$9:$C$13,"")))</f>
        <v>0</v>
      </c>
      <c r="I26" s="242">
        <f>_xlfn.COUNTIFS('Schedule 4'!$F$7:$F$11,"RPCP",'Schedule 4'!$G$7:$G$11,"X",'Schedule 4'!$K$7:$K$11,'Schedule 1-2'!$B26)</f>
        <v>0</v>
      </c>
    </row>
    <row r="27" spans="1:9" ht="16.5" customHeight="1" thickBot="1">
      <c r="A27" s="24">
        <v>17</v>
      </c>
      <c r="B27" s="204" t="s">
        <v>67</v>
      </c>
      <c r="C27" s="205"/>
      <c r="D27" s="248">
        <f>IF('Cover Page'!$A$9="",0,VLOOKUP('Cover Page'!$A$4&amp;"-Racine",Counts!$A$4:$AF$461,Counts!$T$467,FALSE))</f>
        <v>0</v>
      </c>
      <c r="E27" s="249">
        <f t="shared" si="1"/>
        <v>0</v>
      </c>
      <c r="F27" s="245"/>
      <c r="G27" s="241">
        <f>-1*_xlfn.COUNTIFS('Schedule 2'!$H$8:$H$12,"RPCP",'Schedule 2'!$AJ$8:$AJ$12,'Schedule 1-2'!$B27,'Schedule 2'!$C$8:$C$12,"")</f>
        <v>0</v>
      </c>
      <c r="H27" s="242">
        <f>_xlfn.COUNTIFS('Schedule 3'!$M$9:$M$13,1,'Schedule 3'!$O$9:$O$13,'Schedule 1-2'!$B27,'Schedule 3'!$G$9:$G$13,"RPCP",'Schedule 3'!$C$9:$C$13,"")+(-1*(_xlfn.COUNTIFS('Schedule 3'!$M$9:$M$13,1,'Schedule 3'!$N$9:$N$13,'Schedule 1-2'!$B27,'Schedule 3'!$G$9:$G$13,"RPCP",'Schedule 3'!$C$9:$C$13,"")))</f>
        <v>0</v>
      </c>
      <c r="I27" s="242">
        <f>_xlfn.COUNTIFS('Schedule 4'!$F$7:$F$11,"RPCP",'Schedule 4'!$G$7:$G$11,"X",'Schedule 4'!$K$7:$K$11,'Schedule 1-2'!$B27)</f>
        <v>0</v>
      </c>
    </row>
    <row r="28" spans="1:9" ht="16.5" customHeight="1" thickBot="1">
      <c r="A28" s="25">
        <v>18</v>
      </c>
      <c r="B28" s="472" t="s">
        <v>189</v>
      </c>
      <c r="C28" s="473"/>
      <c r="D28" s="250">
        <f>SUM(D20:D27)</f>
        <v>0</v>
      </c>
      <c r="E28" s="250">
        <f>SUM(E20:E27)</f>
        <v>0</v>
      </c>
      <c r="F28" s="247"/>
      <c r="G28" s="236">
        <f>SUM(G20:G27)</f>
        <v>0</v>
      </c>
      <c r="H28" s="236">
        <f>SUM(H20:H27)</f>
        <v>0</v>
      </c>
      <c r="I28" s="238">
        <f>SUM(I20:I27)</f>
        <v>0</v>
      </c>
    </row>
    <row r="29" spans="1:9" ht="21" customHeight="1" thickTop="1">
      <c r="A29" s="22"/>
      <c r="B29" s="22"/>
      <c r="C29" s="447" t="s">
        <v>190</v>
      </c>
      <c r="D29" s="447"/>
      <c r="E29" s="447"/>
      <c r="F29" s="447"/>
      <c r="G29" s="22"/>
      <c r="H29" s="22"/>
      <c r="I29" s="22"/>
    </row>
    <row r="30" spans="1:9" ht="14.25" customHeight="1">
      <c r="A30" s="486" t="s">
        <v>60</v>
      </c>
      <c r="B30" s="481" t="s">
        <v>62</v>
      </c>
      <c r="C30" s="482"/>
      <c r="D30" s="452" t="s">
        <v>55</v>
      </c>
      <c r="E30" s="454" t="s">
        <v>56</v>
      </c>
      <c r="F30" s="456" t="s">
        <v>7</v>
      </c>
      <c r="G30" s="488"/>
      <c r="H30" s="488"/>
      <c r="I30" s="488"/>
    </row>
    <row r="31" spans="1:9" ht="21.75" customHeight="1">
      <c r="A31" s="487"/>
      <c r="B31" s="483"/>
      <c r="C31" s="451"/>
      <c r="D31" s="453"/>
      <c r="E31" s="489"/>
      <c r="F31" s="305" t="s">
        <v>310</v>
      </c>
      <c r="G31" s="207" t="s">
        <v>4</v>
      </c>
      <c r="H31" s="208" t="s">
        <v>342</v>
      </c>
      <c r="I31" s="208" t="s">
        <v>423</v>
      </c>
    </row>
    <row r="32" spans="1:9" ht="16.5" customHeight="1">
      <c r="A32" s="23">
        <v>19</v>
      </c>
      <c r="B32" s="476" t="s">
        <v>0</v>
      </c>
      <c r="C32" s="477"/>
      <c r="D32" s="248">
        <f>IF('Cover Page'!$A$10="",0,VLOOKUP('Cover Page'!$A$4&amp;"-WPCP",Counts!$A$4:$AF$461,Counts!$M$467,FALSE))</f>
        <v>0</v>
      </c>
      <c r="E32" s="249">
        <f aca="true" t="shared" si="2" ref="E32:E39">D32+G32+F32+H32+I32</f>
        <v>0</v>
      </c>
      <c r="F32" s="241">
        <f>IF('Schedule 1-1'!$I$30="No",D33,IF('Schedule 1-1'!$I$30="Yes",-D32,0))</f>
        <v>0</v>
      </c>
      <c r="G32" s="241">
        <f>IF('Schedule 1-1'!I30="No",-1*_xlfn.COUNTIFS('Schedule 2'!$H$8:$H$12,"WPCP",'Schedule 2'!$B$8:$B$12,"K4",'Schedule 2'!$C$8:$C$12,""),0)</f>
        <v>0</v>
      </c>
      <c r="H32" s="242">
        <f>IF('Schedule 1-1'!I30="No",_xlfn.COUNTIFS('Schedule 3'!$M$9:$M$13,1,'Schedule 3'!$H$9:$H$13,"K4",'Schedule 3'!$G$9:$G$13,"WPCP",'Schedule 3'!$C$9:$C$13,"")+(-1*(_xlfn.COUNTIFS('Schedule 3'!$M$9:$M$13,1,'Schedule 3'!$B$9:$B$13,"K4",'Schedule 3'!$G$9:$G$13,"WPCP",'Schedule 3'!$C$9:$C$13,""))),0)</f>
        <v>0</v>
      </c>
      <c r="I32" s="242">
        <f>IF('Schedule 1-1'!I30="No",_xlfn.COUNTIFS('Schedule 4'!$F$7:$F$11,"WPCP",'Schedule 4'!$G$7:$G$11,"X",'Schedule 4'!$B$7:$B$11,"K4"),0)</f>
        <v>0</v>
      </c>
    </row>
    <row r="33" spans="1:9" ht="16.5" customHeight="1">
      <c r="A33" s="23">
        <v>20</v>
      </c>
      <c r="B33" s="462" t="s">
        <v>53</v>
      </c>
      <c r="C33" s="463"/>
      <c r="D33" s="248">
        <f>IF('Cover Page'!$A$10="",0,VLOOKUP('Cover Page'!$A$4&amp;"-WPCP",Counts!$A$4:$AF$461,Counts!$N$467,FALSE))</f>
        <v>0</v>
      </c>
      <c r="E33" s="249">
        <f t="shared" si="2"/>
        <v>0</v>
      </c>
      <c r="F33" s="241">
        <f>IF('Schedule 1-1'!$I$30="Yes",D32,IF('Schedule 1-1'!$I$30="No",-D33,0))</f>
        <v>0</v>
      </c>
      <c r="G33" s="241">
        <f>IF('Schedule 1-1'!I30="Yes",-1*_xlfn.COUNTIFS('Schedule 2'!$H$8:$H$12,"WPCP",'Schedule 2'!$B$8:$B$12,"K4",'Schedule 2'!$C$8:$C$12,""),0)</f>
        <v>0</v>
      </c>
      <c r="H33" s="242">
        <f>IF('Schedule 1-1'!I30="Yes",_xlfn.COUNTIFS('Schedule 3'!$M$9:$M$13,1,'Schedule 3'!$H$9:$H$13,"K4",'Schedule 3'!$G$9:$G$13,"WPCP",'Schedule 3'!$C$9:$C$13,"")+(-1*(_xlfn.COUNTIFS('Schedule 3'!$M$9:$M$13,1,'Schedule 3'!$B$9:$B$13,"K4",'Schedule 3'!$G$9:$G$13,"WPCP",'Schedule 3'!$C$9:$C$13,""))),0)</f>
        <v>0</v>
      </c>
      <c r="I33" s="242">
        <f>IF('Schedule 1-1'!I30="Yes",_xlfn.COUNTIFS('Schedule 4'!$F$7:$F$11,"WPCP",'Schedule 4'!$G$7:$G$11,"X",'Schedule 4'!$B$7:$B$11,"K4"),0)</f>
        <v>0</v>
      </c>
    </row>
    <row r="34" spans="1:9" ht="16.5" customHeight="1">
      <c r="A34" s="23">
        <v>21</v>
      </c>
      <c r="B34" s="462" t="s">
        <v>44</v>
      </c>
      <c r="C34" s="463"/>
      <c r="D34" s="248">
        <f>IF('Cover Page'!$A$10="",0,VLOOKUP('Cover Page'!$A$4&amp;"-WPCP",Counts!$A$4:$AF$461,Counts!$O$467,FALSE))</f>
        <v>0</v>
      </c>
      <c r="E34" s="249">
        <f t="shared" si="2"/>
        <v>0</v>
      </c>
      <c r="F34" s="243"/>
      <c r="G34" s="241">
        <f>-1*_xlfn.COUNTIFS('Schedule 2'!$H$8:$H$12,"WPCP",'Schedule 2'!$AJ$8:$AJ$12,'Schedule 1-2'!$B34,'Schedule 2'!$C$8:$C$12,"")</f>
        <v>0</v>
      </c>
      <c r="H34" s="242">
        <f>_xlfn.COUNTIFS('Schedule 3'!$M$9:$M$13,1,'Schedule 3'!$O$9:$O$13,'Schedule 1-2'!$B34,'Schedule 3'!$G$9:$G$13,"WPCP",'Schedule 3'!$C$9:$C$13,"")+(-1*(_xlfn.COUNTIFS('Schedule 3'!$M$9:$M$13,1,'Schedule 3'!$N$9:$N$13,'Schedule 1-2'!$B34,'Schedule 3'!$G$9:$G$13,"WPCP",'Schedule 3'!$C$9:$C$13,"")))</f>
        <v>0</v>
      </c>
      <c r="I34" s="242">
        <f>_xlfn.COUNTIFS('Schedule 4'!$F$7:$F$11,"WPCP",'Schedule 4'!$G$7:$G$11,"X",'Schedule 4'!$K$7:$K$11,'Schedule 1-2'!$B34)</f>
        <v>0</v>
      </c>
    </row>
    <row r="35" spans="1:9" ht="16.5" customHeight="1">
      <c r="A35" s="23">
        <v>22</v>
      </c>
      <c r="B35" s="462" t="s">
        <v>45</v>
      </c>
      <c r="C35" s="463"/>
      <c r="D35" s="248">
        <f>IF('Cover Page'!$A$10="",0,VLOOKUP('Cover Page'!$A$4&amp;"-WPCP",Counts!$A$4:$AF$461,Counts!$P$467,FALSE))</f>
        <v>0</v>
      </c>
      <c r="E35" s="249">
        <f t="shared" si="2"/>
        <v>0</v>
      </c>
      <c r="F35" s="244"/>
      <c r="G35" s="241">
        <f>-1*_xlfn.COUNTIFS('Schedule 2'!$H$8:$H$12,"WPCP",'Schedule 2'!$AJ$8:$AJ$12,'Schedule 1-2'!$B35,'Schedule 2'!$C$8:$C$12,"")</f>
        <v>0</v>
      </c>
      <c r="H35" s="242">
        <f>_xlfn.COUNTIFS('Schedule 3'!$M$9:$M$13,1,'Schedule 3'!$O$9:$O$13,'Schedule 1-2'!$B35,'Schedule 3'!$G$9:$G$13,"WPCP",'Schedule 3'!$C$9:$C$13,"")+(-1*(_xlfn.COUNTIFS('Schedule 3'!$M$9:$M$13,1,'Schedule 3'!$N$9:$N$13,'Schedule 1-2'!$B35,'Schedule 3'!$G$9:$G$13,"WPCP",'Schedule 3'!$C$9:$C$13,"")))</f>
        <v>0</v>
      </c>
      <c r="I35" s="242">
        <f>_xlfn.COUNTIFS('Schedule 4'!$F$7:$F$11,"WPCP",'Schedule 4'!$G$7:$G$11,"X",'Schedule 4'!$K$7:$K$11,'Schedule 1-2'!$B35)</f>
        <v>0</v>
      </c>
    </row>
    <row r="36" spans="1:9" ht="16.5" customHeight="1">
      <c r="A36" s="23">
        <v>23</v>
      </c>
      <c r="B36" s="462" t="s">
        <v>1</v>
      </c>
      <c r="C36" s="463"/>
      <c r="D36" s="248">
        <f>IF('Cover Page'!$A$10="",0,VLOOKUP('Cover Page'!$A$4&amp;"-WPCP",Counts!$A$4:$AF$461,Counts!$Q$467,FALSE))</f>
        <v>0</v>
      </c>
      <c r="E36" s="249">
        <f t="shared" si="2"/>
        <v>0</v>
      </c>
      <c r="F36" s="244"/>
      <c r="G36" s="241">
        <f>-1*_xlfn.COUNTIFS('Schedule 2'!$H$8:$H$12,"WPCP",'Schedule 2'!$AJ$8:$AJ$12,'Schedule 1-2'!$B36,'Schedule 2'!$C$8:$C$12,"")</f>
        <v>0</v>
      </c>
      <c r="H36" s="242">
        <f>_xlfn.COUNTIFS('Schedule 3'!$M$9:$M$13,1,'Schedule 3'!$O$9:$O$13,'Schedule 1-2'!$B36,'Schedule 3'!$G$9:$G$13,"WPCP",'Schedule 3'!$C$9:$C$13,"")+(-1*(_xlfn.COUNTIFS('Schedule 3'!$M$9:$M$13,1,'Schedule 3'!$N$9:$N$13,'Schedule 1-2'!$B36,'Schedule 3'!$G$9:$G$13,"WPCP",'Schedule 3'!$C$9:$C$13,"")))</f>
        <v>0</v>
      </c>
      <c r="I36" s="242">
        <f>_xlfn.COUNTIFS('Schedule 4'!$F$7:$F$11,"WPCP",'Schedule 4'!$G$7:$G$11,"X",'Schedule 4'!$K$7:$K$11,'Schedule 1-2'!$B36)</f>
        <v>0</v>
      </c>
    </row>
    <row r="37" spans="1:9" ht="16.5" customHeight="1">
      <c r="A37" s="23">
        <v>24</v>
      </c>
      <c r="B37" s="462" t="s">
        <v>2</v>
      </c>
      <c r="C37" s="463"/>
      <c r="D37" s="248">
        <f>IF('Cover Page'!$A$10="",0,VLOOKUP('Cover Page'!$A$4&amp;"-WPCP",Counts!$A$4:$AF$461,Counts!$R$467,FALSE))</f>
        <v>0</v>
      </c>
      <c r="E37" s="249">
        <f t="shared" si="2"/>
        <v>0</v>
      </c>
      <c r="F37" s="244"/>
      <c r="G37" s="241">
        <f>-1*_xlfn.COUNTIFS('Schedule 2'!$H$8:$H$12,"WPCP",'Schedule 2'!$AJ$8:$AJ$12,'Schedule 1-2'!$B37,'Schedule 2'!$C$8:$C$12,"")</f>
        <v>0</v>
      </c>
      <c r="H37" s="242">
        <f>_xlfn.COUNTIFS('Schedule 3'!$M$9:$M$13,1,'Schedule 3'!$O$9:$O$13,'Schedule 1-2'!$B37,'Schedule 3'!$G$9:$G$13,"WPCP",'Schedule 3'!$C$9:$C$13,"")+(-1*(_xlfn.COUNTIFS('Schedule 3'!$M$9:$M$13,1,'Schedule 3'!$N$9:$N$13,'Schedule 1-2'!$B37,'Schedule 3'!$G$9:$G$13,"WPCP",'Schedule 3'!$C$9:$C$13,"")))</f>
        <v>0</v>
      </c>
      <c r="I37" s="242">
        <f>_xlfn.COUNTIFS('Schedule 4'!$F$7:$F$11,"WPCP",'Schedule 4'!$G$7:$G$11,"X",'Schedule 4'!$K$7:$K$11,'Schedule 1-2'!$B37)</f>
        <v>0</v>
      </c>
    </row>
    <row r="38" spans="1:9" ht="16.5" customHeight="1">
      <c r="A38" s="24">
        <v>25</v>
      </c>
      <c r="B38" s="77" t="s">
        <v>81</v>
      </c>
      <c r="C38" s="78"/>
      <c r="D38" s="248">
        <f>IF('Cover Page'!$A$10="",0,VLOOKUP('Cover Page'!$A$4&amp;"-WPCP",Counts!$A$4:$AF$461,Counts!$S$467,FALSE))</f>
        <v>0</v>
      </c>
      <c r="E38" s="249">
        <f t="shared" si="2"/>
        <v>0</v>
      </c>
      <c r="F38" s="244"/>
      <c r="G38" s="241">
        <f>-1*_xlfn.COUNTIFS('Schedule 2'!$H$8:$H$12,"WPCP",'Schedule 2'!$AJ$8:$AJ$12,'Schedule 1-2'!$B38,'Schedule 2'!$C$8:$C$12,"")</f>
        <v>0</v>
      </c>
      <c r="H38" s="242">
        <f>_xlfn.COUNTIFS('Schedule 3'!$M$9:$M$13,1,'Schedule 3'!$O$9:$O$13,'Schedule 1-2'!$B38,'Schedule 3'!$G$9:$G$13,"WPCP",'Schedule 3'!$C$9:$C$13,"")+(-1*(_xlfn.COUNTIFS('Schedule 3'!$M$9:$M$13,1,'Schedule 3'!$N$9:$N$13,'Schedule 1-2'!$B38,'Schedule 3'!$G$9:$G$13,"WPCP",'Schedule 3'!$C$9:$C$13,"")))</f>
        <v>0</v>
      </c>
      <c r="I38" s="242">
        <f>_xlfn.COUNTIFS('Schedule 4'!$F$7:$F$11,"WPCP",'Schedule 4'!$G$7:$G$11,"X",'Schedule 4'!$K$7:$K$11,'Schedule 1-2'!$B38)</f>
        <v>0</v>
      </c>
    </row>
    <row r="39" spans="1:9" ht="16.5" customHeight="1" thickBot="1">
      <c r="A39" s="24">
        <v>26</v>
      </c>
      <c r="B39" s="464" t="s">
        <v>67</v>
      </c>
      <c r="C39" s="465"/>
      <c r="D39" s="248">
        <f>IF('Cover Page'!$A$10="",0,VLOOKUP('Cover Page'!$A$4&amp;"-WPCP",Counts!$A$4:$AF$461,Counts!$T$467,FALSE))</f>
        <v>0</v>
      </c>
      <c r="E39" s="249">
        <f t="shared" si="2"/>
        <v>0</v>
      </c>
      <c r="F39" s="245"/>
      <c r="G39" s="241">
        <f>-1*_xlfn.COUNTIFS('Schedule 2'!$H$8:$H$12,"WPCP",'Schedule 2'!$AJ$8:$AJ$12,'Schedule 1-2'!$B39,'Schedule 2'!$C$8:$C$12,"")</f>
        <v>0</v>
      </c>
      <c r="H39" s="242">
        <f>_xlfn.COUNTIFS('Schedule 3'!$M$9:$M$13,1,'Schedule 3'!$O$9:$O$13,'Schedule 1-2'!$B39,'Schedule 3'!$G$9:$G$13,"WPCP",'Schedule 3'!$C$9:$C$13,"")+(-1*(_xlfn.COUNTIFS('Schedule 3'!$M$9:$M$13,1,'Schedule 3'!$N$9:$N$13,'Schedule 1-2'!$B39,'Schedule 3'!$G$9:$G$13,"WPCP",'Schedule 3'!$C$9:$C$13,"")))</f>
        <v>0</v>
      </c>
      <c r="I39" s="242">
        <f>_xlfn.COUNTIFS('Schedule 4'!$F$7:$F$11,"WPCP",'Schedule 4'!$G$7:$G$11,"X",'Schedule 4'!$K$7:$K$11,'Schedule 1-2'!$B39)</f>
        <v>0</v>
      </c>
    </row>
    <row r="40" spans="1:9" ht="16.5" customHeight="1" thickBot="1">
      <c r="A40" s="25">
        <v>27</v>
      </c>
      <c r="B40" s="472" t="s">
        <v>191</v>
      </c>
      <c r="C40" s="473"/>
      <c r="D40" s="250">
        <f>SUM(D32:D39)</f>
        <v>0</v>
      </c>
      <c r="E40" s="251">
        <f>SUM(E32:E39)</f>
        <v>0</v>
      </c>
      <c r="F40" s="247"/>
      <c r="G40" s="236">
        <f>SUM(G32:G39)</f>
        <v>0</v>
      </c>
      <c r="H40" s="236">
        <f>SUM(H32:H39)</f>
        <v>0</v>
      </c>
      <c r="I40" s="238">
        <f>SUM(I32:I39)</f>
        <v>0</v>
      </c>
    </row>
    <row r="41" ht="10.5" thickTop="1"/>
    <row r="77" ht="10.5">
      <c r="A77" s="159"/>
    </row>
  </sheetData>
  <sheetProtection password="B7B0" sheet="1"/>
  <mergeCells count="32">
    <mergeCell ref="B37:C37"/>
    <mergeCell ref="B39:C39"/>
    <mergeCell ref="B40:C40"/>
    <mergeCell ref="F30:I30"/>
    <mergeCell ref="B32:C32"/>
    <mergeCell ref="B33:C33"/>
    <mergeCell ref="B34:C34"/>
    <mergeCell ref="B35:C35"/>
    <mergeCell ref="B36:C36"/>
    <mergeCell ref="B28:C28"/>
    <mergeCell ref="A30:A31"/>
    <mergeCell ref="B30:C31"/>
    <mergeCell ref="D30:D31"/>
    <mergeCell ref="C29:F29"/>
    <mergeCell ref="E30:E31"/>
    <mergeCell ref="B16:C16"/>
    <mergeCell ref="A18:A19"/>
    <mergeCell ref="B18:C19"/>
    <mergeCell ref="F18:I18"/>
    <mergeCell ref="D18:D19"/>
    <mergeCell ref="E18:E19"/>
    <mergeCell ref="C17:F17"/>
    <mergeCell ref="A4:I4"/>
    <mergeCell ref="A3:I3"/>
    <mergeCell ref="A2:I2"/>
    <mergeCell ref="A1:I1"/>
    <mergeCell ref="A6:A7"/>
    <mergeCell ref="B6:C7"/>
    <mergeCell ref="D6:D7"/>
    <mergeCell ref="E6:E7"/>
    <mergeCell ref="F6:I6"/>
    <mergeCell ref="C5:F5"/>
  </mergeCells>
  <printOptions horizontalCentered="1"/>
  <pageMargins left="0.5" right="0.5" top="0.5" bottom="0.5" header="0.3" footer="0.3"/>
  <pageSetup fitToHeight="1" fitToWidth="1" horizontalDpi="600" verticalDpi="600" orientation="portrait" scale="88" r:id="rId1"/>
  <headerFooter>
    <oddHeader>&amp;L&amp;"Arial,Regular"&amp;8Page 4&amp;C &amp;R&amp;"Arial,Regular"&amp;8PI-PCP-106 (5 Lines)</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L74"/>
  <sheetViews>
    <sheetView showGridLines="0" workbookViewId="0" topLeftCell="A2">
      <selection activeCell="K16" sqref="K16"/>
    </sheetView>
  </sheetViews>
  <sheetFormatPr defaultColWidth="9.140625" defaultRowHeight="15"/>
  <cols>
    <col min="1" max="1" width="4.57421875" style="9" customWidth="1"/>
    <col min="2" max="2" width="7.57421875" style="9" customWidth="1"/>
    <col min="3" max="3" width="2.8515625" style="9" customWidth="1"/>
    <col min="4" max="4" width="9.140625" style="9" customWidth="1"/>
    <col min="5" max="5" width="17.57421875" style="9" customWidth="1"/>
    <col min="6" max="6" width="19.57421875" style="9" customWidth="1"/>
    <col min="7" max="7" width="52.421875" style="9" customWidth="1"/>
    <col min="8" max="8" width="12.140625" style="9" customWidth="1"/>
    <col min="9" max="9" width="1.57421875" style="9" customWidth="1"/>
    <col min="10" max="14" width="9.140625" style="9" customWidth="1"/>
    <col min="15" max="15" width="8.8515625" style="9" bestFit="1" customWidth="1"/>
    <col min="16" max="19" width="8.8515625" style="9" customWidth="1"/>
    <col min="20" max="21" width="9.8515625" style="9" bestFit="1" customWidth="1"/>
    <col min="22" max="23" width="9.8515625" style="9" customWidth="1"/>
    <col min="24" max="27" width="9.8515625" style="9" bestFit="1" customWidth="1"/>
    <col min="28" max="29" width="9.8515625" style="9" customWidth="1"/>
    <col min="30" max="30" width="9.8515625" style="9" bestFit="1" customWidth="1"/>
    <col min="31" max="34" width="9.8515625" style="9" customWidth="1"/>
    <col min="35" max="35" width="1.8515625" style="9" customWidth="1"/>
    <col min="36" max="36" width="9.140625" style="9" hidden="1" customWidth="1"/>
    <col min="37" max="37" width="9.140625" style="9" customWidth="1"/>
    <col min="38" max="38" width="9.140625" style="9" hidden="1" customWidth="1"/>
    <col min="39" max="16384" width="9.140625" style="9" customWidth="1"/>
  </cols>
  <sheetData>
    <row r="1" spans="1:9" ht="14.25" customHeight="1">
      <c r="A1" s="466" t="str">
        <f>IF(ISBLANK('Cover Page'!A4),"School Name",'Cover Page'!A4)</f>
        <v>School Name</v>
      </c>
      <c r="B1" s="466"/>
      <c r="C1" s="466"/>
      <c r="D1" s="466"/>
      <c r="E1" s="466"/>
      <c r="F1" s="466"/>
      <c r="G1" s="466"/>
      <c r="H1" s="466"/>
      <c r="I1" s="63"/>
    </row>
    <row r="2" spans="1:10" ht="14.25" customHeight="1">
      <c r="A2" s="467" t="str">
        <f>'Error Report'!A3</f>
        <v>January 14, 2022 Choice Enrollment Audit</v>
      </c>
      <c r="B2" s="467"/>
      <c r="C2" s="467"/>
      <c r="D2" s="467"/>
      <c r="E2" s="467"/>
      <c r="F2" s="467"/>
      <c r="G2" s="467"/>
      <c r="H2" s="467"/>
      <c r="I2" s="142"/>
      <c r="J2" s="142"/>
    </row>
    <row r="3" spans="1:11" ht="14.25" customHeight="1">
      <c r="A3" s="491" t="s">
        <v>349</v>
      </c>
      <c r="B3" s="491"/>
      <c r="C3" s="491"/>
      <c r="D3" s="491"/>
      <c r="E3" s="491"/>
      <c r="F3" s="491"/>
      <c r="G3" s="491"/>
      <c r="H3" s="491"/>
      <c r="I3" s="64"/>
      <c r="K3" s="6"/>
    </row>
    <row r="4" spans="1:9" ht="64.5" customHeight="1" thickBot="1">
      <c r="A4" s="492" t="s">
        <v>1111</v>
      </c>
      <c r="B4" s="492"/>
      <c r="C4" s="492"/>
      <c r="D4" s="492"/>
      <c r="E4" s="492"/>
      <c r="F4" s="492"/>
      <c r="G4" s="492"/>
      <c r="H4" s="492"/>
      <c r="I4" s="8"/>
    </row>
    <row r="5" spans="1:34" s="44" customFormat="1" ht="31.5" customHeight="1" thickBot="1" thickTop="1">
      <c r="A5" s="493" t="s">
        <v>58</v>
      </c>
      <c r="B5" s="493"/>
      <c r="C5" s="493"/>
      <c r="D5" s="493"/>
      <c r="E5" s="493"/>
      <c r="F5" s="493"/>
      <c r="G5" s="494"/>
      <c r="H5" s="127"/>
      <c r="J5" s="141" t="s">
        <v>47</v>
      </c>
      <c r="K5" s="140"/>
      <c r="L5" s="140"/>
      <c r="M5" s="140"/>
      <c r="N5" s="140"/>
      <c r="O5" s="140"/>
      <c r="P5" s="140"/>
      <c r="Q5" s="140"/>
      <c r="R5" s="140"/>
      <c r="S5" s="140"/>
      <c r="T5" s="140"/>
      <c r="U5" s="140"/>
      <c r="V5" s="140"/>
      <c r="W5" s="140"/>
      <c r="X5" s="140"/>
      <c r="Y5" s="140"/>
      <c r="Z5" s="140"/>
      <c r="AA5" s="140"/>
      <c r="AB5" s="140"/>
      <c r="AC5" s="140"/>
      <c r="AD5" s="140"/>
      <c r="AE5" s="140"/>
      <c r="AF5" s="140"/>
      <c r="AG5" s="140"/>
      <c r="AH5" s="42"/>
    </row>
    <row r="6" spans="1:34" ht="15" customHeight="1" thickTop="1">
      <c r="A6" s="215"/>
      <c r="B6" s="504" t="s">
        <v>362</v>
      </c>
      <c r="C6" s="505"/>
      <c r="D6" s="505"/>
      <c r="E6" s="505"/>
      <c r="F6" s="506"/>
      <c r="G6" s="501" t="s">
        <v>49</v>
      </c>
      <c r="H6" s="126"/>
      <c r="I6" s="62"/>
      <c r="J6" s="496" t="s">
        <v>83</v>
      </c>
      <c r="K6" s="497"/>
      <c r="L6" s="497"/>
      <c r="M6" s="497"/>
      <c r="N6" s="497"/>
      <c r="O6" s="495" t="s">
        <v>13</v>
      </c>
      <c r="P6" s="445"/>
      <c r="Q6" s="445"/>
      <c r="R6" s="445"/>
      <c r="S6" s="445"/>
      <c r="T6" s="445"/>
      <c r="U6" s="445"/>
      <c r="V6" s="496" t="s">
        <v>34</v>
      </c>
      <c r="W6" s="497"/>
      <c r="X6" s="497"/>
      <c r="Y6" s="497"/>
      <c r="Z6" s="497"/>
      <c r="AA6" s="497"/>
      <c r="AB6" s="497"/>
      <c r="AC6" s="498"/>
      <c r="AD6" s="495" t="s">
        <v>35</v>
      </c>
      <c r="AE6" s="445"/>
      <c r="AF6" s="445"/>
      <c r="AG6" s="445"/>
      <c r="AH6" s="445"/>
    </row>
    <row r="7" spans="1:38" ht="24" customHeight="1">
      <c r="A7" s="216" t="s">
        <v>60</v>
      </c>
      <c r="B7" s="164" t="s">
        <v>419</v>
      </c>
      <c r="C7" s="166" t="s">
        <v>57</v>
      </c>
      <c r="D7" s="165" t="s">
        <v>285</v>
      </c>
      <c r="E7" s="167" t="s">
        <v>336</v>
      </c>
      <c r="F7" s="167" t="s">
        <v>352</v>
      </c>
      <c r="G7" s="453"/>
      <c r="H7" s="145" t="s">
        <v>184</v>
      </c>
      <c r="I7" s="147"/>
      <c r="J7" s="12" t="s">
        <v>10</v>
      </c>
      <c r="K7" s="11" t="s">
        <v>11</v>
      </c>
      <c r="L7" s="11" t="s">
        <v>12</v>
      </c>
      <c r="M7" s="11" t="s">
        <v>14</v>
      </c>
      <c r="N7" s="139" t="s">
        <v>15</v>
      </c>
      <c r="O7" s="12" t="s">
        <v>16</v>
      </c>
      <c r="P7" s="11" t="s">
        <v>17</v>
      </c>
      <c r="Q7" s="11" t="s">
        <v>18</v>
      </c>
      <c r="R7" s="11" t="s">
        <v>19</v>
      </c>
      <c r="S7" s="138" t="s">
        <v>20</v>
      </c>
      <c r="T7" s="101" t="s">
        <v>21</v>
      </c>
      <c r="U7" s="100" t="s">
        <v>22</v>
      </c>
      <c r="V7" s="12" t="s">
        <v>23</v>
      </c>
      <c r="W7" s="11" t="s">
        <v>24</v>
      </c>
      <c r="X7" s="11" t="s">
        <v>25</v>
      </c>
      <c r="Y7" s="11" t="s">
        <v>26</v>
      </c>
      <c r="Z7" s="11" t="s">
        <v>27</v>
      </c>
      <c r="AA7" s="11" t="s">
        <v>28</v>
      </c>
      <c r="AB7" s="11" t="s">
        <v>29</v>
      </c>
      <c r="AC7" s="13" t="s">
        <v>30</v>
      </c>
      <c r="AD7" s="11" t="s">
        <v>31</v>
      </c>
      <c r="AE7" s="11" t="s">
        <v>32</v>
      </c>
      <c r="AF7" s="11" t="s">
        <v>33</v>
      </c>
      <c r="AG7" s="100" t="s">
        <v>36</v>
      </c>
      <c r="AH7" s="137" t="s">
        <v>37</v>
      </c>
      <c r="AJ7" s="41" t="s">
        <v>316</v>
      </c>
      <c r="AL7" s="9" t="s">
        <v>548</v>
      </c>
    </row>
    <row r="8" spans="1:38" s="30" customFormat="1" ht="32.25" customHeight="1">
      <c r="A8" s="23">
        <v>1</v>
      </c>
      <c r="B8" s="154"/>
      <c r="C8" s="154"/>
      <c r="D8" s="27"/>
      <c r="E8" s="28"/>
      <c r="F8" s="28"/>
      <c r="G8" s="29">
        <f>IF(J8="X",'Ineligibility Reasons'!$A$4,"")&amp;IF(K8="X",'Ineligibility Reasons'!$A$5,"")&amp;IF(L8="X",'Ineligibility Reasons'!$A$6,"")&amp;IF(M8="X",'Ineligibility Reasons'!$A$7,"")&amp;IF(N8="X",'Ineligibility Reasons'!$A$8,"")&amp;IF(O8="X",'Ineligibility Reasons'!$A$10,"")&amp;IF(P8="X",'Ineligibility Reasons'!$A$11,"")&amp;IF(Q8="X",'Ineligibility Reasons'!$A$12,"")&amp;IF(R8="X",'Ineligibility Reasons'!$A$13,"")&amp;IF(S8="X",'Ineligibility Reasons'!$A$14,"")&amp;IF(T8="X",'Ineligibility Reasons'!$A$15,"")&amp;IF(U8="X",'Ineligibility Reasons'!$A$16,"")&amp;IF(V8="X",'Ineligibility Reasons'!$A$18,"")&amp;IF(W8="X",'Ineligibility Reasons'!$A$19,"")&amp;IF(X8="X",'Ineligibility Reasons'!$A$20,"")&amp;IF(Y8="X",'Ineligibility Reasons'!$A$21,"")&amp;IF(Z8="X",'Ineligibility Reasons'!$A$22,"")&amp;IF(AA8="X",'Ineligibility Reasons'!$A$23,"")&amp;IF(AB8="X",'Ineligibility Reasons'!$A$24,"")&amp;IF(AC8="X",'Ineligibility Reasons'!$A$25,"")&amp;IF(AD8="X",'Ineligibility Reasons'!$A$27,"")&amp;IF(AE8="X",'Ineligibility Reasons'!$A$28,"")&amp;IF(AF8="X",'Ineligibility Reasons'!$A$29,"")&amp;IF(AG8="X",'Ineligibility Reasons'!$A$30,"")&amp;IF('Schedule 2'!AH8="X",'Ineligibility Reasons'!$A$31,"")</f>
      </c>
      <c r="H8" s="146"/>
      <c r="I8" s="148"/>
      <c r="J8" s="55"/>
      <c r="K8" s="54"/>
      <c r="L8" s="65"/>
      <c r="M8" s="54"/>
      <c r="N8" s="65"/>
      <c r="O8" s="55"/>
      <c r="P8" s="54"/>
      <c r="Q8" s="54"/>
      <c r="R8" s="54"/>
      <c r="S8" s="54"/>
      <c r="T8" s="54"/>
      <c r="U8" s="65"/>
      <c r="V8" s="55"/>
      <c r="W8" s="54"/>
      <c r="X8" s="54"/>
      <c r="Y8" s="54"/>
      <c r="Z8" s="54"/>
      <c r="AA8" s="54"/>
      <c r="AB8" s="54"/>
      <c r="AC8" s="56"/>
      <c r="AD8" s="54"/>
      <c r="AE8" s="54"/>
      <c r="AF8" s="54"/>
      <c r="AG8" s="65"/>
      <c r="AH8" s="65"/>
      <c r="AJ8" s="30">
        <f>IF($B8="","",VLOOKUP($B8,$E$21:$G$37,2,0))</f>
      </c>
      <c r="AL8" s="30" t="str">
        <f>IF(AND(H8="WPCP",C8="W"),IF(OR(AD8="X",AH8="X"),"Error","OK"),"OK")</f>
        <v>OK</v>
      </c>
    </row>
    <row r="9" spans="1:38" s="30" customFormat="1" ht="30" customHeight="1">
      <c r="A9" s="23">
        <v>2</v>
      </c>
      <c r="B9" s="154"/>
      <c r="C9" s="26"/>
      <c r="D9" s="27"/>
      <c r="E9" s="28"/>
      <c r="F9" s="28"/>
      <c r="G9" s="29">
        <f>IF(J9="X",'Ineligibility Reasons'!$A$4,"")&amp;IF(K9="X",'Ineligibility Reasons'!$A$5,"")&amp;IF(L9="X",'Ineligibility Reasons'!$A$6,"")&amp;IF(M9="X",'Ineligibility Reasons'!$A$7,"")&amp;IF(N9="X",'Ineligibility Reasons'!$A$8,"")&amp;IF(O9="X",'Ineligibility Reasons'!$A$10,"")&amp;IF(P9="X",'Ineligibility Reasons'!$A$11,"")&amp;IF(Q9="X",'Ineligibility Reasons'!$A$12,"")&amp;IF(R9="X",'Ineligibility Reasons'!$A$13,"")&amp;IF(S9="X",'Ineligibility Reasons'!$A$14,"")&amp;IF(T9="X",'Ineligibility Reasons'!$A$15,"")&amp;IF(U9="X",'Ineligibility Reasons'!$A$16,"")&amp;IF(V9="X",'Ineligibility Reasons'!$A$18,"")&amp;IF(W9="X",'Ineligibility Reasons'!$A$19,"")&amp;IF(X9="X",'Ineligibility Reasons'!$A$20,"")&amp;IF(Y9="X",'Ineligibility Reasons'!$A$21,"")&amp;IF(Z9="X",'Ineligibility Reasons'!$A$22,"")&amp;IF(AA9="X",'Ineligibility Reasons'!$A$23,"")&amp;IF(AB9="X",'Ineligibility Reasons'!$A$24,"")&amp;IF(AC9="X",'Ineligibility Reasons'!$A$25,"")&amp;IF(AD9="X",'Ineligibility Reasons'!$A$27,"")&amp;IF(AE9="X",'Ineligibility Reasons'!$A$28,"")&amp;IF(AF9="X",'Ineligibility Reasons'!$A$29,"")&amp;IF(AG9="X",'Ineligibility Reasons'!$A$30,"")&amp;IF('Schedule 2'!AH9="X",'Ineligibility Reasons'!$A$31,"")</f>
      </c>
      <c r="H9" s="146"/>
      <c r="I9" s="148"/>
      <c r="J9" s="55"/>
      <c r="K9" s="54"/>
      <c r="L9" s="65"/>
      <c r="M9" s="54"/>
      <c r="N9" s="65"/>
      <c r="O9" s="55"/>
      <c r="P9" s="54"/>
      <c r="Q9" s="54"/>
      <c r="R9" s="54"/>
      <c r="S9" s="54"/>
      <c r="T9" s="54"/>
      <c r="U9" s="65"/>
      <c r="V9" s="55"/>
      <c r="W9" s="54"/>
      <c r="X9" s="54"/>
      <c r="Y9" s="54"/>
      <c r="Z9" s="54"/>
      <c r="AA9" s="54"/>
      <c r="AB9" s="54"/>
      <c r="AC9" s="56"/>
      <c r="AD9" s="54"/>
      <c r="AE9" s="54"/>
      <c r="AF9" s="54"/>
      <c r="AG9" s="65"/>
      <c r="AH9" s="65"/>
      <c r="AJ9" s="30">
        <f>IF($B9="","",VLOOKUP($B9,$E$21:$G$37,2,0))</f>
      </c>
      <c r="AL9" s="30" t="str">
        <f>IF(AND(H9="WPCP",C9="W"),IF(OR(AD9="X",AH9="X"),"Error","OK"),"OK")</f>
        <v>OK</v>
      </c>
    </row>
    <row r="10" spans="1:38" s="30" customFormat="1" ht="30" customHeight="1">
      <c r="A10" s="23">
        <v>3</v>
      </c>
      <c r="B10" s="154"/>
      <c r="C10" s="154"/>
      <c r="D10" s="27"/>
      <c r="E10" s="28"/>
      <c r="F10" s="28"/>
      <c r="G10" s="29">
        <f>IF(J10="X",'Ineligibility Reasons'!$A$4,"")&amp;IF(K10="X",'Ineligibility Reasons'!$A$5,"")&amp;IF(L10="X",'Ineligibility Reasons'!$A$6,"")&amp;IF(M10="X",'Ineligibility Reasons'!$A$7,"")&amp;IF(N10="X",'Ineligibility Reasons'!$A$8,"")&amp;IF(O10="X",'Ineligibility Reasons'!$A$10,"")&amp;IF(P10="X",'Ineligibility Reasons'!$A$11,"")&amp;IF(Q10="X",'Ineligibility Reasons'!$A$12,"")&amp;IF(R10="X",'Ineligibility Reasons'!$A$13,"")&amp;IF(S10="X",'Ineligibility Reasons'!$A$14,"")&amp;IF(T10="X",'Ineligibility Reasons'!$A$15,"")&amp;IF(U10="X",'Ineligibility Reasons'!$A$16,"")&amp;IF(V10="X",'Ineligibility Reasons'!$A$18,"")&amp;IF(W10="X",'Ineligibility Reasons'!$A$19,"")&amp;IF(X10="X",'Ineligibility Reasons'!$A$20,"")&amp;IF(Y10="X",'Ineligibility Reasons'!$A$21,"")&amp;IF(Z10="X",'Ineligibility Reasons'!$A$22,"")&amp;IF(AA10="X",'Ineligibility Reasons'!$A$23,"")&amp;IF(AB10="X",'Ineligibility Reasons'!$A$24,"")&amp;IF(AC10="X",'Ineligibility Reasons'!$A$25,"")&amp;IF(AD10="X",'Ineligibility Reasons'!$A$27,"")&amp;IF(AE10="X",'Ineligibility Reasons'!$A$28,"")&amp;IF(AF10="X",'Ineligibility Reasons'!$A$29,"")&amp;IF(AG10="X",'Ineligibility Reasons'!$A$30,"")&amp;IF('Schedule 2'!AH10="X",'Ineligibility Reasons'!$A$31,"")</f>
      </c>
      <c r="H10" s="146"/>
      <c r="I10" s="148"/>
      <c r="J10" s="55"/>
      <c r="K10" s="54"/>
      <c r="L10" s="65"/>
      <c r="M10" s="54"/>
      <c r="N10" s="65"/>
      <c r="O10" s="55"/>
      <c r="P10" s="54"/>
      <c r="Q10" s="54"/>
      <c r="R10" s="54"/>
      <c r="S10" s="54"/>
      <c r="T10" s="54"/>
      <c r="U10" s="65"/>
      <c r="V10" s="55"/>
      <c r="W10" s="54"/>
      <c r="X10" s="54"/>
      <c r="Y10" s="54"/>
      <c r="Z10" s="54"/>
      <c r="AA10" s="54"/>
      <c r="AB10" s="54"/>
      <c r="AC10" s="56"/>
      <c r="AD10" s="54"/>
      <c r="AE10" s="54"/>
      <c r="AF10" s="54"/>
      <c r="AG10" s="65"/>
      <c r="AH10" s="65"/>
      <c r="AJ10" s="30">
        <f>IF($B10="","",VLOOKUP($B10,$E$21:$G$37,2,0))</f>
      </c>
      <c r="AL10" s="30" t="str">
        <f>IF(AND(H10="WPCP",C10="W"),IF(OR(AD10="X",AH10="X"),"Error","OK"),"OK")</f>
        <v>OK</v>
      </c>
    </row>
    <row r="11" spans="1:38" s="30" customFormat="1" ht="30" customHeight="1">
      <c r="A11" s="23">
        <v>4</v>
      </c>
      <c r="B11" s="154"/>
      <c r="C11" s="26"/>
      <c r="D11" s="27"/>
      <c r="E11" s="28"/>
      <c r="F11" s="28"/>
      <c r="G11" s="29">
        <f>IF(J11="X",'Ineligibility Reasons'!$A$4,"")&amp;IF(K11="X",'Ineligibility Reasons'!$A$5,"")&amp;IF(L11="X",'Ineligibility Reasons'!$A$6,"")&amp;IF(M11="X",'Ineligibility Reasons'!$A$7,"")&amp;IF(N11="X",'Ineligibility Reasons'!$A$8,"")&amp;IF(O11="X",'Ineligibility Reasons'!$A$10,"")&amp;IF(P11="X",'Ineligibility Reasons'!$A$11,"")&amp;IF(Q11="X",'Ineligibility Reasons'!$A$12,"")&amp;IF(R11="X",'Ineligibility Reasons'!$A$13,"")&amp;IF(S11="X",'Ineligibility Reasons'!$A$14,"")&amp;IF(T11="X",'Ineligibility Reasons'!$A$15,"")&amp;IF(U11="X",'Ineligibility Reasons'!$A$16,"")&amp;IF(V11="X",'Ineligibility Reasons'!$A$18,"")&amp;IF(W11="X",'Ineligibility Reasons'!$A$19,"")&amp;IF(X11="X",'Ineligibility Reasons'!$A$20,"")&amp;IF(Y11="X",'Ineligibility Reasons'!$A$21,"")&amp;IF(Z11="X",'Ineligibility Reasons'!$A$22,"")&amp;IF(AA11="X",'Ineligibility Reasons'!$A$23,"")&amp;IF(AB11="X",'Ineligibility Reasons'!$A$24,"")&amp;IF(AC11="X",'Ineligibility Reasons'!$A$25,"")&amp;IF(AD11="X",'Ineligibility Reasons'!$A$27,"")&amp;IF(AE11="X",'Ineligibility Reasons'!$A$28,"")&amp;IF(AF11="X",'Ineligibility Reasons'!$A$29,"")&amp;IF(AG11="X",'Ineligibility Reasons'!$A$30,"")&amp;IF('Schedule 2'!AH11="X",'Ineligibility Reasons'!$A$31,"")</f>
      </c>
      <c r="H11" s="146"/>
      <c r="I11" s="149"/>
      <c r="J11" s="55"/>
      <c r="K11" s="54"/>
      <c r="L11" s="65"/>
      <c r="M11" s="54"/>
      <c r="N11" s="65"/>
      <c r="O11" s="55"/>
      <c r="P11" s="54"/>
      <c r="Q11" s="54"/>
      <c r="R11" s="54"/>
      <c r="S11" s="54"/>
      <c r="T11" s="54"/>
      <c r="U11" s="65"/>
      <c r="V11" s="55"/>
      <c r="W11" s="54"/>
      <c r="X11" s="54"/>
      <c r="Y11" s="54"/>
      <c r="Z11" s="54"/>
      <c r="AA11" s="54"/>
      <c r="AB11" s="54"/>
      <c r="AC11" s="56"/>
      <c r="AD11" s="54"/>
      <c r="AE11" s="54"/>
      <c r="AF11" s="54"/>
      <c r="AG11" s="65"/>
      <c r="AH11" s="65"/>
      <c r="AJ11" s="30">
        <f>IF($B11="","",VLOOKUP($B11,$E$21:$G$37,2,0))</f>
      </c>
      <c r="AL11" s="30" t="str">
        <f>IF(H11="WPCP",IF(OR(AD11="X",AH11="X"),"Error","OK"),"OK")</f>
        <v>OK</v>
      </c>
    </row>
    <row r="12" spans="1:38" s="30" customFormat="1" ht="30" customHeight="1" thickBot="1">
      <c r="A12" s="45">
        <v>5</v>
      </c>
      <c r="B12" s="154"/>
      <c r="C12" s="31"/>
      <c r="D12" s="32"/>
      <c r="E12" s="33"/>
      <c r="F12" s="33"/>
      <c r="G12" s="29">
        <f>IF(J12="X",'Ineligibility Reasons'!$A$4,"")&amp;IF(K12="X",'Ineligibility Reasons'!$A$5,"")&amp;IF(L12="X",'Ineligibility Reasons'!$A$6,"")&amp;IF(M12="X",'Ineligibility Reasons'!$A$7,"")&amp;IF(N12="X",'Ineligibility Reasons'!$A$8,"")&amp;IF(O12="X",'Ineligibility Reasons'!$A$10,"")&amp;IF(P12="X",'Ineligibility Reasons'!$A$11,"")&amp;IF(Q12="X",'Ineligibility Reasons'!$A$12,"")&amp;IF(R12="X",'Ineligibility Reasons'!$A$13,"")&amp;IF(S12="X",'Ineligibility Reasons'!$A$14,"")&amp;IF(T12="X",'Ineligibility Reasons'!$A$15,"")&amp;IF(U12="X",'Ineligibility Reasons'!$A$16,"")&amp;IF(V12="X",'Ineligibility Reasons'!$A$18,"")&amp;IF(W12="X",'Ineligibility Reasons'!$A$19,"")&amp;IF(X12="X",'Ineligibility Reasons'!$A$20,"")&amp;IF(Y12="X",'Ineligibility Reasons'!$A$21,"")&amp;IF(Z12="X",'Ineligibility Reasons'!$A$22,"")&amp;IF(AA12="X",'Ineligibility Reasons'!$A$23,"")&amp;IF(AB12="X",'Ineligibility Reasons'!$A$24,"")&amp;IF(AC12="X",'Ineligibility Reasons'!$A$25,"")&amp;IF(AD12="X",'Ineligibility Reasons'!$A$27,"")&amp;IF(AE12="X",'Ineligibility Reasons'!$A$28,"")&amp;IF(AF12="X",'Ineligibility Reasons'!$A$29,"")&amp;IF(AG12="X",'Ineligibility Reasons'!$A$30,"")&amp;IF('Schedule 2'!AH12="X",'Ineligibility Reasons'!$A$31,"")</f>
      </c>
      <c r="H12" s="146"/>
      <c r="I12" s="150"/>
      <c r="J12" s="57"/>
      <c r="K12" s="58"/>
      <c r="L12" s="59"/>
      <c r="M12" s="58"/>
      <c r="N12" s="59"/>
      <c r="O12" s="57"/>
      <c r="P12" s="58"/>
      <c r="Q12" s="58"/>
      <c r="R12" s="58"/>
      <c r="S12" s="58"/>
      <c r="T12" s="58"/>
      <c r="U12" s="59"/>
      <c r="V12" s="57"/>
      <c r="W12" s="58"/>
      <c r="X12" s="58"/>
      <c r="Y12" s="58"/>
      <c r="Z12" s="58"/>
      <c r="AA12" s="58"/>
      <c r="AB12" s="58"/>
      <c r="AC12" s="60"/>
      <c r="AD12" s="58"/>
      <c r="AE12" s="58"/>
      <c r="AF12" s="58"/>
      <c r="AG12" s="59"/>
      <c r="AH12" s="59"/>
      <c r="AJ12" s="30">
        <f>IF($B12="","",VLOOKUP($B12,$E$21:$G$37,2,0))</f>
      </c>
      <c r="AL12" s="30" t="str">
        <f>IF(H12="WPCP",IF(OR(AD12="X",AH12="X"),"Error","OK"),"OK")</f>
        <v>OK</v>
      </c>
    </row>
    <row r="13" spans="1:38" s="21" customFormat="1" ht="22.5" customHeight="1" thickBot="1">
      <c r="A13" s="211" t="s">
        <v>414</v>
      </c>
      <c r="B13" s="213">
        <f>IF(ISBLANK('Cover Page'!$A$4),"",COUNTA(B8:B12))</f>
      </c>
      <c r="C13" s="213">
        <f>IF(ISBLANK('Cover Page'!$A$4),"",COUNTA(C8:C12))</f>
      </c>
      <c r="D13" s="213">
        <f>IF(ISBLANK('Cover Page'!$A$4),"",COUNTA(D8:D12))</f>
      </c>
      <c r="E13" s="213">
        <f>IF(ISBLANK('Cover Page'!$A$4),"",COUNTA(E8:E12))</f>
      </c>
      <c r="F13" s="213">
        <f>IF(ISBLANK('Cover Page'!$A$4),"",COUNTA(F8:F12))</f>
      </c>
      <c r="G13" s="213">
        <f>COUNTA($G$8:$G$12)-COUNTIF($G$8:$G$12,"")</f>
        <v>0</v>
      </c>
      <c r="H13" s="214">
        <f>IF(ISBLANK('Cover Page'!$A$4),"",COUNTA(H8:H12))</f>
      </c>
      <c r="I13" s="144"/>
      <c r="AL13" s="21">
        <f>COUNTIF(AL8:AL12,"ERROR")</f>
        <v>0</v>
      </c>
    </row>
    <row r="14" spans="2:9" ht="7.5" customHeight="1" thickTop="1">
      <c r="B14" s="502"/>
      <c r="C14" s="502"/>
      <c r="D14" s="502"/>
      <c r="E14" s="502"/>
      <c r="F14" s="502"/>
      <c r="G14" s="502"/>
      <c r="H14" s="502"/>
      <c r="I14" s="14"/>
    </row>
    <row r="15" spans="2:9" s="37" customFormat="1" ht="30" customHeight="1">
      <c r="B15" s="503" t="s">
        <v>416</v>
      </c>
      <c r="C15" s="503"/>
      <c r="D15" s="503"/>
      <c r="E15" s="503"/>
      <c r="F15" s="503"/>
      <c r="G15" s="503"/>
      <c r="H15" s="503"/>
      <c r="I15" s="36"/>
    </row>
    <row r="16" spans="2:8" s="37" customFormat="1" ht="30" customHeight="1">
      <c r="B16" s="499" t="s">
        <v>48</v>
      </c>
      <c r="C16" s="499"/>
      <c r="D16" s="500"/>
      <c r="E16" s="500"/>
      <c r="F16" s="500"/>
      <c r="G16" s="500"/>
      <c r="H16" s="500"/>
    </row>
    <row r="17" ht="9.75">
      <c r="B17" s="128"/>
    </row>
    <row r="20" spans="5:7" ht="14.25" hidden="1">
      <c r="E20" s="172" t="s">
        <v>315</v>
      </c>
      <c r="F20" s="172" t="s">
        <v>316</v>
      </c>
      <c r="G20" s="172"/>
    </row>
    <row r="21" spans="5:7" ht="14.25" hidden="1">
      <c r="E21" s="170" t="s">
        <v>8</v>
      </c>
      <c r="F21" t="s">
        <v>8</v>
      </c>
      <c r="G21"/>
    </row>
    <row r="22" spans="5:7" ht="14.25" hidden="1">
      <c r="E22" s="170" t="s">
        <v>313</v>
      </c>
      <c r="F22" t="s">
        <v>44</v>
      </c>
      <c r="G22"/>
    </row>
    <row r="23" spans="5:7" ht="14.25" hidden="1">
      <c r="E23" s="170" t="s">
        <v>332</v>
      </c>
      <c r="F23" t="s">
        <v>45</v>
      </c>
      <c r="G23"/>
    </row>
    <row r="24" spans="5:7" ht="14.25" hidden="1">
      <c r="E24" s="170" t="s">
        <v>335</v>
      </c>
      <c r="F24" t="s">
        <v>1</v>
      </c>
      <c r="G24"/>
    </row>
    <row r="25" spans="5:7" ht="14.25" hidden="1">
      <c r="E25" s="170" t="s">
        <v>314</v>
      </c>
      <c r="F25" t="s">
        <v>2</v>
      </c>
      <c r="G25"/>
    </row>
    <row r="26" spans="5:7" ht="14.25" hidden="1">
      <c r="E26" s="170">
        <v>1</v>
      </c>
      <c r="F26" t="s">
        <v>81</v>
      </c>
      <c r="G26"/>
    </row>
    <row r="27" spans="5:7" ht="14.25" hidden="1">
      <c r="E27" s="170">
        <v>2</v>
      </c>
      <c r="F27" t="s">
        <v>81</v>
      </c>
      <c r="G27"/>
    </row>
    <row r="28" spans="5:7" ht="14.25" hidden="1">
      <c r="E28" s="170">
        <v>3</v>
      </c>
      <c r="F28" t="s">
        <v>81</v>
      </c>
      <c r="G28"/>
    </row>
    <row r="29" spans="5:7" ht="14.25" hidden="1">
      <c r="E29" s="170">
        <v>4</v>
      </c>
      <c r="F29" t="s">
        <v>81</v>
      </c>
      <c r="G29"/>
    </row>
    <row r="30" spans="5:7" ht="14.25" hidden="1">
      <c r="E30" s="170">
        <v>5</v>
      </c>
      <c r="F30" t="s">
        <v>81</v>
      </c>
      <c r="G30"/>
    </row>
    <row r="31" spans="5:7" ht="14.25" hidden="1">
      <c r="E31" s="170">
        <v>6</v>
      </c>
      <c r="F31" t="s">
        <v>81</v>
      </c>
      <c r="G31"/>
    </row>
    <row r="32" spans="5:7" ht="14.25" hidden="1">
      <c r="E32" s="170">
        <v>7</v>
      </c>
      <c r="F32" t="s">
        <v>81</v>
      </c>
      <c r="G32"/>
    </row>
    <row r="33" spans="5:7" ht="14.25" hidden="1">
      <c r="E33" s="170">
        <v>8</v>
      </c>
      <c r="F33" t="s">
        <v>81</v>
      </c>
      <c r="G33"/>
    </row>
    <row r="34" spans="5:7" ht="14.25" hidden="1">
      <c r="E34" s="170">
        <v>9</v>
      </c>
      <c r="F34" t="s">
        <v>67</v>
      </c>
      <c r="G34"/>
    </row>
    <row r="35" spans="5:7" ht="14.25" hidden="1">
      <c r="E35" s="170">
        <v>10</v>
      </c>
      <c r="F35" t="s">
        <v>67</v>
      </c>
      <c r="G35"/>
    </row>
    <row r="36" spans="5:7" ht="14.25" hidden="1">
      <c r="E36" s="170">
        <v>11</v>
      </c>
      <c r="F36" t="s">
        <v>67</v>
      </c>
      <c r="G36"/>
    </row>
    <row r="37" spans="5:7" ht="14.25" hidden="1">
      <c r="E37" s="170">
        <v>12</v>
      </c>
      <c r="F37" t="s">
        <v>67</v>
      </c>
      <c r="G37"/>
    </row>
    <row r="61" spans="2:3" ht="9.75" hidden="1">
      <c r="B61" s="5" t="s">
        <v>8</v>
      </c>
      <c r="C61" s="5"/>
    </row>
    <row r="62" spans="2:3" ht="9.75" hidden="1">
      <c r="B62" s="5" t="s">
        <v>9</v>
      </c>
      <c r="C62" s="5"/>
    </row>
    <row r="63" ht="9.75" hidden="1">
      <c r="B63" s="9">
        <v>1</v>
      </c>
    </row>
    <row r="64" ht="9.75" hidden="1">
      <c r="B64" s="9">
        <v>2</v>
      </c>
    </row>
    <row r="65" ht="9.75" hidden="1">
      <c r="B65" s="9">
        <v>3</v>
      </c>
    </row>
    <row r="66" ht="9.75" hidden="1">
      <c r="B66" s="9">
        <v>4</v>
      </c>
    </row>
    <row r="67" ht="9.75" hidden="1">
      <c r="B67" s="9">
        <v>5</v>
      </c>
    </row>
    <row r="68" ht="9.75" hidden="1">
      <c r="B68" s="9">
        <v>6</v>
      </c>
    </row>
    <row r="69" ht="9.75" hidden="1">
      <c r="B69" s="9">
        <v>7</v>
      </c>
    </row>
    <row r="70" ht="9.75" hidden="1">
      <c r="B70" s="9">
        <v>8</v>
      </c>
    </row>
    <row r="71" ht="9.75" hidden="1">
      <c r="B71" s="9">
        <v>9</v>
      </c>
    </row>
    <row r="72" ht="9.75" hidden="1">
      <c r="B72" s="9">
        <v>10</v>
      </c>
    </row>
    <row r="73" ht="9.75" hidden="1">
      <c r="B73" s="9">
        <v>11</v>
      </c>
    </row>
    <row r="74" ht="9.75" hidden="1">
      <c r="B74" s="9">
        <v>12</v>
      </c>
    </row>
  </sheetData>
  <sheetProtection password="B7B0" sheet="1" formatRows="0"/>
  <mergeCells count="14">
    <mergeCell ref="B16:H16"/>
    <mergeCell ref="G6:G7"/>
    <mergeCell ref="B14:H14"/>
    <mergeCell ref="B15:H15"/>
    <mergeCell ref="B6:F6"/>
    <mergeCell ref="A1:H1"/>
    <mergeCell ref="A2:H2"/>
    <mergeCell ref="A3:H3"/>
    <mergeCell ref="A4:H4"/>
    <mergeCell ref="A5:G5"/>
    <mergeCell ref="AD6:AH6"/>
    <mergeCell ref="O6:U6"/>
    <mergeCell ref="V6:AC6"/>
    <mergeCell ref="J6:N6"/>
  </mergeCells>
  <dataValidations count="6">
    <dataValidation type="list" allowBlank="1" showInputMessage="1" showErrorMessage="1" sqref="H5">
      <formula1>"Yes,No"</formula1>
    </dataValidation>
    <dataValidation type="list" allowBlank="1" showDropDown="1" showInputMessage="1" showErrorMessage="1" prompt="Insert W if this pupil is on DPl's waiting list." sqref="C8:C12">
      <formula1>"W,w"</formula1>
    </dataValidation>
    <dataValidation type="list" allowBlank="1" showInputMessage="1" showErrorMessage="1" sqref="B8:B12">
      <formula1>"K4, K5-0.5 FTE,K5-0.6 FTE, K5-0.8 FTE, K5-1.0 FTE,1,2,3,4,5,6,7,8,9,10,11,12"</formula1>
    </dataValidation>
    <dataValidation type="list" allowBlank="1" showInputMessage="1" showErrorMessage="1" sqref="H8:H12">
      <formula1>"MPCP,RPCP,WPCP"</formula1>
    </dataValidation>
    <dataValidation type="list" allowBlank="1" showDropDown="1" showInputMessage="1" showErrorMessage="1" prompt="Insert &quot;X&quot; if this Reason is applicable." error="Input X if the reason is applicable.  If not applicable, leave this cell blank." sqref="J8:AH12">
      <formula1>"X,x"</formula1>
    </dataValidation>
    <dataValidation type="whole" allowBlank="1" showInputMessage="1" showErrorMessage="1" error="This is not a valid Application ID. Please enter the Application ID for the pupil. The Family ID should not be entered in this column." sqref="D8:D12">
      <formula1>600000</formula1>
      <formula2>900000</formula2>
    </dataValidation>
  </dataValidations>
  <printOptions horizontalCentered="1"/>
  <pageMargins left="0.5" right="0.5" top="0.5" bottom="0.5" header="0.3" footer="0.3"/>
  <pageSetup fitToHeight="100" fitToWidth="1" horizontalDpi="600" verticalDpi="600" orientation="landscape" r:id="rId1"/>
  <headerFooter>
    <oddHeader>&amp;L&amp;"Arial,Regular"&amp;8Page 5&amp;R&amp;"Arial,Regular"&amp;8PI-PCP-106 (5 Lines)</oddHeader>
  </headerFooter>
</worksheet>
</file>

<file path=xl/worksheets/sheet7.xml><?xml version="1.0" encoding="utf-8"?>
<worksheet xmlns="http://schemas.openxmlformats.org/spreadsheetml/2006/main" xmlns:r="http://schemas.openxmlformats.org/officeDocument/2006/relationships">
  <dimension ref="A1:I23"/>
  <sheetViews>
    <sheetView showGridLines="0" workbookViewId="0" topLeftCell="B1">
      <selection activeCell="G14" sqref="G14"/>
    </sheetView>
  </sheetViews>
  <sheetFormatPr defaultColWidth="9.140625" defaultRowHeight="15"/>
  <cols>
    <col min="1" max="1" width="4.140625" style="128" customWidth="1"/>
    <col min="2" max="2" width="25.57421875" style="14" customWidth="1"/>
    <col min="3" max="3" width="42.421875" style="14" customWidth="1"/>
    <col min="4" max="4" width="25.57421875" style="9" customWidth="1"/>
    <col min="5" max="16384" width="9.140625" style="9" customWidth="1"/>
  </cols>
  <sheetData>
    <row r="1" spans="1:8" ht="15" customHeight="1">
      <c r="A1" s="507" t="str">
        <f>IF(ISBLANK('Cover Page'!A4),"School Name",'Cover Page'!A4)</f>
        <v>School Name</v>
      </c>
      <c r="B1" s="507"/>
      <c r="C1" s="507"/>
      <c r="D1" s="507"/>
      <c r="E1" s="41"/>
      <c r="F1" s="41"/>
      <c r="G1" s="41"/>
      <c r="H1" s="41"/>
    </row>
    <row r="2" spans="1:8" ht="15" customHeight="1">
      <c r="A2" s="445" t="str">
        <f>'Schedule 1-1'!A2</f>
        <v>January 14, 2022 Choice Enrollment Audit</v>
      </c>
      <c r="B2" s="445"/>
      <c r="C2" s="445"/>
      <c r="D2" s="445"/>
      <c r="E2" s="41"/>
      <c r="F2" s="41"/>
      <c r="G2" s="41"/>
      <c r="H2" s="41"/>
    </row>
    <row r="3" spans="1:9" ht="21" customHeight="1" thickBot="1">
      <c r="A3" s="508" t="s">
        <v>6</v>
      </c>
      <c r="B3" s="508"/>
      <c r="C3" s="508"/>
      <c r="D3" s="508"/>
      <c r="E3" s="41"/>
      <c r="F3" s="41"/>
      <c r="G3" s="41"/>
      <c r="H3" s="41"/>
      <c r="I3" s="41"/>
    </row>
    <row r="4" spans="1:4" ht="25.5" customHeight="1" thickTop="1">
      <c r="A4" s="22"/>
      <c r="B4" s="22"/>
      <c r="C4" s="143" t="s">
        <v>282</v>
      </c>
      <c r="D4" s="22"/>
    </row>
    <row r="5" spans="1:4" s="21" customFormat="1" ht="59.25" customHeight="1" thickBot="1">
      <c r="A5" s="460" t="s">
        <v>615</v>
      </c>
      <c r="B5" s="460"/>
      <c r="C5" s="460"/>
      <c r="D5" s="460"/>
    </row>
    <row r="6" spans="1:4" ht="25.5" customHeight="1" thickTop="1">
      <c r="A6" s="22"/>
      <c r="B6" s="22"/>
      <c r="C6" s="102" t="s">
        <v>162</v>
      </c>
      <c r="D6" s="22"/>
    </row>
    <row r="7" spans="1:4" s="21" customFormat="1" ht="25.5" customHeight="1">
      <c r="A7" s="354">
        <v>1</v>
      </c>
      <c r="B7" s="509" t="s">
        <v>173</v>
      </c>
      <c r="C7" s="510"/>
      <c r="D7" s="103">
        <f>IF('Cover Page'!A8="X",VLOOKUP('Cover Page'!$A$4&amp;"-Milwaukee",Counts!$A$4:$AC$461,Counts!$AC$467,FALSE),0)</f>
        <v>0</v>
      </c>
    </row>
    <row r="8" spans="1:4" s="21" customFormat="1" ht="25.5" customHeight="1">
      <c r="A8" s="354">
        <v>2</v>
      </c>
      <c r="B8" s="476" t="s">
        <v>59</v>
      </c>
      <c r="C8" s="477"/>
      <c r="D8" s="43"/>
    </row>
    <row r="9" spans="1:4" s="21" customFormat="1" ht="25.5" customHeight="1" thickBot="1">
      <c r="A9" s="133">
        <v>3</v>
      </c>
      <c r="B9" s="515" t="s">
        <v>63</v>
      </c>
      <c r="C9" s="516"/>
      <c r="D9" s="61"/>
    </row>
    <row r="10" spans="1:4" s="21" customFormat="1" ht="25.5" customHeight="1" thickBot="1">
      <c r="A10" s="322">
        <v>4</v>
      </c>
      <c r="B10" s="511" t="s">
        <v>166</v>
      </c>
      <c r="C10" s="512"/>
      <c r="D10" s="94">
        <f>IF(ISBLANK(D7),"",IF(D7*0.15&gt;125,ROUND(D7*0.15,0),IF(D7&lt;125,D7,125)))</f>
        <v>0</v>
      </c>
    </row>
    <row r="11" spans="1:4" s="21" customFormat="1" ht="25.5" customHeight="1" thickBot="1">
      <c r="A11" s="358">
        <v>5</v>
      </c>
      <c r="B11" s="513" t="s">
        <v>165</v>
      </c>
      <c r="C11" s="514"/>
      <c r="D11" s="49">
        <f>IF(ISBLANK('Cover Page'!$A$4),"",IF(D7&lt;126,D7,IF(D10*(1+D9)&gt;D7,D7,D10*(1+D9))))</f>
      </c>
    </row>
    <row r="12" spans="1:4" ht="25.5" customHeight="1" thickTop="1">
      <c r="A12" s="22"/>
      <c r="B12" s="22"/>
      <c r="C12" s="105" t="s">
        <v>164</v>
      </c>
      <c r="D12" s="22"/>
    </row>
    <row r="13" spans="1:4" s="21" customFormat="1" ht="25.5" customHeight="1">
      <c r="A13" s="354">
        <v>6</v>
      </c>
      <c r="B13" s="509" t="s">
        <v>175</v>
      </c>
      <c r="C13" s="510"/>
      <c r="D13" s="103">
        <f>IF('Cover Page'!A9="X",VLOOKUP('Cover Page'!$A$4&amp;"-Racine",Counts!$A$4:$AC$461,Counts!$AC$467,FALSE),0)</f>
        <v>0</v>
      </c>
    </row>
    <row r="14" spans="1:4" s="21" customFormat="1" ht="25.5" customHeight="1">
      <c r="A14" s="354">
        <v>7</v>
      </c>
      <c r="B14" s="476" t="s">
        <v>59</v>
      </c>
      <c r="C14" s="477"/>
      <c r="D14" s="43"/>
    </row>
    <row r="15" spans="1:4" s="21" customFormat="1" ht="25.5" customHeight="1" thickBot="1">
      <c r="A15" s="133">
        <v>8</v>
      </c>
      <c r="B15" s="515" t="s">
        <v>63</v>
      </c>
      <c r="C15" s="516"/>
      <c r="D15" s="61"/>
    </row>
    <row r="16" spans="1:4" s="21" customFormat="1" ht="25.5" customHeight="1" thickBot="1">
      <c r="A16" s="322">
        <v>9</v>
      </c>
      <c r="B16" s="511" t="s">
        <v>171</v>
      </c>
      <c r="C16" s="512"/>
      <c r="D16" s="94">
        <f>IF(ISBLANK(D13),"",IF(D13*0.15&gt;125,ROUND(D13*0.15,0),IF(D13&lt;125,D13,125)))</f>
        <v>0</v>
      </c>
    </row>
    <row r="17" spans="1:4" s="21" customFormat="1" ht="25.5" customHeight="1" thickBot="1">
      <c r="A17" s="358">
        <v>10</v>
      </c>
      <c r="B17" s="513" t="s">
        <v>172</v>
      </c>
      <c r="C17" s="514"/>
      <c r="D17" s="49">
        <f>IF(ISBLANK('Cover Page'!$A$4),"",IF(D13&lt;126,D13,IF(D16*(1+D15)&gt;D13,D13,D16*(1+D15))))</f>
      </c>
    </row>
    <row r="18" spans="1:4" ht="25.5" customHeight="1" thickTop="1">
      <c r="A18" s="22"/>
      <c r="B18" s="22"/>
      <c r="C18" s="105" t="s">
        <v>163</v>
      </c>
      <c r="D18" s="22"/>
    </row>
    <row r="19" spans="1:4" s="21" customFormat="1" ht="25.5" customHeight="1">
      <c r="A19" s="354">
        <v>11</v>
      </c>
      <c r="B19" s="509" t="s">
        <v>174</v>
      </c>
      <c r="C19" s="510"/>
      <c r="D19" s="103">
        <f>IF('Cover Page'!A10="X",VLOOKUP('Cover Page'!$A$4&amp;"-WPCP",Counts!$A$4:$AC$461,Counts!$AC$467,FALSE),0)</f>
        <v>0</v>
      </c>
    </row>
    <row r="20" spans="1:4" s="21" customFormat="1" ht="25.5" customHeight="1">
      <c r="A20" s="354">
        <v>12</v>
      </c>
      <c r="B20" s="476" t="s">
        <v>59</v>
      </c>
      <c r="C20" s="477"/>
      <c r="D20" s="43"/>
    </row>
    <row r="21" spans="1:4" s="21" customFormat="1" ht="25.5" customHeight="1" thickBot="1">
      <c r="A21" s="133">
        <v>13</v>
      </c>
      <c r="B21" s="515" t="s">
        <v>63</v>
      </c>
      <c r="C21" s="516"/>
      <c r="D21" s="61"/>
    </row>
    <row r="22" spans="1:4" s="21" customFormat="1" ht="25.5" customHeight="1" thickBot="1">
      <c r="A22" s="322">
        <v>14</v>
      </c>
      <c r="B22" s="511" t="s">
        <v>169</v>
      </c>
      <c r="C22" s="512"/>
      <c r="D22" s="94">
        <f>IF(ISBLANK(D19),"",IF(D19*0.15&gt;125,ROUND(D19*0.15,0),IF(D19&lt;125,D19,125)))</f>
        <v>0</v>
      </c>
    </row>
    <row r="23" spans="1:4" s="21" customFormat="1" ht="25.5" customHeight="1" thickBot="1">
      <c r="A23" s="358">
        <v>15</v>
      </c>
      <c r="B23" s="513" t="s">
        <v>170</v>
      </c>
      <c r="C23" s="514"/>
      <c r="D23" s="49">
        <f>IF(ISBLANK('Cover Page'!$A$4),"",IF(D19&lt;126,D19,IF(D22*(1+D21)&gt;D19,D19,D22*(1+D21))))</f>
      </c>
    </row>
    <row r="24" ht="10.5" thickTop="1"/>
  </sheetData>
  <sheetProtection password="B421" sheet="1"/>
  <mergeCells count="19">
    <mergeCell ref="B7:C7"/>
    <mergeCell ref="B10:C10"/>
    <mergeCell ref="A5:D5"/>
    <mergeCell ref="B20:C20"/>
    <mergeCell ref="B21:C21"/>
    <mergeCell ref="B19:C19"/>
    <mergeCell ref="B11:C11"/>
    <mergeCell ref="B8:C8"/>
    <mergeCell ref="B9:C9"/>
    <mergeCell ref="A1:D1"/>
    <mergeCell ref="A2:D2"/>
    <mergeCell ref="A3:D3"/>
    <mergeCell ref="B13:C13"/>
    <mergeCell ref="B22:C22"/>
    <mergeCell ref="B23:C23"/>
    <mergeCell ref="B14:C14"/>
    <mergeCell ref="B15:C15"/>
    <mergeCell ref="B16:C16"/>
    <mergeCell ref="B17:C17"/>
  </mergeCells>
  <printOptions/>
  <pageMargins left="0.38" right="0.29" top="0.75" bottom="0.75" header="0.3" footer="0.3"/>
  <pageSetup horizontalDpi="600" verticalDpi="600" orientation="portrait" r:id="rId1"/>
  <headerFooter>
    <oddHeader>&amp;L&amp;"Arial,Regular"&amp;8Page 5&amp;R&amp;"Arial,Regular"&amp;8PI-PCP-103 (70 Lines)</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77"/>
  <sheetViews>
    <sheetView workbookViewId="0" topLeftCell="A1">
      <selection activeCell="K16" sqref="K16"/>
    </sheetView>
  </sheetViews>
  <sheetFormatPr defaultColWidth="9.140625" defaultRowHeight="15"/>
  <cols>
    <col min="1" max="1" width="109.421875" style="257" bestFit="1" customWidth="1"/>
    <col min="2" max="16384" width="9.140625" style="10" customWidth="1"/>
  </cols>
  <sheetData>
    <row r="1" ht="31.5">
      <c r="A1" s="252" t="s">
        <v>515</v>
      </c>
    </row>
    <row r="2" ht="12">
      <c r="A2" s="253"/>
    </row>
    <row r="3" s="35" customFormat="1" ht="18" customHeight="1">
      <c r="A3" s="357" t="s">
        <v>437</v>
      </c>
    </row>
    <row r="4" s="35" customFormat="1" ht="18" customHeight="1">
      <c r="A4" s="254" t="s">
        <v>553</v>
      </c>
    </row>
    <row r="5" s="35" customFormat="1" ht="50.25" customHeight="1">
      <c r="A5" s="254" t="s">
        <v>554</v>
      </c>
    </row>
    <row r="6" s="35" customFormat="1" ht="18" customHeight="1">
      <c r="A6" s="254" t="s">
        <v>555</v>
      </c>
    </row>
    <row r="7" s="35" customFormat="1" ht="18" customHeight="1">
      <c r="A7" s="254" t="s">
        <v>556</v>
      </c>
    </row>
    <row r="8" s="35" customFormat="1" ht="18" customHeight="1">
      <c r="A8" s="254" t="s">
        <v>557</v>
      </c>
    </row>
    <row r="9" s="35" customFormat="1" ht="18" customHeight="1">
      <c r="A9" s="356" t="s">
        <v>13</v>
      </c>
    </row>
    <row r="10" s="35" customFormat="1" ht="18" customHeight="1">
      <c r="A10" s="254" t="s">
        <v>558</v>
      </c>
    </row>
    <row r="11" s="35" customFormat="1" ht="18" customHeight="1">
      <c r="A11" s="254" t="s">
        <v>559</v>
      </c>
    </row>
    <row r="12" s="35" customFormat="1" ht="18" customHeight="1">
      <c r="A12" s="254" t="s">
        <v>560</v>
      </c>
    </row>
    <row r="13" s="35" customFormat="1" ht="18" customHeight="1">
      <c r="A13" s="254" t="s">
        <v>561</v>
      </c>
    </row>
    <row r="14" s="35" customFormat="1" ht="25.5" customHeight="1">
      <c r="A14" s="254" t="s">
        <v>562</v>
      </c>
    </row>
    <row r="15" s="35" customFormat="1" ht="25.5" customHeight="1">
      <c r="A15" s="254" t="s">
        <v>563</v>
      </c>
    </row>
    <row r="16" s="35" customFormat="1" ht="12">
      <c r="A16" s="254" t="s">
        <v>564</v>
      </c>
    </row>
    <row r="17" s="35" customFormat="1" ht="18" customHeight="1">
      <c r="A17" s="356" t="s">
        <v>34</v>
      </c>
    </row>
    <row r="18" s="35" customFormat="1" ht="25.5" customHeight="1">
      <c r="A18" s="254" t="s">
        <v>565</v>
      </c>
    </row>
    <row r="19" s="35" customFormat="1" ht="18" customHeight="1">
      <c r="A19" s="254" t="s">
        <v>566</v>
      </c>
    </row>
    <row r="20" s="35" customFormat="1" ht="25.5" customHeight="1">
      <c r="A20" s="254" t="s">
        <v>567</v>
      </c>
    </row>
    <row r="21" s="35" customFormat="1" ht="36.75" customHeight="1">
      <c r="A21" s="254" t="s">
        <v>568</v>
      </c>
    </row>
    <row r="22" s="35" customFormat="1" ht="18" customHeight="1">
      <c r="A22" s="254" t="s">
        <v>569</v>
      </c>
    </row>
    <row r="23" s="35" customFormat="1" ht="18" customHeight="1">
      <c r="A23" s="254" t="s">
        <v>570</v>
      </c>
    </row>
    <row r="24" s="35" customFormat="1" ht="18" customHeight="1">
      <c r="A24" s="254" t="s">
        <v>571</v>
      </c>
    </row>
    <row r="25" s="35" customFormat="1" ht="25.5" customHeight="1">
      <c r="A25" s="255" t="s">
        <v>572</v>
      </c>
    </row>
    <row r="26" s="35" customFormat="1" ht="18" customHeight="1">
      <c r="A26" s="356" t="s">
        <v>35</v>
      </c>
    </row>
    <row r="27" s="35" customFormat="1" ht="18" customHeight="1">
      <c r="A27" s="254" t="s">
        <v>573</v>
      </c>
    </row>
    <row r="28" s="35" customFormat="1" ht="18" customHeight="1">
      <c r="A28" s="254" t="s">
        <v>574</v>
      </c>
    </row>
    <row r="29" s="35" customFormat="1" ht="18" customHeight="1">
      <c r="A29" s="254" t="s">
        <v>575</v>
      </c>
    </row>
    <row r="30" s="35" customFormat="1" ht="25.5" customHeight="1">
      <c r="A30" s="254" t="s">
        <v>576</v>
      </c>
    </row>
    <row r="31" ht="18" customHeight="1">
      <c r="A31" s="256" t="s">
        <v>642</v>
      </c>
    </row>
    <row r="77" ht="12">
      <c r="A77" s="160"/>
    </row>
  </sheetData>
  <sheetProtection password="B7B0" sheet="1" objects="1" scenarios="1"/>
  <printOptions horizontalCentered="1"/>
  <pageMargins left="0.25" right="0.25" top="0.5" bottom="0.5" header="0.3" footer="0.3"/>
  <pageSetup fitToHeight="1" fitToWidth="1" horizontalDpi="600" verticalDpi="600" orientation="portrait" scale="99" r:id="rId1"/>
  <headerFooter>
    <oddHeader xml:space="preserve">&amp;C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O38"/>
  <sheetViews>
    <sheetView showGridLines="0" workbookViewId="0" topLeftCell="A4">
      <selection activeCell="K16" sqref="K16"/>
    </sheetView>
  </sheetViews>
  <sheetFormatPr defaultColWidth="9.140625" defaultRowHeight="15"/>
  <cols>
    <col min="1" max="1" width="4.57421875" style="9" customWidth="1"/>
    <col min="2" max="2" width="7.57421875" style="9" customWidth="1"/>
    <col min="3" max="3" width="3.00390625" style="9" customWidth="1"/>
    <col min="4" max="4" width="9.421875" style="9" customWidth="1"/>
    <col min="5" max="5" width="17.57421875" style="9" customWidth="1"/>
    <col min="6" max="6" width="19.57421875" style="9" customWidth="1"/>
    <col min="7" max="7" width="7.8515625" style="9" bestFit="1" customWidth="1"/>
    <col min="8" max="8" width="9.421875" style="9" customWidth="1"/>
    <col min="9" max="9" width="17.57421875" style="9" customWidth="1"/>
    <col min="10" max="10" width="19.57421875" style="9" customWidth="1"/>
    <col min="11" max="11" width="39.8515625" style="9" customWidth="1"/>
    <col min="12" max="12" width="0.5625" style="44" customWidth="1"/>
    <col min="13" max="15" width="9.140625" style="9" hidden="1" customWidth="1"/>
    <col min="16" max="16384" width="9.140625" style="9" customWidth="1"/>
  </cols>
  <sheetData>
    <row r="1" spans="1:11" ht="15" customHeight="1">
      <c r="A1" s="527" t="str">
        <f>IF(ISBLANK('Cover Page'!A4),"School Name",'Cover Page'!A4)</f>
        <v>School Name</v>
      </c>
      <c r="B1" s="527"/>
      <c r="C1" s="527"/>
      <c r="D1" s="527"/>
      <c r="E1" s="527"/>
      <c r="F1" s="527"/>
      <c r="G1" s="527"/>
      <c r="H1" s="527"/>
      <c r="I1" s="527"/>
      <c r="J1" s="527"/>
      <c r="K1" s="527"/>
    </row>
    <row r="2" spans="1:11" ht="15" customHeight="1">
      <c r="A2" s="467" t="str">
        <f>'Error Report'!A3</f>
        <v>January 14, 2022 Choice Enrollment Audit</v>
      </c>
      <c r="B2" s="467"/>
      <c r="C2" s="467"/>
      <c r="D2" s="467"/>
      <c r="E2" s="467"/>
      <c r="F2" s="467"/>
      <c r="G2" s="467"/>
      <c r="H2" s="467"/>
      <c r="I2" s="467"/>
      <c r="J2" s="467"/>
      <c r="K2" s="467"/>
    </row>
    <row r="3" spans="1:11" ht="12.75" customHeight="1">
      <c r="A3" s="528" t="s">
        <v>348</v>
      </c>
      <c r="B3" s="528"/>
      <c r="C3" s="528"/>
      <c r="D3" s="528"/>
      <c r="E3" s="528"/>
      <c r="F3" s="528"/>
      <c r="G3" s="528"/>
      <c r="H3" s="528"/>
      <c r="I3" s="528"/>
      <c r="J3" s="528"/>
      <c r="K3" s="528"/>
    </row>
    <row r="4" spans="1:12" ht="83.25" customHeight="1" thickBot="1">
      <c r="A4" s="529" t="s">
        <v>1112</v>
      </c>
      <c r="B4" s="529"/>
      <c r="C4" s="529"/>
      <c r="D4" s="529"/>
      <c r="E4" s="529"/>
      <c r="F4" s="529"/>
      <c r="G4" s="529"/>
      <c r="H4" s="529"/>
      <c r="I4" s="529"/>
      <c r="J4" s="529"/>
      <c r="K4" s="529"/>
      <c r="L4" s="289"/>
    </row>
    <row r="5" spans="1:10" s="44" customFormat="1" ht="27" customHeight="1" thickTop="1">
      <c r="A5" s="530" t="s">
        <v>424</v>
      </c>
      <c r="B5" s="530"/>
      <c r="C5" s="530"/>
      <c r="D5" s="530"/>
      <c r="E5" s="530"/>
      <c r="F5" s="530"/>
      <c r="G5" s="530"/>
      <c r="H5" s="530"/>
      <c r="I5" s="531"/>
      <c r="J5" s="270"/>
    </row>
    <row r="6" spans="1:11" ht="24" customHeight="1" thickBot="1">
      <c r="A6" s="517" t="s">
        <v>454</v>
      </c>
      <c r="B6" s="517"/>
      <c r="C6" s="517"/>
      <c r="D6" s="517"/>
      <c r="E6" s="517"/>
      <c r="F6" s="517"/>
      <c r="G6" s="517"/>
      <c r="H6" s="517"/>
      <c r="I6" s="517"/>
      <c r="J6" s="313"/>
      <c r="K6" s="44"/>
    </row>
    <row r="7" spans="2:12" ht="23.25" customHeight="1" thickTop="1">
      <c r="B7" s="522" t="s">
        <v>362</v>
      </c>
      <c r="C7" s="523"/>
      <c r="D7" s="523"/>
      <c r="E7" s="523"/>
      <c r="F7" s="523"/>
      <c r="G7" s="523"/>
      <c r="H7" s="526" t="s">
        <v>643</v>
      </c>
      <c r="I7" s="526"/>
      <c r="J7" s="526"/>
      <c r="K7" s="524" t="s">
        <v>438</v>
      </c>
      <c r="L7" s="212"/>
    </row>
    <row r="8" spans="1:15" ht="34.5" customHeight="1">
      <c r="A8" s="217" t="s">
        <v>60</v>
      </c>
      <c r="B8" s="164" t="s">
        <v>420</v>
      </c>
      <c r="C8" s="166" t="s">
        <v>57</v>
      </c>
      <c r="D8" s="165" t="s">
        <v>285</v>
      </c>
      <c r="E8" s="167" t="s">
        <v>336</v>
      </c>
      <c r="F8" s="167" t="s">
        <v>352</v>
      </c>
      <c r="G8" s="258" t="s">
        <v>184</v>
      </c>
      <c r="H8" s="259" t="s">
        <v>337</v>
      </c>
      <c r="I8" s="207" t="s">
        <v>338</v>
      </c>
      <c r="J8" s="265" t="s">
        <v>339</v>
      </c>
      <c r="K8" s="525"/>
      <c r="L8" s="212"/>
      <c r="M8" s="168" t="s">
        <v>331</v>
      </c>
      <c r="N8" s="168" t="s">
        <v>333</v>
      </c>
      <c r="O8" s="168" t="s">
        <v>334</v>
      </c>
    </row>
    <row r="9" spans="1:15" s="38" customFormat="1" ht="30" customHeight="1">
      <c r="A9" s="23">
        <v>1</v>
      </c>
      <c r="B9" s="154"/>
      <c r="C9" s="154"/>
      <c r="D9" s="28"/>
      <c r="E9" s="28"/>
      <c r="F9" s="28"/>
      <c r="G9" s="260"/>
      <c r="H9" s="261"/>
      <c r="I9" s="28"/>
      <c r="J9" s="266"/>
      <c r="K9" s="339"/>
      <c r="L9" s="290"/>
      <c r="M9" s="169">
        <f>IF(H9&lt;&gt;"",IF(B9=H9,0,1),"")</f>
      </c>
      <c r="N9" s="171">
        <f>IF($M9=1,VLOOKUP($B9,$E$22:$F$38,2,0),"")</f>
      </c>
      <c r="O9" s="171">
        <f>IF($M9=1,VLOOKUP($H9,$E$22:$F$38,2,0),"")</f>
      </c>
    </row>
    <row r="10" spans="1:15" s="38" customFormat="1" ht="30" customHeight="1">
      <c r="A10" s="23">
        <v>2</v>
      </c>
      <c r="B10" s="154"/>
      <c r="C10" s="154"/>
      <c r="D10" s="28"/>
      <c r="E10" s="28"/>
      <c r="F10" s="28"/>
      <c r="G10" s="260"/>
      <c r="H10" s="261"/>
      <c r="I10" s="28"/>
      <c r="J10" s="266"/>
      <c r="K10" s="341"/>
      <c r="L10" s="290"/>
      <c r="M10" s="169">
        <f>IF(H10&lt;&gt;"",IF(B10=H10,0,1),"")</f>
      </c>
      <c r="N10" s="171">
        <f>IF($M10=1,VLOOKUP($B10,$E$22:$F$38,2,0),"")</f>
      </c>
      <c r="O10" s="171">
        <f>IF($M10=1,VLOOKUP($H10,$E$22:$F$38,2,0),"")</f>
      </c>
    </row>
    <row r="11" spans="1:15" s="38" customFormat="1" ht="30" customHeight="1">
      <c r="A11" s="23">
        <v>3</v>
      </c>
      <c r="B11" s="154"/>
      <c r="C11" s="154"/>
      <c r="D11" s="28"/>
      <c r="E11" s="28"/>
      <c r="F11" s="28"/>
      <c r="G11" s="260"/>
      <c r="H11" s="261"/>
      <c r="I11" s="28"/>
      <c r="J11" s="266"/>
      <c r="K11" s="339"/>
      <c r="L11" s="290"/>
      <c r="M11" s="169">
        <f>IF(H11&lt;&gt;"",IF(B11=H11,0,1),"")</f>
      </c>
      <c r="N11" s="171">
        <f>IF($M11=1,VLOOKUP($B11,$E$22:$F$38,2,0),"")</f>
      </c>
      <c r="O11" s="171">
        <f>IF($M11=1,VLOOKUP($H11,$E$22:$F$38,2,0),"")</f>
      </c>
    </row>
    <row r="12" spans="1:15" s="38" customFormat="1" ht="30" customHeight="1">
      <c r="A12" s="23">
        <v>4</v>
      </c>
      <c r="B12" s="154"/>
      <c r="C12" s="154"/>
      <c r="D12" s="28"/>
      <c r="E12" s="28"/>
      <c r="F12" s="28"/>
      <c r="G12" s="260"/>
      <c r="H12" s="261"/>
      <c r="I12" s="28"/>
      <c r="J12" s="266"/>
      <c r="K12" s="339"/>
      <c r="L12" s="290"/>
      <c r="M12" s="169">
        <f>IF(H12&lt;&gt;"",IF(B12=H12,0,1),"")</f>
      </c>
      <c r="N12" s="171">
        <f>IF($M12=1,VLOOKUP($B12,$E$22:$F$38,2,0),"")</f>
      </c>
      <c r="O12" s="171">
        <f>IF($M12=1,VLOOKUP($H12,$E$22:$F$38,2,0),"")</f>
      </c>
    </row>
    <row r="13" spans="1:15" s="38" customFormat="1" ht="30" customHeight="1" thickBot="1">
      <c r="A13" s="24">
        <v>5</v>
      </c>
      <c r="B13" s="31"/>
      <c r="C13" s="31"/>
      <c r="D13" s="33"/>
      <c r="E13" s="33"/>
      <c r="F13" s="33"/>
      <c r="G13" s="262"/>
      <c r="H13" s="267"/>
      <c r="I13" s="268"/>
      <c r="J13" s="269"/>
      <c r="K13" s="340"/>
      <c r="L13" s="290"/>
      <c r="M13" s="169">
        <f>IF(H13&lt;&gt;"",IF(B13=H13,0,1),"")</f>
      </c>
      <c r="N13" s="171">
        <f>IF($M13=1,VLOOKUP($B13,$E$22:$F$38,2,0),"")</f>
      </c>
      <c r="O13" s="171">
        <f>IF($M13=1,VLOOKUP($H13,$E$22:$F$38,2,0),"")</f>
      </c>
    </row>
    <row r="14" spans="1:12" s="21" customFormat="1" ht="22.5" customHeight="1" thickBot="1">
      <c r="A14" s="409" t="s">
        <v>414</v>
      </c>
      <c r="B14" s="218">
        <f>IF(ISBLANK('Cover Page'!$A$4),"",COUNTA(B9:B13))</f>
      </c>
      <c r="C14" s="218">
        <f>IF(ISBLANK('Cover Page'!$A$4),"",COUNTA(C9:C13))</f>
      </c>
      <c r="D14" s="218">
        <f>IF(ISBLANK('Cover Page'!$A$4),"",COUNTA(D9:D13))</f>
      </c>
      <c r="E14" s="218">
        <f>IF(ISBLANK('Cover Page'!$A$4),"",COUNTA(E9:E13))</f>
      </c>
      <c r="F14" s="218">
        <f>IF(ISBLANK('Cover Page'!$A$4),"",COUNTA(F9:F13))</f>
      </c>
      <c r="G14" s="263">
        <f>IF(ISBLANK('Cover Page'!$A$4),"",COUNTA(G9:G13))</f>
      </c>
      <c r="H14" s="264"/>
      <c r="I14" s="206"/>
      <c r="J14" s="206"/>
      <c r="K14" s="271"/>
      <c r="L14" s="34"/>
    </row>
    <row r="15" spans="2:12" ht="10.5" customHeight="1" thickTop="1">
      <c r="B15" s="520"/>
      <c r="C15" s="521"/>
      <c r="D15" s="521"/>
      <c r="E15" s="521"/>
      <c r="F15" s="521"/>
      <c r="G15" s="521"/>
      <c r="H15" s="521"/>
      <c r="I15" s="521"/>
      <c r="J15" s="521"/>
      <c r="K15" s="521"/>
      <c r="L15" s="291"/>
    </row>
    <row r="16" spans="2:11" ht="47.25" customHeight="1">
      <c r="B16" s="518" t="s">
        <v>425</v>
      </c>
      <c r="C16" s="519"/>
      <c r="D16" s="519"/>
      <c r="E16" s="519"/>
      <c r="F16" s="519"/>
      <c r="G16" s="519"/>
      <c r="H16" s="519"/>
      <c r="I16" s="519"/>
      <c r="J16" s="519"/>
      <c r="K16" s="519"/>
    </row>
    <row r="21" spans="5:6" ht="10.5" hidden="1">
      <c r="E21" s="272" t="s">
        <v>315</v>
      </c>
      <c r="F21" s="272" t="s">
        <v>316</v>
      </c>
    </row>
    <row r="22" spans="5:7" ht="9.75" hidden="1">
      <c r="E22" s="273" t="s">
        <v>8</v>
      </c>
      <c r="F22" s="274" t="s">
        <v>8</v>
      </c>
      <c r="G22" s="274"/>
    </row>
    <row r="23" spans="5:7" ht="9.75" hidden="1">
      <c r="E23" s="273" t="s">
        <v>313</v>
      </c>
      <c r="F23" s="274" t="s">
        <v>44</v>
      </c>
      <c r="G23" s="274"/>
    </row>
    <row r="24" spans="5:7" ht="9.75" hidden="1">
      <c r="E24" s="273" t="s">
        <v>332</v>
      </c>
      <c r="F24" s="274" t="s">
        <v>45</v>
      </c>
      <c r="G24" s="274"/>
    </row>
    <row r="25" spans="5:7" ht="9.75" hidden="1">
      <c r="E25" s="273" t="s">
        <v>335</v>
      </c>
      <c r="F25" s="274" t="s">
        <v>1</v>
      </c>
      <c r="G25" s="274"/>
    </row>
    <row r="26" spans="5:7" ht="9.75" hidden="1">
      <c r="E26" s="273" t="s">
        <v>314</v>
      </c>
      <c r="F26" s="274" t="s">
        <v>2</v>
      </c>
      <c r="G26" s="274"/>
    </row>
    <row r="27" spans="5:7" ht="9.75" hidden="1">
      <c r="E27" s="273">
        <v>1</v>
      </c>
      <c r="F27" s="274" t="s">
        <v>81</v>
      </c>
      <c r="G27" s="274"/>
    </row>
    <row r="28" spans="5:6" ht="9.75" hidden="1">
      <c r="E28" s="273">
        <v>2</v>
      </c>
      <c r="F28" s="274" t="s">
        <v>81</v>
      </c>
    </row>
    <row r="29" spans="5:6" ht="9.75" hidden="1">
      <c r="E29" s="273">
        <v>3</v>
      </c>
      <c r="F29" s="274" t="s">
        <v>81</v>
      </c>
    </row>
    <row r="30" spans="5:6" ht="9.75" hidden="1">
      <c r="E30" s="273">
        <v>4</v>
      </c>
      <c r="F30" s="274" t="s">
        <v>81</v>
      </c>
    </row>
    <row r="31" spans="5:6" ht="9.75" hidden="1">
      <c r="E31" s="273">
        <v>5</v>
      </c>
      <c r="F31" s="274" t="s">
        <v>81</v>
      </c>
    </row>
    <row r="32" spans="5:6" ht="9.75" hidden="1">
      <c r="E32" s="273">
        <v>6</v>
      </c>
      <c r="F32" s="274" t="s">
        <v>81</v>
      </c>
    </row>
    <row r="33" spans="5:6" ht="9.75" hidden="1">
      <c r="E33" s="273">
        <v>7</v>
      </c>
      <c r="F33" s="274" t="s">
        <v>81</v>
      </c>
    </row>
    <row r="34" spans="5:6" ht="9.75" hidden="1">
      <c r="E34" s="273">
        <v>8</v>
      </c>
      <c r="F34" s="274" t="s">
        <v>81</v>
      </c>
    </row>
    <row r="35" spans="5:6" ht="9.75" hidden="1">
      <c r="E35" s="273">
        <v>9</v>
      </c>
      <c r="F35" s="274" t="s">
        <v>67</v>
      </c>
    </row>
    <row r="36" spans="5:6" ht="9.75" hidden="1">
      <c r="E36" s="273">
        <v>10</v>
      </c>
      <c r="F36" s="274" t="s">
        <v>67</v>
      </c>
    </row>
    <row r="37" spans="5:6" ht="9.75" hidden="1">
      <c r="E37" s="273">
        <v>11</v>
      </c>
      <c r="F37" s="274" t="s">
        <v>67</v>
      </c>
    </row>
    <row r="38" spans="5:6" ht="9.75" hidden="1">
      <c r="E38" s="273">
        <v>12</v>
      </c>
      <c r="F38" s="274" t="s">
        <v>67</v>
      </c>
    </row>
  </sheetData>
  <sheetProtection password="B7B0" sheet="1" formatRows="0"/>
  <mergeCells count="11">
    <mergeCell ref="A1:K1"/>
    <mergeCell ref="A2:K2"/>
    <mergeCell ref="A3:K3"/>
    <mergeCell ref="A4:K4"/>
    <mergeCell ref="A5:I5"/>
    <mergeCell ref="A6:I6"/>
    <mergeCell ref="B16:K16"/>
    <mergeCell ref="B15:K15"/>
    <mergeCell ref="B7:G7"/>
    <mergeCell ref="K7:K8"/>
    <mergeCell ref="H7:J7"/>
  </mergeCells>
  <dataValidations count="7">
    <dataValidation type="list" allowBlank="1" showInputMessage="1" showErrorMessage="1" sqref="G9">
      <formula1>"MPCP,RPCP,WPCP"</formula1>
    </dataValidation>
    <dataValidation type="whole" allowBlank="1" showInputMessage="1" showErrorMessage="1" sqref="J5">
      <formula1>0</formula1>
      <formula2>100</formula2>
    </dataValidation>
    <dataValidation type="list" allowBlank="1" showInputMessage="1" showErrorMessage="1" sqref="J6">
      <formula1>"Yes,No"</formula1>
    </dataValidation>
    <dataValidation type="list" allowBlank="1" showDropDown="1" showInputMessage="1" showErrorMessage="1" prompt="Insert W if this pupil is on DPl's waiting list." sqref="C9:C13">
      <formula1>"W,w"</formula1>
    </dataValidation>
    <dataValidation type="list" allowBlank="1" showInputMessage="1" showErrorMessage="1" sqref="G10:G13">
      <formula1>"MPCP,WPCP,RPCP"</formula1>
    </dataValidation>
    <dataValidation type="list" allowBlank="1" showInputMessage="1" showErrorMessage="1" sqref="B9:B13 H9:H13">
      <formula1>"K4, K5-0.5 FTE,K5-0.6 FTE, K5-0.8 FTE, K5-1.0 FTE,1,2,3,4,5,6,7,8,9,10,11,12"</formula1>
    </dataValidation>
    <dataValidation type="whole" allowBlank="1" showInputMessage="1" showErrorMessage="1" error="This is not a valid Application ID. Please enter the Application ID for the pupil. The Family ID should not be entered in this column." sqref="D9:D13">
      <formula1>600000</formula1>
      <formula2>900000</formula2>
    </dataValidation>
  </dataValidations>
  <printOptions horizontalCentered="1"/>
  <pageMargins left="0.5" right="0.5" top="0.5" bottom="0.5" header="0.3" footer="0.3"/>
  <pageSetup fitToHeight="100" fitToWidth="1" horizontalDpi="600" verticalDpi="600" orientation="landscape" scale="82" r:id="rId1"/>
  <headerFooter>
    <oddHeader>&amp;L&amp;"Arial,Regular"&amp;8Page 6
&amp;R&amp;"Arial,Regular"&amp;8PI-PCP-106 (5 Lines)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PI-MPCP-11 (70 Lines) Enrollment Audit for February and May 2011 Payment Eligibility as of January 14, 2011</dc:title>
  <dc:subject/>
  <dc:creator>Andrea Kratz</dc:creator>
  <cp:keywords>MPCP-11,Enrollment Audit,Payment</cp:keywords>
  <dc:description/>
  <cp:lastModifiedBy>Kohanski, Douglas A. DPI</cp:lastModifiedBy>
  <cp:lastPrinted>2022-03-04T20:46:48Z</cp:lastPrinted>
  <dcterms:created xsi:type="dcterms:W3CDTF">2009-04-21T15:59:52Z</dcterms:created>
  <dcterms:modified xsi:type="dcterms:W3CDTF">2022-03-04T20:47:08Z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