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35" tabRatio="875"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s>
  <definedNames>
    <definedName name="_xlnm._FilterDatabase" localSheetId="11" hidden="1">'Counts'!$A$1:$AD$98</definedName>
    <definedName name="_xlfn.COUNTIFS" hidden="1">#NAME?</definedName>
    <definedName name="_xlfn.SUMIFS" hidden="1">#NAME?</definedName>
    <definedName name="Last_Row" localSheetId="4">IF(Values_Entered,Header_Row+Number_of_Payments,Header_Row)</definedName>
    <definedName name="Last_Row" localSheetId="7">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Page'!$A$1:$E$28</definedName>
    <definedName name="_xlnm.Print_Area" localSheetId="2">'Error Report'!$A$1:$E$27</definedName>
    <definedName name="_xlnm.Print_Area" localSheetId="0">'Excel Instructions'!$A$1:$J$58</definedName>
    <definedName name="_xlnm.Print_Area" localSheetId="3">'Schedule 1-1'!$A$1:$I$29</definedName>
    <definedName name="_xlnm.Print_Area" localSheetId="4">'Schedule 1-2'!$A$1:$J$30</definedName>
    <definedName name="_xlnm.Print_Area" localSheetId="5">'Schedule 2'!$A$1:$H$20</definedName>
    <definedName name="_xlnm.Print_Area" localSheetId="7">'Schedule 3'!$A$1:$M$22</definedName>
    <definedName name="_xlnm.Print_Area" localSheetId="8">'Schedule 4'!$A$1:$H$19</definedName>
    <definedName name="_xlnm.Print_Area" localSheetId="9">'Schedule 5'!$A$1:$I$17</definedName>
    <definedName name="_xlnm.Print_Area" localSheetId="10">'Schedule 6'!$A$1:$H$39</definedName>
    <definedName name="Print_Area_Reset" localSheetId="4">OFFSET(Full_Print,0,0,'Schedule 1-2'!Last_Row)</definedName>
    <definedName name="Print_Area_Reset" localSheetId="7">OFFSET(Full_Print,0,0,'Schedule 3'!Last_Row)</definedName>
    <definedName name="Print_Area_Reset" localSheetId="10">OFFSET(Full_Print,0,0,'Schedule 6'!Last_Row)</definedName>
    <definedName name="Print_Area_Reset">OFFSET(Full_Print,0,0,Last_Row)</definedName>
    <definedName name="_xlnm.Print_Titles" localSheetId="5">'Schedule 2'!$6:$7</definedName>
    <definedName name="_xlnm.Print_Titles" localSheetId="7">'Schedule 3'!$7:$8</definedName>
    <definedName name="_xlnm.Print_Titles" localSheetId="8">'Schedule 4'!$6:$6</definedName>
    <definedName name="Z_BA70B234_CE18_4574_B592_7648709AF994_.wvu.PrintArea" localSheetId="2" hidden="1">'Error Report'!$A$1:$D$18</definedName>
  </definedNames>
  <calcPr fullCalcOnLoad="1"/>
</workbook>
</file>

<file path=xl/comments3.xml><?xml version="1.0" encoding="utf-8"?>
<comments xmlns="http://schemas.openxmlformats.org/spreadsheetml/2006/main">
  <authors>
    <author>Dennis Hanson</author>
  </authors>
  <commentList>
    <comment ref="A11" authorId="0">
      <text>
        <r>
          <rPr>
            <b/>
            <sz val="8"/>
            <rFont val="Arial"/>
            <family val="2"/>
          </rPr>
          <t xml:space="preserve">PUPILS WITH CORRECTIONS
</t>
        </r>
        <r>
          <rPr>
            <sz val="8"/>
            <rFont val="Arial"/>
            <family val="2"/>
          </rPr>
          <t>The number of pupils that required corrections but did not require a change to DPI's data must be included at the top of Schedule 3.  If there were none, 0 must be entered in the cell.</t>
        </r>
      </text>
    </comment>
    <comment ref="A9" authorId="0">
      <text>
        <r>
          <rPr>
            <b/>
            <sz val="8"/>
            <rFont val="Arial"/>
            <family val="2"/>
          </rPr>
          <t xml:space="preserve">ALL PUPIL COUNT
</t>
        </r>
        <r>
          <rPr>
            <sz val="8"/>
            <rFont val="Arial"/>
            <family val="2"/>
          </rPr>
          <t>The All Pupil Count must be at least as much as the SNSP pupil count for each category.  Review Schedule 1-1 to determine which categories do not meet this requirement.</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scholarship type. The total line on Schedule 2 can be used to identify which column does not equal the remaining columns.</t>
        </r>
      </text>
    </comment>
    <comment ref="A17" authorId="0">
      <text>
        <r>
          <rPr>
            <b/>
            <sz val="8"/>
            <rFont val="Arial"/>
            <family val="2"/>
          </rPr>
          <t xml:space="preserve">PUPIL CHANGES ARE COMPLETED
</t>
        </r>
        <r>
          <rPr>
            <sz val="8"/>
            <rFont val="Arial"/>
            <family val="2"/>
          </rPr>
          <t>Pupil data is not complete on Schedule 3. Review the data on Schedule 3 to ensure data has been completed for each pupil listed including grade, app #, pupil first name, pupil last name, and scholarship type. The total line on Schedule 3 can be used to identify which column does not equal the remaining columns.</t>
        </r>
      </text>
    </comment>
    <comment ref="A21"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scholarship type, and required correction(s) to DPI's data. The total line on Schedule 4 can be used to identify which column does not equal the remaining columns.</t>
        </r>
      </text>
    </comment>
    <comment ref="A23" authorId="0">
      <text>
        <r>
          <rPr>
            <b/>
            <sz val="8"/>
            <rFont val="Arial"/>
            <family val="2"/>
          </rPr>
          <t xml:space="preserve">SUMMER SCHOOL REQUIREMENTS MET
</t>
        </r>
        <r>
          <rPr>
            <sz val="8"/>
            <rFont val="Arial"/>
            <family val="2"/>
          </rPr>
          <t>On Schedule 6, indicate if the summer school program had at least 19 days that had at least 270 minutes of non-Title I instruction.  If the school did not participate in SNSP summer school or have any SNSP summer school pupils, N/A must be entered.</t>
        </r>
      </text>
    </comment>
    <comment ref="A25" authorId="0">
      <text>
        <r>
          <rPr>
            <b/>
            <sz val="8"/>
            <rFont val="Arial"/>
            <family val="2"/>
          </rPr>
          <t xml:space="preserve">SUMMER SCHOOL CHANGES
</t>
        </r>
        <r>
          <rPr>
            <sz val="8"/>
            <rFont val="Arial"/>
            <family val="2"/>
          </rPr>
          <t>On Schedule 6, indicate if the school had changes to the summer school pupil counts.  If the school did not participate in SNSP summer school or have any SNSP summer school pupils, N/A must be entered.</t>
        </r>
      </text>
    </comment>
    <comment ref="A27" authorId="0">
      <text>
        <r>
          <rPr>
            <b/>
            <sz val="8"/>
            <rFont val="Arial"/>
            <family val="2"/>
          </rPr>
          <t xml:space="preserve">SUMMER SCHOOL INFORMATION COMPLETED
</t>
        </r>
        <r>
          <rPr>
            <sz val="8"/>
            <rFont val="Arial"/>
            <family val="2"/>
          </rPr>
          <t>For each pupil on the Summer School Schedule 6, there must be a grade, application #, pupil first name, pupil last name, scholarship type, reported days attended, and audited days attended.  There are three columns to the right of each line that indicate if required information is complete.  Resolve any items that have a "No" in the error columns.</t>
        </r>
      </text>
    </comment>
    <comment ref="A19" authorId="0">
      <text>
        <r>
          <rPr>
            <b/>
            <sz val="8"/>
            <rFont val="Arial"/>
            <family val="2"/>
          </rPr>
          <t xml:space="preserve">SCHOLARSHIP TYPE CHANGE
</t>
        </r>
        <r>
          <rPr>
            <sz val="8"/>
            <rFont val="Arial"/>
            <family val="2"/>
          </rPr>
          <t>The corrected grade must be identified in the audited columns for any scholarship type change.  Add the corrected grade for all scholarship type changes in Schedule 3 to correct this error.</t>
        </r>
      </text>
    </comment>
  </commentList>
</comments>
</file>

<file path=xl/sharedStrings.xml><?xml version="1.0" encoding="utf-8"?>
<sst xmlns="http://schemas.openxmlformats.org/spreadsheetml/2006/main" count="650" uniqueCount="404">
  <si>
    <t>Total All Pupils</t>
  </si>
  <si>
    <t>Ineligible Pupils</t>
  </si>
  <si>
    <t>Variance</t>
  </si>
  <si>
    <t>K4</t>
  </si>
  <si>
    <t>K5</t>
  </si>
  <si>
    <t>Reason 1</t>
  </si>
  <si>
    <t>Reason 2</t>
  </si>
  <si>
    <t>Reason 3</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</si>
  <si>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</si>
  <si>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</si>
  <si>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</si>
  <si>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</si>
  <si>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</si>
  <si>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</si>
  <si>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</si>
  <si>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</si>
  <si>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</si>
  <si>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</si>
  <si>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</si>
  <si>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</si>
  <si>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</si>
  <si>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</si>
  <si>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</si>
  <si>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</si>
  <si>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</si>
  <si>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</si>
  <si>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</si>
  <si>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</si>
  <si>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</si>
  <si>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</si>
  <si>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</si>
  <si>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</si>
  <si>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Reason 26</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</si>
  <si>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</si>
  <si>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</si>
  <si>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</si>
  <si>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</si>
  <si>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</si>
  <si>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</si>
  <si>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</si>
  <si>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</si>
  <si>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</si>
  <si>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</si>
  <si>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Per DPI</t>
  </si>
  <si>
    <t>Per Examination</t>
  </si>
  <si>
    <t>Line</t>
  </si>
  <si>
    <t>All Pupils</t>
  </si>
  <si>
    <t>?</t>
  </si>
  <si>
    <t>Error Report</t>
  </si>
  <si>
    <t>Read (?) For Information</t>
  </si>
  <si>
    <t>Correct Any Indicated Errors Before Filing with the DPI</t>
  </si>
  <si>
    <t>Racine Parental Choice Program (RPCP)</t>
  </si>
  <si>
    <t>Milwaukee Parental Choice Program (MPCP)</t>
  </si>
  <si>
    <t>Wisconsin Parental Choice Program (WPCP)</t>
  </si>
  <si>
    <t>School City</t>
  </si>
  <si>
    <t xml:space="preserve">1) The student did not attend either on, or before and after the count date. </t>
  </si>
  <si>
    <t>General Application</t>
  </si>
  <si>
    <t>Attendance &amp; Age</t>
  </si>
  <si>
    <t>Milwaukee</t>
  </si>
  <si>
    <t>Concordia Lutheran School</t>
  </si>
  <si>
    <t>Racine</t>
  </si>
  <si>
    <t>Heritage Christian Schools</t>
  </si>
  <si>
    <t>Lighthouse Christian School</t>
  </si>
  <si>
    <t>Saint Marcus Lutheran School</t>
  </si>
  <si>
    <t>Tamarack Waldorf School</t>
  </si>
  <si>
    <t>Wells Street Academy</t>
  </si>
  <si>
    <t>Granville Lutheran School</t>
  </si>
  <si>
    <t>Milwaukee Lutheran High School</t>
  </si>
  <si>
    <r>
      <t xml:space="preserve">Name of SNSP Administrator of Record </t>
    </r>
    <r>
      <rPr>
        <i/>
        <sz val="8"/>
        <rFont val="Arial"/>
        <family val="2"/>
      </rPr>
      <t>Typed</t>
    </r>
  </si>
  <si>
    <t>ENROLLMENT COUNT—SNSP PUPILS</t>
  </si>
  <si>
    <t>Total SNSP Pupils</t>
  </si>
  <si>
    <t>Line Description</t>
  </si>
  <si>
    <t>4 Year-Old K/437 Hours (.5 FTE)</t>
  </si>
  <si>
    <t>4 Year-Old K/437 Hours + 87.5 Hours Outreach (.6 FTE)</t>
  </si>
  <si>
    <t>5 Year-Old K/.5 Day (.5 FTE)</t>
  </si>
  <si>
    <t>5 Year-Old K/3 Day (.6 FTE)</t>
  </si>
  <si>
    <t>5 Year-Old K/4 Day (.8 FTE)</t>
  </si>
  <si>
    <t>5 Year-Old K/5 Day (1.0 FTE)</t>
  </si>
  <si>
    <t>App #</t>
  </si>
  <si>
    <t>SNSP Pupils</t>
  </si>
  <si>
    <t>K4 PARENTAL OUTREACH</t>
  </si>
  <si>
    <t>FTE</t>
  </si>
  <si>
    <t>All Pupil Count Exceeds SNSP Pupil Count</t>
  </si>
  <si>
    <t>Sturtevant</t>
  </si>
  <si>
    <t>Divine Redeemer Lutheran School</t>
  </si>
  <si>
    <t>Hartland</t>
  </si>
  <si>
    <t>New Berlin</t>
  </si>
  <si>
    <t>Holy Family School</t>
  </si>
  <si>
    <t>Whitefish Bay</t>
  </si>
  <si>
    <t>Medford</t>
  </si>
  <si>
    <t>Brookfield</t>
  </si>
  <si>
    <t>Lake Country Lutheran High School</t>
  </si>
  <si>
    <t>Madison</t>
  </si>
  <si>
    <t>Lutheran Special School &amp; Education Services</t>
  </si>
  <si>
    <t>Greendale</t>
  </si>
  <si>
    <t>Montessori School of Waukesha</t>
  </si>
  <si>
    <t>Waukesha</t>
  </si>
  <si>
    <t>Northwest Lutheran School</t>
  </si>
  <si>
    <t>Pius XI Catholic High School</t>
  </si>
  <si>
    <t>Saint Coletta Day School</t>
  </si>
  <si>
    <t>Saint Martini Lutheran School</t>
  </si>
  <si>
    <t>Sheboygan</t>
  </si>
  <si>
    <t>All Pupil 4K (.5)</t>
  </si>
  <si>
    <t>All Pupil 4K (.6)</t>
  </si>
  <si>
    <t>All Pupil 5K (.5)</t>
  </si>
  <si>
    <t>All Pupil 5K (1.0)</t>
  </si>
  <si>
    <t>All Pupil Grades 1-12</t>
  </si>
  <si>
    <t>All Pupil 5K (.6)</t>
  </si>
  <si>
    <t>All Pupil 5K (.8)</t>
  </si>
  <si>
    <t>Outreach Change</t>
  </si>
  <si>
    <t>Scholarship Type</t>
  </si>
  <si>
    <t>General Application/Transfer Request Form</t>
  </si>
  <si>
    <t>4 Year-Old K/437 Hours</t>
  </si>
  <si>
    <t>4 Year-Old K/437 Hours + 87.5 Hours Outreach</t>
  </si>
  <si>
    <t>5 Year-Old K/.5 Day</t>
  </si>
  <si>
    <t>5 Year-Old K/3 Day</t>
  </si>
  <si>
    <t>5 Year-Old K/4 Day</t>
  </si>
  <si>
    <t>5 Year-Old K/5 Day</t>
  </si>
  <si>
    <t>Grades 1-8</t>
  </si>
  <si>
    <t>Grades 9-12</t>
  </si>
  <si>
    <t>ENROLLMENT COUNT—FULL SCHOLARSHIP PUPILS</t>
  </si>
  <si>
    <t>ENROLLMENT COUNT—PARTIAL SCHOLARSHIP PUPILS</t>
  </si>
  <si>
    <t>Schedule 1-2:  SNSP Pupil Enrollment Count Schedule</t>
  </si>
  <si>
    <t>Total Full Scholarship Pupils</t>
  </si>
  <si>
    <t>Total Partial Scholarship Pupils</t>
  </si>
  <si>
    <t>Grades 1-12</t>
  </si>
  <si>
    <t>Full Scholarship</t>
  </si>
  <si>
    <t>Pupil Count</t>
  </si>
  <si>
    <t>Partial Scholarship</t>
  </si>
  <si>
    <t>Total</t>
  </si>
  <si>
    <t>Schedule 1-1:  Pupil Enrollment Count Schedule</t>
  </si>
  <si>
    <t>Hales Corners</t>
  </si>
  <si>
    <t>Saint Mary's Springs Academy</t>
  </si>
  <si>
    <t>Fond du Lac</t>
  </si>
  <si>
    <t>Menomonee Falls</t>
  </si>
  <si>
    <t>3. Schedule 1-1: K4 parental outreach question not answered</t>
  </si>
  <si>
    <t>INELIGIBILITY REASONS 
The following is a summary listing of the reasons a pupil may be ineligible. This listing corresponds with the reasons on Schedule 2. The last two reasons may be used if no other reason is applicable.</t>
  </si>
  <si>
    <t>1. Schedule 1-1: The All Pupil count is greater than the SNSP pupil count for one or more FTE categories</t>
  </si>
  <si>
    <t>Transfer Request Ineligibility Reasons</t>
  </si>
  <si>
    <t>Transfer Requests</t>
  </si>
  <si>
    <t>Email Address</t>
  </si>
  <si>
    <t>Include This Page Immediately Behind the Cover Page</t>
  </si>
  <si>
    <t>TOTAL HEADCOUNT AND FTE</t>
  </si>
  <si>
    <t>Wauwatosa</t>
  </si>
  <si>
    <r>
      <rPr>
        <sz val="8"/>
        <rFont val="Arial"/>
        <family val="2"/>
      </rPr>
      <t xml:space="preserve">SNSP Administrator Signature </t>
    </r>
    <r>
      <rPr>
        <i/>
        <sz val="8"/>
        <rFont val="Arial"/>
        <family val="2"/>
      </rPr>
      <t>Designee not Permitted</t>
    </r>
  </si>
  <si>
    <t>Attendance and Age</t>
  </si>
  <si>
    <t xml:space="preserve">2) The student had a break in attendance. </t>
  </si>
  <si>
    <t xml:space="preserve">3) The student is too old to participate in the program. </t>
  </si>
  <si>
    <t xml:space="preserve">4) Student is too young for the grade he or she attended. </t>
  </si>
  <si>
    <t xml:space="preserve">5) The student is listed as the parent/guardian on the application or transfer request form but is not eligible to apply themselves. </t>
  </si>
  <si>
    <t xml:space="preserve">6) The school does not have an application or transfer request form, as applicable, on file. </t>
  </si>
  <si>
    <t xml:space="preserve">7) Sections of the paper application or transfer request form were not properly completed or corrected. </t>
  </si>
  <si>
    <t xml:space="preserve">8) The application or transfer request form was missing the date application/transfer request received, parent/guardian signature, or parent/guardian date signed. </t>
  </si>
  <si>
    <t xml:space="preserve">9) The individual who signed the application or transfer request form was not the SNSP administrator or a designee at the time the application or transfer request was approved. </t>
  </si>
  <si>
    <t>Pupil Grade Changes</t>
  </si>
  <si>
    <t>Pupil Additions</t>
  </si>
  <si>
    <t xml:space="preserve"> 
Pupil First Name</t>
  </si>
  <si>
    <t xml:space="preserve"> 
Pupil Last Name</t>
  </si>
  <si>
    <t xml:space="preserve"> Pupil First Name</t>
  </si>
  <si>
    <t xml:space="preserve"> Pupil Last Name</t>
  </si>
  <si>
    <t>Grade</t>
  </si>
  <si>
    <t>Source is data per DPI Pupil Information Report</t>
  </si>
  <si>
    <t>Corrected Grade</t>
  </si>
  <si>
    <t>Corrected Pupil First Name</t>
  </si>
  <si>
    <t>Corrected Pupil Last Name</t>
  </si>
  <si>
    <t>Audited Grade</t>
  </si>
  <si>
    <t xml:space="preserve"> 
Audited Pupil First Name</t>
  </si>
  <si>
    <t xml:space="preserve"> 
Audited Pupil Last Name</t>
  </si>
  <si>
    <t>FINAL DETERMINATION OF WHETHER THE PUPIL IS ELIGIBILE FOR THE SNSP IS MADE BY THE DPI.</t>
  </si>
  <si>
    <t>Grade Changed</t>
  </si>
  <si>
    <t xml:space="preserve">SUMMER SCHOOL PUPIL CHANGES </t>
  </si>
  <si>
    <t>Error Check</t>
  </si>
  <si>
    <t>Summer School Grade</t>
  </si>
  <si>
    <t>Grade Grouping</t>
  </si>
  <si>
    <t>Reported Days Attended</t>
  </si>
  <si>
    <t>Audited Days Attended</t>
  </si>
  <si>
    <t>Student Information Missing</t>
  </si>
  <si>
    <t>Reported Days Attended Missing</t>
  </si>
  <si>
    <t>Audited Days Attended Missing</t>
  </si>
  <si>
    <t>Audited Payment Difference</t>
  </si>
  <si>
    <t>HC Added to Count</t>
  </si>
  <si>
    <t>HC Removed from Count</t>
  </si>
  <si>
    <t>Grades K-8</t>
  </si>
  <si>
    <t>Grade Selected</t>
  </si>
  <si>
    <t>Grade Category</t>
  </si>
  <si>
    <t>Ln</t>
  </si>
  <si>
    <t>Headcount Removed</t>
  </si>
  <si>
    <t>Headcount Added</t>
  </si>
  <si>
    <t>Reported Headcount</t>
  </si>
  <si>
    <t>Audited Payment</t>
  </si>
  <si>
    <t>Original Payment</t>
  </si>
  <si>
    <t xml:space="preserve"> Adjustment Calculation (for informational purposes only)</t>
  </si>
  <si>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</si>
  <si>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Full</t>
  </si>
  <si>
    <t>Totals</t>
  </si>
  <si>
    <t>4. Schedule 2: Required information for pupils has not been completed</t>
  </si>
  <si>
    <t>5. Schedule 3: Required information for pupils has not been completed</t>
  </si>
  <si>
    <t>Schedule 2:  Ineligible Pupils</t>
  </si>
  <si>
    <t>Schedule 3: Applications Requiring Corrections</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</si>
  <si>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SNSP summer school. </t>
    </r>
  </si>
  <si>
    <t>Partial Grades K-8</t>
  </si>
  <si>
    <t>Partial Grades 9-12</t>
  </si>
  <si>
    <t>Schedule 6:  Summer School</t>
  </si>
  <si>
    <t>School Name with City Choice Match</t>
  </si>
  <si>
    <t>City-Mail</t>
  </si>
  <si>
    <t>Aquinas High</t>
  </si>
  <si>
    <t>La Crosse</t>
  </si>
  <si>
    <t>Aquinas Middle</t>
  </si>
  <si>
    <t>Beautiful Savior Lutheran School</t>
  </si>
  <si>
    <t>Bethlehem Evangelical Lutheran School</t>
  </si>
  <si>
    <t>Blessed Sacrament Elementary</t>
  </si>
  <si>
    <t>Cathedral Elementary</t>
  </si>
  <si>
    <t>Central Wisconsin Christian School</t>
  </si>
  <si>
    <t>Waupun</t>
  </si>
  <si>
    <t>Christ St. Peter Lutheran School</t>
  </si>
  <si>
    <t>Cross Trainers Academy</t>
  </si>
  <si>
    <t>Fort Atkinson</t>
  </si>
  <si>
    <t>Divine Savior Catholic School</t>
  </si>
  <si>
    <t>Kiel</t>
  </si>
  <si>
    <t>Good Shepherd Evangelical Lutheran School - West Bend</t>
  </si>
  <si>
    <t>West Bend</t>
  </si>
  <si>
    <t>High Point Christian School</t>
  </si>
  <si>
    <t>Hillel Academy</t>
  </si>
  <si>
    <t>Holy Ghost Elementary School</t>
  </si>
  <si>
    <t>Chippewa Falls</t>
  </si>
  <si>
    <t>Holy Rosary Catholic School - Medford</t>
  </si>
  <si>
    <t>Immanuel Lutheran School - Brookfield</t>
  </si>
  <si>
    <t>Kettle Moraine Lutheran High School</t>
  </si>
  <si>
    <t>Jackson</t>
  </si>
  <si>
    <t>Mary Queen of Saints Catholic Academy</t>
  </si>
  <si>
    <t>West Allis</t>
  </si>
  <si>
    <t>Messmer Catholic Schools</t>
  </si>
  <si>
    <t>Newman Catholic Elementary School - Rothschild</t>
  </si>
  <si>
    <t>Wausau</t>
  </si>
  <si>
    <t>Newman Catholic Elementary School - Wausau</t>
  </si>
  <si>
    <t>Newman Catholic High</t>
  </si>
  <si>
    <t>Newman Catholic Middle</t>
  </si>
  <si>
    <t>Northwest Catholic School</t>
  </si>
  <si>
    <t>Notre Dame de la Baie Academy</t>
  </si>
  <si>
    <t>Green Bay</t>
  </si>
  <si>
    <t>Notre Dame School of Milwaukee</t>
  </si>
  <si>
    <t>Pilgrim Lutheran School - Wauwatosa</t>
  </si>
  <si>
    <t>Prince of Peace</t>
  </si>
  <si>
    <t>Randolph Christian School Society, Inc.</t>
  </si>
  <si>
    <t>Randolph</t>
  </si>
  <si>
    <t>Roncalli High School</t>
  </si>
  <si>
    <t>Manitowoc</t>
  </si>
  <si>
    <t>Saint Augustine Preparatory Academy - Milwaukee</t>
  </si>
  <si>
    <t>Saint John XXIII Catholic School - Port Washington</t>
  </si>
  <si>
    <t>Port Washington</t>
  </si>
  <si>
    <t>Saint Joseph Catholic Academy - Kenosha</t>
  </si>
  <si>
    <t>Kenosha</t>
  </si>
  <si>
    <t>Saint Lucas Lutheran School</t>
  </si>
  <si>
    <t>Saint Patricks Elementary</t>
  </si>
  <si>
    <t>Saint Paul Lutheran School - Luxemburg</t>
  </si>
  <si>
    <t>Luxemburg</t>
  </si>
  <si>
    <t>Saint Paul Lutheran School - Sheboygan</t>
  </si>
  <si>
    <t>Saint Rafael the Archangel School</t>
  </si>
  <si>
    <t>Saint Thomas Aquinas Academy - Milwaukee</t>
  </si>
  <si>
    <t>Shining Star Christian Schools, Inc.</t>
  </si>
  <si>
    <t>Shoreland Lutheran High School</t>
  </si>
  <si>
    <t>Somers</t>
  </si>
  <si>
    <t>Stevens Point Christian Academy</t>
  </si>
  <si>
    <t>Stevens Point</t>
  </si>
  <si>
    <t>Torah Academy of Milwaukee</t>
  </si>
  <si>
    <t>Glendale</t>
  </si>
  <si>
    <t>Winnebago Lutheran Academy</t>
  </si>
  <si>
    <t>Zion Lutheran School - Menomonee Falls</t>
  </si>
  <si>
    <t>Full 4K (.5)</t>
  </si>
  <si>
    <t>Full 4K (.6)</t>
  </si>
  <si>
    <t>Full 5K (.5)</t>
  </si>
  <si>
    <t>Full 5K (.6)</t>
  </si>
  <si>
    <t>Full 5K (.8)</t>
  </si>
  <si>
    <t>Full 5K (1.0)</t>
  </si>
  <si>
    <t>Full Grades 1-8</t>
  </si>
  <si>
    <t>Full Grades 9-12</t>
  </si>
  <si>
    <t>Partial 4K (.5)</t>
  </si>
  <si>
    <t>Partial 4K (.6)</t>
  </si>
  <si>
    <t>Partial 5K (.5)</t>
  </si>
  <si>
    <t>Partial 5K (.6)</t>
  </si>
  <si>
    <t>Partial 5K (.8)</t>
  </si>
  <si>
    <t>Partial 5K (1.0)</t>
  </si>
  <si>
    <t>Partial Grades 1-8</t>
  </si>
  <si>
    <t>All Pupil Headcount</t>
  </si>
  <si>
    <t>All Pupil FTE</t>
  </si>
  <si>
    <t>The total counts below will automatically update based on the SNSP pupil counts in Schedule 1-2. The "Per Examination" count is the "Per DPI" count minus "Ineligible Pupils" plus "Pupil Grade Changes" plus "Pupil Additions". Final determination regarding the eligibility of such pupils is made by the DPI.</t>
  </si>
  <si>
    <r>
      <rPr>
        <b/>
        <sz val="8"/>
        <rFont val="Arial"/>
        <family val="2"/>
      </rPr>
      <t>I HEREBY CERTIFY</t>
    </r>
    <r>
      <rPr>
        <sz val="8"/>
        <rFont val="Arial"/>
        <family val="2"/>
      </rPr>
      <t>, as the SNSP administrator, that I have reviewed and accepted the enrollment information contained in this report on behalf of the school's operating organization, except as discussed in my attached letter. I have provided the auditor with the complete applications, transfer requests, and supplemental information for students on Schedule 2 (ineligible pupils), Schedule 3 (applications requiring corrections) and Schedule 4 (pupil additions).</t>
    </r>
  </si>
  <si>
    <r>
      <t xml:space="preserve">Has the school provided or will it provide by the end of the school year at least 87.5 hours of permitted K4 parental outreach activities? </t>
    </r>
    <r>
      <rPr>
        <i/>
        <sz val="8"/>
        <color indexed="8"/>
        <rFont val="Arial"/>
        <family val="2"/>
      </rPr>
      <t>If the school does not have K4 students, insert N/A.</t>
    </r>
  </si>
  <si>
    <t>2. Schedule 3: The box requiring the number of eligible pupils where the auditor identified required correction(s) but DPI's information was correct was not completed</t>
  </si>
  <si>
    <t>Counted</t>
  </si>
  <si>
    <t>2) Schedule 3: Applications Requiring Corrections</t>
  </si>
  <si>
    <t>3) Schedule 4: Pupil Additions</t>
  </si>
  <si>
    <t>4) Applications with auditor identified corrections that had correct information in OAS</t>
  </si>
  <si>
    <t>FINAL DETERMINATION OF WHETHER THE PUPIL IS ELIGIBILE FOR THE SNSP IS MADE BY THE DPI.
No payment to or from the school is due until the certification of the enrollment audit by DPI.</t>
  </si>
  <si>
    <t>Summary of Results</t>
  </si>
  <si>
    <t>Scholarship Type Changed</t>
  </si>
  <si>
    <t>Scholarship Type Changes</t>
  </si>
  <si>
    <t>Corrected Scholarship Type</t>
  </si>
  <si>
    <t xml:space="preserve">10) The school did not receive the required verification that an IEP or services plan was in effect. </t>
  </si>
  <si>
    <t xml:space="preserve">11) The address is not in Wisconsin. </t>
  </si>
  <si>
    <t xml:space="preserve">12) The address is a PO Box. </t>
  </si>
  <si>
    <t xml:space="preserve">14) The residency documentation provided was: a) one of the allowed residency documents, other than a lease, that did not meet the date requirements, b) was a lease that did not include any terms or had terms that did not include the required date, or c) was a month-to-month lease that did not meet the date requirements based on the beginning date of the lease. </t>
  </si>
  <si>
    <t xml:space="preserve">15) The address on the application or transfer request form does not match the residency documentation. </t>
  </si>
  <si>
    <t xml:space="preserve">16) The parent/guardian name on the application or transfer request form does not match the residency documentation and an Alternative Residency form was not completed. </t>
  </si>
  <si>
    <t xml:space="preserve">18) The Alternative Residency form was used but was not properly completed and/or the supporting documentation required by the Alternative Residency form was not provided. </t>
  </si>
  <si>
    <t xml:space="preserve">19) The student was not eligible for a transfer because the student was determined to no longer have a disability. </t>
  </si>
  <si>
    <t xml:space="preserve">20) The student was not eligible for a transfer because the student was not continuously enrolled in a SNSP school. </t>
  </si>
  <si>
    <t xml:space="preserve">21) The school did not obtain the most recent IEP or services plan for a transfer request form. </t>
  </si>
  <si>
    <t xml:space="preserve">22) The pupil was identified as a duplicate by the auditor. </t>
  </si>
  <si>
    <t xml:space="preserve">23) The school received a payment for the student from the SNSP and the Choice program. The parent/guardian did not elect the SNSP. </t>
  </si>
  <si>
    <t xml:space="preserve">24) The school and the parent/guardian did not agree to the services to be provided by the count date. </t>
  </si>
  <si>
    <t>25) {Insert other reason as applicable. The auditor should use one of the above reasons whenever able}</t>
  </si>
  <si>
    <t>26) {Insert other reason as applicable. The auditor should use one of the above reasons whenever able}</t>
  </si>
  <si>
    <t>Schedule 4: Pupil Additions</t>
  </si>
  <si>
    <r>
      <t xml:space="preserve">Audited </t>
    </r>
    <r>
      <rPr>
        <i/>
        <sz val="8"/>
        <color indexed="8"/>
        <rFont val="Arial"/>
        <family val="2"/>
      </rPr>
      <t>Only required if grade, pupil name, and/or scholarship type changed</t>
    </r>
  </si>
  <si>
    <r>
      <t xml:space="preserve">Required Correction(s) to DPI's Data </t>
    </r>
    <r>
      <rPr>
        <i/>
        <sz val="8"/>
        <color indexed="8"/>
        <rFont val="Arial"/>
        <family val="2"/>
      </rPr>
      <t>Indicate what must be corrected and the correct information. If no changes are required please indicate "None" below.</t>
    </r>
  </si>
  <si>
    <t>►</t>
  </si>
  <si>
    <t>Scholarship Type/Grade Change</t>
  </si>
  <si>
    <t>7. Schedule 4: Required information for pupils has not been completed</t>
  </si>
  <si>
    <t>6. Schedule 3: Scholarship type change is missing corrected grade</t>
  </si>
  <si>
    <t>8. Schedule 6: Summer school program requirements question has not been answered</t>
  </si>
  <si>
    <t>9. Schedule 6: Summer school pupil changes question has not been answered</t>
  </si>
  <si>
    <t>10. Schedule 6: Summer School information is not complete</t>
  </si>
  <si>
    <t xml:space="preserve">17) Continuing Student—The parent/guardian name on the DPI Pupil Information Report does not match the residency documentation and an Alternative Residency form was not completed. </t>
  </si>
  <si>
    <r>
      <t xml:space="preserve">Required Correction(s) to DPI's Data 
</t>
    </r>
    <r>
      <rPr>
        <i/>
        <sz val="8"/>
        <color indexed="8"/>
        <rFont val="Arial"/>
        <family val="2"/>
      </rPr>
      <t xml:space="preserve">Indicate what must be corrected and the correct information. If no changes are required indicate "None" below. Note: only corrections for pupils being added should be included on this schedule.  </t>
    </r>
  </si>
  <si>
    <t>5) K4 Parental Outreach Result</t>
  </si>
  <si>
    <t>Martin Luther High School - Greendale</t>
  </si>
  <si>
    <t>1) Schedule 2: Ineligible Pupils</t>
  </si>
  <si>
    <t>Note: If a pupil has a grade change and a change in the scholarship type, the grade change will be shown in the section for the scholarship type that was identified in the DPI Pupil Information Report. The scholarship type change will be shown as a decrease to the new grade category in the previous scholarship type section and an increase in the new grade category for the new scholarship type section.</t>
  </si>
  <si>
    <t>SNSP Administrator to manually check √ here if letter attached from the school indicating anything in the Enrollment Audit that the school does not agree with. ►</t>
  </si>
  <si>
    <t>Select the school name on the cover page. The "Per DPI" numbers will then be included below. The "All Pupils" count includes all pupils meeting attendance requirements, including SNSP pupils determined to be ineligible for SNSP payment for reasons other than attendance criteria.</t>
  </si>
  <si>
    <t>Select the school name on the cover page. The "Per DPI" numbers will then be included for each scholarship type. The "Per Examination" count is the "Per DPI" count adjusted for any changes in the variance columns. Schedules 2, 3 &amp; 4 provide information regarding the SNSP pupils included under the "Variance" columns. Final determination regarding the eligibility of such pupils is made by the DPI.</t>
  </si>
  <si>
    <r>
      <t xml:space="preserve">As a result of your review, does the school have any ineligible pupils? </t>
    </r>
    <r>
      <rPr>
        <i/>
        <sz val="8"/>
        <rFont val="Arial"/>
        <family val="2"/>
      </rPr>
      <t>If yes, complete the schedule below.</t>
    </r>
  </si>
  <si>
    <r>
      <t xml:space="preserve">Number of eligible pupils where the auditor identified required correction(s) but the DPI Pupil Information Report, Application file, or Transfer Request file information was correct. </t>
    </r>
    <r>
      <rPr>
        <i/>
        <sz val="8"/>
        <color indexed="8"/>
        <rFont val="Arial"/>
        <family val="2"/>
      </rPr>
      <t>These pupils should not be included below.</t>
    </r>
  </si>
  <si>
    <r>
      <t xml:space="preserve">As a result of your review, does the school have any pupils to be added to the count? </t>
    </r>
    <r>
      <rPr>
        <i/>
        <sz val="8"/>
        <rFont val="Arial"/>
        <family val="2"/>
      </rPr>
      <t>If yes, complete the schedule below.</t>
    </r>
  </si>
  <si>
    <r>
      <t xml:space="preserve">As a result of your review, does the school have any pupils that were counted and require corrections? </t>
    </r>
    <r>
      <rPr>
        <i/>
        <sz val="8"/>
        <rFont val="Arial"/>
        <family val="2"/>
      </rPr>
      <t>If yes, complete the schedule below.</t>
    </r>
  </si>
  <si>
    <r>
      <rPr>
        <b/>
        <sz val="8"/>
        <color indexed="8"/>
        <rFont val="Arial"/>
        <family val="2"/>
      </rPr>
      <t>INSTRUCTIONS:</t>
    </r>
    <r>
      <rPr>
        <sz val="8"/>
        <color indexed="8"/>
        <rFont val="Arial"/>
        <family val="2"/>
      </rPr>
      <t xml:space="preserve">  Complete and return the report by </t>
    </r>
    <r>
      <rPr>
        <b/>
        <sz val="8"/>
        <color indexed="8"/>
        <rFont val="Arial"/>
        <family val="2"/>
      </rPr>
      <t>DECEMBER 15, 2019.</t>
    </r>
    <r>
      <rPr>
        <sz val="8"/>
        <color indexed="8"/>
        <rFont val="Arial"/>
        <family val="2"/>
      </rPr>
      <t xml:space="preserve"> Faxed forms are not accepted. 
Refer to detailed instructions on the Excel Instructions sheet.</t>
    </r>
  </si>
  <si>
    <t>6) Schedule 6: Summer School Result</t>
  </si>
  <si>
    <t>September 20, 2019 SNSP Enrollment Audit</t>
  </si>
  <si>
    <r>
      <t xml:space="preserve">The potential ineligibility reasons are listed on the "Ineligibility Reasons" tab. Determine ALL reasons the pupil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an application or transfer request listed below was audited as part of the September 2019 Enrollment Audit, </t>
    </r>
    <r>
      <rPr>
        <b/>
        <sz val="8"/>
        <color indexed="8"/>
        <rFont val="Arial"/>
        <family val="2"/>
      </rPr>
      <t>the auditor must maintain a complete copy (application or transfer request and supplemental documentation/support) in their audit working papers for DPI review</t>
    </r>
    <r>
      <rPr>
        <sz val="8"/>
        <color indexed="8"/>
        <rFont val="Arial"/>
        <family val="2"/>
      </rPr>
      <t>.</t>
    </r>
  </si>
  <si>
    <t>Grades 1-8 (1.0 FTE)</t>
  </si>
  <si>
    <t xml:space="preserve">13) A complete and signed lease agreement, utility bill or letter, government correspondence, letter from a public service agency for a homeless individual, current wage statement, W2 form, or Safe at Home card was not provided. </t>
  </si>
  <si>
    <t>Schedule 5: Headcount and FTE Per Examination</t>
  </si>
  <si>
    <t>Assumption High School</t>
  </si>
  <si>
    <t>Assumption Middle School</t>
  </si>
  <si>
    <t>Bader Hillel High, Inc.</t>
  </si>
  <si>
    <t>CERT School</t>
  </si>
  <si>
    <t>Crown of Life Christian Academy</t>
  </si>
  <si>
    <t>El Puente High School</t>
  </si>
  <si>
    <t>Immanuel Lutheran School - Wisconsin Rapids</t>
  </si>
  <si>
    <t>Living Word Lutheran High School</t>
  </si>
  <si>
    <t>McDonell Central Catholic High School</t>
  </si>
  <si>
    <t>Northeastern Wisconsin Lutheran High School - Green Bay</t>
  </si>
  <si>
    <t>Notre Dame Middle School - Chippewa Falls</t>
  </si>
  <si>
    <t>Open Wings Learning Community</t>
  </si>
  <si>
    <t>Our Lady of the Lake Catholic School</t>
  </si>
  <si>
    <t>Our Lady Queen of Heaven</t>
  </si>
  <si>
    <t>Peace Lutheran School - Hartford</t>
  </si>
  <si>
    <t>Renaissance Lutheran School</t>
  </si>
  <si>
    <t>Saint Anthony School - Milwaukee</t>
  </si>
  <si>
    <t>Saint Charles Borromeo Catholic School - Milwaukee</t>
  </si>
  <si>
    <t>Saint Charles Borromeo Primary School - Chippewa Falls</t>
  </si>
  <si>
    <t>Saint Francis Xavier Middle School</t>
  </si>
  <si>
    <t>Saint James Lutheran School - Shawano</t>
  </si>
  <si>
    <t>Saint John's Ev. Lutheran School - Sparta</t>
  </si>
  <si>
    <t>Saint John's Lutheran School - Lannon</t>
  </si>
  <si>
    <t>Saint John's Lutheran School - Newburg</t>
  </si>
  <si>
    <t>Saint Joseph Parish School - Grafton</t>
  </si>
  <si>
    <t>Saint Mark Lutheran School</t>
  </si>
  <si>
    <t>Saint Mary School - Luxemburg</t>
  </si>
  <si>
    <t>Saint Paul Lutheran School - Bonduel</t>
  </si>
  <si>
    <t>Saint Paul Lutheran School - Green Bay</t>
  </si>
  <si>
    <t>Saint Robert School</t>
  </si>
  <si>
    <t>Saint Vincent de Paul</t>
  </si>
  <si>
    <t>Sonnenberg School</t>
  </si>
  <si>
    <t>Yeshiva Elementary School</t>
  </si>
  <si>
    <t>Summer School Full HC</t>
  </si>
  <si>
    <t>Total Summer School Payment Eligibility</t>
  </si>
  <si>
    <t>Summer School Payments Issued</t>
  </si>
  <si>
    <t>Wisconsin Rapids</t>
  </si>
  <si>
    <t>Ashland</t>
  </si>
  <si>
    <t>Hartford</t>
  </si>
  <si>
    <t>Appleton</t>
  </si>
  <si>
    <t>Shawano</t>
  </si>
  <si>
    <t>Sparta</t>
  </si>
  <si>
    <t>Lannon</t>
  </si>
  <si>
    <t>Newburg</t>
  </si>
  <si>
    <t>Grafton</t>
  </si>
  <si>
    <t>Bonduel</t>
  </si>
  <si>
    <t>Shorewood</t>
  </si>
  <si>
    <t>Mount Pleasant</t>
  </si>
  <si>
    <t>Summer School Pmt</t>
  </si>
  <si>
    <r>
      <t xml:space="preserve">Total Headcount and FTE </t>
    </r>
    <r>
      <rPr>
        <i/>
        <sz val="8"/>
        <color indexed="8"/>
        <rFont val="Arial"/>
        <family val="2"/>
      </rPr>
      <t>Sum Lines 1 to 8</t>
    </r>
  </si>
  <si>
    <t>Summer School Partial HC K-8</t>
  </si>
  <si>
    <t>The following pupils have not been paid for the applicable count date. Based on our audit, these pupils meet the attendance criteria. If an application or transfer request listed below was audited as part of the September 2019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If any changes are required to a pupil that is being added to the count, the auditor must list them in the "Required Correction(s) to DPI's Data" column. Then resize the row so all reasons are visible. Final determination regarding the eligibility of the pupils on this schedule will be made by the DPI.</t>
  </si>
  <si>
    <t>The following pupils require a correction to DPI's pupil data, had a grade or scholarship type change, or required a change in the FTE. Based on our audit, these pupils meet the attendance criteria. If an application or transfer request listed below was audited as part of the September 2019 Enrollment Audit, the auditor completed all of the following (1) determined that the school had a properly completed application or transfer request, including supplemental data; (2) maintained a complete copy (application or transfer request and supplemental documentation/support) in their audit working papers for DPI review; and (3) attached a copy of the application or transfer request form with the Enrollment Audit that is properly completed and corrected (including grade adjustments). The auditor must list any changes needed to DPI's pupil data, including what must be changed and what it must be changed to in the "Required Correction(s) to DPI's Data" column. For grade, scholarship type, pupil first name, or pupil last name changes the audited columns must be completed for the information that changed. Resize the rows so all changes are visible. Final determination regarding the eligibility of the pupils on this schedule will be made by the DPI.</t>
  </si>
  <si>
    <t>If there are changes to the summer school days attended, include the summer school grade, application number, pupil first name, pupil last name, and scholarship type.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additional lines are needed for summer school changes contact the DPI.</t>
  </si>
  <si>
    <t>ADJUSTED SUMMER SCHOOL PUPIL HEADCOUNTS</t>
  </si>
  <si>
    <t>ADJUSTED SUMMER SCHOOL PAYMENT</t>
  </si>
  <si>
    <t>The total headcount and FTE shown is subject to final determination by the DPI and may be changed upon the DPI's review of the report.</t>
  </si>
  <si>
    <t>The expected amount due is subject to final determination by the DPI and may be changed upon the DPI's review of the report.</t>
  </si>
  <si>
    <t>Expected Amount Due From (To) State For Summer School</t>
  </si>
  <si>
    <r>
      <t xml:space="preserve">Wisconsin Department of Public Instruction
</t>
    </r>
    <r>
      <rPr>
        <b/>
        <sz val="8"/>
        <color indexed="8"/>
        <rFont val="Arial"/>
        <family val="2"/>
      </rPr>
      <t>SPECIAL NEEDS SCHOLARSHIP PROGRAM
ENROLLMENT AUDIT FOR SEPTEMBER AND NOVEMBER 2019
PAYMENT ELIGIBILITY AS OF SEPTEMBER 20, 2019</t>
    </r>
    <r>
      <rPr>
        <sz val="8"/>
        <color indexed="8"/>
        <rFont val="Arial"/>
        <family val="2"/>
      </rPr>
      <t xml:space="preserve">
PI-SNSP-0102 (10 Lines) (Rev 11-19)</t>
    </r>
  </si>
  <si>
    <r>
      <t xml:space="preserve">Grades 9-12 </t>
    </r>
    <r>
      <rPr>
        <sz val="8"/>
        <color indexed="8"/>
        <rFont val="Arial"/>
        <family val="2"/>
      </rPr>
      <t>(1.0 FTE)</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</si>
</sst>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0_);\(0\)"/>
    <numFmt numFmtId="180" formatCode="m/d/yy;@"/>
  </numFmts>
  <fonts count="68">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i/>
      <sz val="8"/>
      <name val="Arial"/>
      <family val="2"/>
    </font>
    <font>
      <sz val="10"/>
      <name val="Times New Roman"/>
      <family val="1"/>
    </font>
    <font>
      <i/>
      <sz val="8"/>
      <color indexed="8"/>
      <name val="Arial"/>
      <family val="2"/>
    </font>
    <font>
      <b/>
      <sz val="10"/>
      <color indexed="8"/>
      <name val="Arial"/>
      <family val="2"/>
    </font>
    <font>
      <sz val="8"/>
      <color indexed="11"/>
      <name val="Arial"/>
      <family val="2"/>
    </font>
    <font>
      <b/>
      <sz val="8"/>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Times New Roman"/>
      <family val="1"/>
    </font>
    <font>
      <b/>
      <u val="single"/>
      <sz val="10"/>
      <color indexed="8"/>
      <name val="Arial"/>
      <family val="2"/>
    </font>
    <font>
      <u val="single"/>
      <sz val="8"/>
      <color indexed="8"/>
      <name val="Arial"/>
      <family val="2"/>
    </font>
    <font>
      <b/>
      <sz val="8"/>
      <color indexed="56"/>
      <name val="Arial"/>
      <family val="2"/>
    </font>
    <font>
      <b/>
      <u val="single"/>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8"/>
      <color theme="1"/>
      <name val="Arial"/>
      <family val="2"/>
    </font>
    <font>
      <sz val="10"/>
      <color theme="1"/>
      <name val="Arial"/>
      <family val="2"/>
    </font>
    <font>
      <sz val="10"/>
      <color theme="1"/>
      <name val="Times New Roman"/>
      <family val="1"/>
    </font>
    <font>
      <b/>
      <u val="single"/>
      <sz val="10"/>
      <color theme="1"/>
      <name val="Arial"/>
      <family val="2"/>
    </font>
    <font>
      <b/>
      <sz val="10"/>
      <color theme="1"/>
      <name val="Arial"/>
      <family val="2"/>
    </font>
    <font>
      <b/>
      <sz val="8"/>
      <color theme="1"/>
      <name val="Arial"/>
      <family val="2"/>
    </font>
    <font>
      <u val="single"/>
      <sz val="8"/>
      <color theme="1"/>
      <name val="Arial"/>
      <family val="2"/>
    </font>
    <font>
      <b/>
      <sz val="8"/>
      <color rgb="FF002060"/>
      <name val="Arial"/>
      <family val="2"/>
    </font>
    <font>
      <b/>
      <u val="single"/>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style="medium"/>
      <right style="medium"/>
      <top style="medium"/>
      <bottom style="medium"/>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top style="thin"/>
      <bottom/>
    </border>
    <border>
      <left/>
      <right/>
      <top/>
      <bottom style="thin"/>
    </border>
    <border>
      <left/>
      <right>
        <color indexed="63"/>
      </right>
      <top style="thin"/>
      <bottom style="double"/>
    </border>
    <border>
      <left/>
      <right style="thin"/>
      <top>
        <color indexed="63"/>
      </top>
      <bottom/>
    </border>
    <border>
      <left style="thin"/>
      <right/>
      <top style="thin"/>
      <bottom style="double"/>
    </border>
    <border>
      <left/>
      <right style="thin"/>
      <top/>
      <bottom style="thin"/>
    </border>
    <border>
      <left style="thin"/>
      <right>
        <color indexed="63"/>
      </right>
      <top>
        <color indexed="63"/>
      </top>
      <bottom style="double"/>
    </border>
    <border>
      <left/>
      <right>
        <color indexed="63"/>
      </right>
      <top style="thin"/>
      <bottom style="thin"/>
    </border>
    <border>
      <left style="thin"/>
      <right style="medium"/>
      <top style="thin"/>
      <bottom style="thin"/>
    </border>
    <border>
      <left style="thin"/>
      <right style="medium"/>
      <top style="thin"/>
      <bottom style="medium"/>
    </border>
    <border>
      <left/>
      <right>
        <color indexed="63"/>
      </right>
      <top style="thin"/>
      <bottom style="medium"/>
    </border>
    <border>
      <left style="medium"/>
      <right>
        <color indexed="63"/>
      </right>
      <top>
        <color indexed="63"/>
      </top>
      <bottom>
        <color indexed="63"/>
      </bottom>
    </border>
    <border>
      <left style="thin"/>
      <right style="medium"/>
      <top>
        <color indexed="63"/>
      </top>
      <bottom style="thin"/>
    </border>
    <border>
      <left>
        <color indexed="63"/>
      </left>
      <right>
        <color indexed="63"/>
      </right>
      <top style="double"/>
      <bottom>
        <color indexed="63"/>
      </bottom>
    </border>
    <border>
      <left/>
      <right style="medium"/>
      <top style="thin"/>
      <bottom style="thin"/>
    </border>
    <border>
      <left/>
      <right/>
      <top style="thin"/>
      <bottom/>
    </border>
    <border>
      <left/>
      <right style="thin"/>
      <top style="double"/>
      <bottom/>
    </border>
    <border>
      <left style="thin"/>
      <right style="thin"/>
      <top style="double"/>
      <bottom style="thin"/>
    </border>
    <border>
      <left style="thin"/>
      <right style="thin"/>
      <top style="double"/>
      <bottom>
        <color indexed="63"/>
      </bottom>
    </border>
    <border>
      <left style="thin"/>
      <right style="thin"/>
      <top>
        <color indexed="63"/>
      </top>
      <bottom>
        <color indexed="63"/>
      </bottom>
    </border>
    <border>
      <left style="medium"/>
      <right style="thin"/>
      <top>
        <color indexed="63"/>
      </top>
      <bottom style="thin"/>
    </border>
    <border>
      <left style="thin"/>
      <right style="medium"/>
      <top/>
      <bottom/>
    </border>
    <border>
      <left style="medium"/>
      <right/>
      <top style="thin"/>
      <bottom style="thin"/>
    </border>
    <border>
      <left style="medium"/>
      <right/>
      <top style="thin"/>
      <bottom style="medium"/>
    </border>
    <border>
      <left style="thin"/>
      <right style="thin"/>
      <top/>
      <bottom style="thin"/>
    </border>
    <border>
      <left style="thin"/>
      <right/>
      <top/>
      <bottom style="thin"/>
    </border>
    <border>
      <left style="thin"/>
      <right style="thin"/>
      <top style="medium"/>
      <bottom style="double"/>
    </border>
    <border>
      <left style="thin"/>
      <right/>
      <top style="double"/>
      <bottom style="thin"/>
    </border>
    <border>
      <left style="thin"/>
      <right/>
      <top style="medium"/>
      <bottom style="double"/>
    </border>
    <border>
      <left>
        <color indexed="63"/>
      </left>
      <right>
        <color indexed="63"/>
      </right>
      <top style="medium"/>
      <bottom style="double"/>
    </border>
    <border>
      <left style="thin"/>
      <right style="thin"/>
      <top>
        <color indexed="63"/>
      </top>
      <bottom style="medium"/>
    </border>
    <border>
      <left style="thin"/>
      <right style="thin"/>
      <top/>
      <bottom style="double"/>
    </border>
    <border>
      <left style="medium"/>
      <right/>
      <top/>
      <bottom style="thin"/>
    </border>
    <border>
      <left style="thin"/>
      <right>
        <color indexed="63"/>
      </right>
      <top style="double"/>
      <bottom style="double"/>
    </border>
    <border>
      <left style="medium"/>
      <right style="thin"/>
      <top>
        <color indexed="63"/>
      </top>
      <bottom/>
    </border>
    <border>
      <left style="medium"/>
      <right style="thin"/>
      <top style="medium"/>
      <bottom style="double"/>
    </border>
    <border>
      <left style="thin"/>
      <right style="medium"/>
      <top style="medium"/>
      <bottom style="double"/>
    </border>
    <border>
      <left>
        <color indexed="63"/>
      </left>
      <right style="medium"/>
      <top>
        <color indexed="63"/>
      </top>
      <bottom>
        <color indexed="63"/>
      </bottom>
    </border>
    <border>
      <left>
        <color indexed="63"/>
      </left>
      <right style="thin"/>
      <top>
        <color indexed="63"/>
      </top>
      <bottom style="double"/>
    </border>
    <border>
      <left/>
      <right style="thin"/>
      <top style="thin"/>
      <bottom style="double"/>
    </border>
    <border>
      <left style="medium"/>
      <right>
        <color indexed="63"/>
      </right>
      <top style="double"/>
      <bottom>
        <color indexed="63"/>
      </bottom>
    </border>
    <border>
      <left>
        <color indexed="63"/>
      </left>
      <right style="medium"/>
      <top style="double"/>
      <bottom>
        <color indexed="63"/>
      </bottom>
    </border>
    <border>
      <left>
        <color indexed="63"/>
      </left>
      <right>
        <color indexed="63"/>
      </right>
      <top style="double"/>
      <bottom style="double"/>
    </border>
    <border>
      <left>
        <color indexed="63"/>
      </left>
      <right style="thin"/>
      <top style="double"/>
      <bottom style="thin"/>
    </border>
    <border>
      <left style="medium"/>
      <right>
        <color indexed="63"/>
      </right>
      <top style="medium"/>
      <bottom>
        <color indexed="63"/>
      </bottom>
    </border>
    <border>
      <left>
        <color indexed="63"/>
      </left>
      <right style="medium"/>
      <top style="medium"/>
      <bottom>
        <color indexed="63"/>
      </bottom>
    </border>
    <border>
      <left/>
      <right>
        <color indexed="63"/>
      </right>
      <top style="medium"/>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450">
    <xf numFmtId="0" fontId="0" fillId="0" borderId="0" xfId="0" applyFont="1" applyAlignment="1">
      <alignment/>
    </xf>
    <xf numFmtId="0" fontId="56" fillId="0" borderId="0" xfId="0" applyFont="1" applyAlignment="1">
      <alignment horizontal="left" readingOrder="1"/>
    </xf>
    <xf numFmtId="0" fontId="57" fillId="0" borderId="0" xfId="0" applyFont="1" applyAlignment="1">
      <alignment horizontal="left" readingOrder="1"/>
    </xf>
    <xf numFmtId="0" fontId="58" fillId="0" borderId="0" xfId="0" applyFont="1" applyAlignment="1" applyProtection="1">
      <alignment horizontal="right"/>
      <protection/>
    </xf>
    <xf numFmtId="0" fontId="58" fillId="0" borderId="0" xfId="0" applyFont="1" applyAlignment="1" applyProtection="1">
      <alignment/>
      <protection/>
    </xf>
    <xf numFmtId="0" fontId="59" fillId="0" borderId="0" xfId="0" applyFont="1" applyFill="1" applyAlignment="1" applyProtection="1">
      <alignment horizontal="justify"/>
      <protection/>
    </xf>
    <xf numFmtId="0" fontId="59" fillId="0" borderId="0" xfId="0" applyFont="1" applyAlignment="1">
      <alignment/>
    </xf>
    <xf numFmtId="0" fontId="58" fillId="33" borderId="11" xfId="0" applyFont="1" applyFill="1" applyBorder="1" applyAlignment="1" applyProtection="1">
      <alignment/>
      <protection/>
    </xf>
    <xf numFmtId="0" fontId="5" fillId="33" borderId="11" xfId="0" applyFont="1" applyFill="1" applyBorder="1" applyAlignment="1" applyProtection="1">
      <alignment horizontal="center"/>
      <protection/>
    </xf>
    <xf numFmtId="0" fontId="5" fillId="34" borderId="11" xfId="0" applyFont="1" applyFill="1" applyBorder="1" applyAlignment="1" applyProtection="1">
      <alignment horizontal="center" vertical="center"/>
      <protection/>
    </xf>
    <xf numFmtId="0" fontId="58" fillId="0" borderId="0" xfId="59" applyFont="1" applyProtection="1">
      <alignment/>
      <protection/>
    </xf>
    <xf numFmtId="0" fontId="6" fillId="0" borderId="12" xfId="0" applyFont="1" applyBorder="1" applyAlignment="1" applyProtection="1">
      <alignment vertical="center"/>
      <protection/>
    </xf>
    <xf numFmtId="0" fontId="58" fillId="0" borderId="0" xfId="0" applyFont="1" applyAlignment="1" applyProtection="1">
      <alignment vertical="center"/>
      <protection/>
    </xf>
    <xf numFmtId="0" fontId="58" fillId="33" borderId="11" xfId="0" applyFont="1" applyFill="1" applyBorder="1" applyAlignment="1" applyProtection="1">
      <alignment horizontal="center" vertical="center"/>
      <protection/>
    </xf>
    <xf numFmtId="0" fontId="58" fillId="0" borderId="13" xfId="0" applyFont="1" applyBorder="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0" fontId="60" fillId="32" borderId="13" xfId="0" applyFont="1" applyFill="1" applyBorder="1" applyAlignment="1" applyProtection="1">
      <alignment horizontal="center" vertical="center" wrapText="1"/>
      <protection locked="0"/>
    </xf>
    <xf numFmtId="0" fontId="60" fillId="32" borderId="16" xfId="0" applyFont="1" applyFill="1" applyBorder="1" applyAlignment="1" applyProtection="1">
      <alignment horizontal="center" vertical="center" wrapText="1"/>
      <protection locked="0"/>
    </xf>
    <xf numFmtId="0" fontId="60" fillId="32" borderId="16" xfId="0" applyFont="1" applyFill="1" applyBorder="1" applyAlignment="1" applyProtection="1">
      <alignment vertical="center" wrapText="1"/>
      <protection locked="0"/>
    </xf>
    <xf numFmtId="0" fontId="60" fillId="32" borderId="14" xfId="0" applyFont="1" applyFill="1" applyBorder="1" applyAlignment="1" applyProtection="1">
      <alignment horizontal="center" vertical="center" wrapText="1"/>
      <protection locked="0"/>
    </xf>
    <xf numFmtId="0" fontId="60" fillId="32" borderId="17" xfId="0" applyFont="1" applyFill="1" applyBorder="1" applyAlignment="1" applyProtection="1">
      <alignment vertical="center" wrapText="1"/>
      <protection locked="0"/>
    </xf>
    <xf numFmtId="0" fontId="59" fillId="0" borderId="0" xfId="0" applyFont="1" applyFill="1" applyAlignment="1" applyProtection="1">
      <alignment horizontal="justify" vertical="top"/>
      <protection/>
    </xf>
    <xf numFmtId="0" fontId="58" fillId="34" borderId="0" xfId="0" applyFont="1" applyFill="1" applyAlignment="1" applyProtection="1">
      <alignment/>
      <protection/>
    </xf>
    <xf numFmtId="0" fontId="58" fillId="2" borderId="18" xfId="0" applyFont="1" applyFill="1" applyBorder="1" applyAlignment="1" applyProtection="1">
      <alignment horizontal="right"/>
      <protection/>
    </xf>
    <xf numFmtId="0" fontId="58" fillId="0" borderId="19" xfId="0" applyFont="1" applyBorder="1" applyAlignment="1" applyProtection="1">
      <alignment horizontal="left" vertical="center"/>
      <protection/>
    </xf>
    <xf numFmtId="0" fontId="58" fillId="0" borderId="0" xfId="0" applyFont="1" applyBorder="1" applyAlignment="1" applyProtection="1">
      <alignment/>
      <protection/>
    </xf>
    <xf numFmtId="0" fontId="58" fillId="0" borderId="0" xfId="0" applyFont="1" applyBorder="1" applyAlignment="1" applyProtection="1">
      <alignment vertical="center"/>
      <protection/>
    </xf>
    <xf numFmtId="0" fontId="60" fillId="32" borderId="16" xfId="0" applyFont="1" applyFill="1" applyBorder="1" applyAlignment="1" applyProtection="1">
      <alignment horizontal="center" vertical="center"/>
      <protection locked="0"/>
    </xf>
    <xf numFmtId="0" fontId="60" fillId="32" borderId="20" xfId="0" applyFont="1" applyFill="1" applyBorder="1" applyAlignment="1" applyProtection="1">
      <alignment horizontal="center" vertical="center"/>
      <protection locked="0"/>
    </xf>
    <xf numFmtId="0" fontId="60" fillId="32" borderId="13" xfId="0" applyFont="1" applyFill="1" applyBorder="1" applyAlignment="1" applyProtection="1">
      <alignment horizontal="center" vertical="center"/>
      <protection locked="0"/>
    </xf>
    <xf numFmtId="0" fontId="60" fillId="32" borderId="21" xfId="0" applyFont="1" applyFill="1" applyBorder="1" applyAlignment="1" applyProtection="1">
      <alignment horizontal="center" vertical="center"/>
      <protection locked="0"/>
    </xf>
    <xf numFmtId="0" fontId="60" fillId="32" borderId="22" xfId="0" applyFont="1" applyFill="1" applyBorder="1" applyAlignment="1" applyProtection="1">
      <alignment horizontal="center" vertical="center"/>
      <protection locked="0"/>
    </xf>
    <xf numFmtId="0" fontId="60" fillId="32" borderId="23" xfId="0" applyFont="1" applyFill="1" applyBorder="1" applyAlignment="1" applyProtection="1">
      <alignment horizontal="center" vertical="center"/>
      <protection locked="0"/>
    </xf>
    <xf numFmtId="0" fontId="60" fillId="32" borderId="24" xfId="0" applyFont="1" applyFill="1" applyBorder="1" applyAlignment="1" applyProtection="1">
      <alignment horizontal="center" vertical="center"/>
      <protection locked="0"/>
    </xf>
    <xf numFmtId="0" fontId="10" fillId="0" borderId="0" xfId="0" applyFont="1" applyFill="1" applyAlignment="1" applyProtection="1">
      <alignment horizontal="justify" wrapText="1"/>
      <protection/>
    </xf>
    <xf numFmtId="0" fontId="61" fillId="0" borderId="0" xfId="0" applyFont="1" applyFill="1" applyAlignment="1" applyProtection="1">
      <alignment horizontal="justify" wrapText="1"/>
      <protection/>
    </xf>
    <xf numFmtId="0" fontId="62"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protection/>
    </xf>
    <xf numFmtId="0" fontId="6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1" fillId="34" borderId="0" xfId="61" applyFont="1" applyFill="1" applyBorder="1" applyAlignment="1">
      <alignment vertical="center"/>
      <protection/>
    </xf>
    <xf numFmtId="0" fontId="11" fillId="34" borderId="0" xfId="61" applyFont="1" applyFill="1" applyAlignment="1">
      <alignment vertical="center"/>
      <protection/>
    </xf>
    <xf numFmtId="0" fontId="5" fillId="35"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58" fillId="0" borderId="25" xfId="0" applyFont="1" applyBorder="1" applyAlignment="1" applyProtection="1">
      <alignment vertical="center"/>
      <protection/>
    </xf>
    <xf numFmtId="0" fontId="58" fillId="0" borderId="14" xfId="0" applyFont="1" applyBorder="1" applyAlignment="1" applyProtection="1">
      <alignment vertical="center"/>
      <protection/>
    </xf>
    <xf numFmtId="0" fontId="63" fillId="36" borderId="11" xfId="0" applyFont="1" applyFill="1" applyBorder="1" applyAlignment="1" applyProtection="1">
      <alignment horizontal="center"/>
      <protection/>
    </xf>
    <xf numFmtId="0" fontId="63" fillId="0" borderId="0" xfId="0" applyFont="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59" fillId="0" borderId="16" xfId="0" applyNumberFormat="1" applyFont="1" applyFill="1" applyBorder="1" applyAlignment="1" applyProtection="1">
      <alignment horizontal="justify" vertical="top" wrapText="1"/>
      <protection/>
    </xf>
    <xf numFmtId="0" fontId="59" fillId="32" borderId="16" xfId="0" applyFont="1" applyFill="1" applyBorder="1" applyAlignment="1" applyProtection="1">
      <alignment horizontal="justify" vertical="top" wrapText="1"/>
      <protection locked="0"/>
    </xf>
    <xf numFmtId="0" fontId="58" fillId="33" borderId="26" xfId="0" applyFont="1" applyFill="1" applyBorder="1" applyAlignment="1" applyProtection="1">
      <alignment horizontal="center" vertical="center"/>
      <protection/>
    </xf>
    <xf numFmtId="0" fontId="58" fillId="0" borderId="24" xfId="0" applyFont="1" applyBorder="1" applyAlignment="1" applyProtection="1">
      <alignment horizontal="center" vertical="center"/>
      <protection/>
    </xf>
    <xf numFmtId="0" fontId="58" fillId="0" borderId="27" xfId="0" applyFont="1" applyBorder="1" applyAlignment="1" applyProtection="1">
      <alignment horizontal="center" vertical="center"/>
      <protection/>
    </xf>
    <xf numFmtId="0" fontId="60" fillId="32" borderId="24" xfId="0" applyFont="1" applyFill="1" applyBorder="1" applyAlignment="1" applyProtection="1">
      <alignment horizontal="center" vertical="center" wrapText="1"/>
      <protection locked="0"/>
    </xf>
    <xf numFmtId="0" fontId="60" fillId="32" borderId="22" xfId="0" applyFont="1" applyFill="1" applyBorder="1" applyAlignment="1" applyProtection="1">
      <alignment horizontal="center" vertical="center" wrapText="1"/>
      <protection locked="0"/>
    </xf>
    <xf numFmtId="0" fontId="60" fillId="32" borderId="22" xfId="0" applyFont="1" applyFill="1" applyBorder="1" applyAlignment="1" applyProtection="1">
      <alignment vertical="center" wrapText="1"/>
      <protection locked="0"/>
    </xf>
    <xf numFmtId="0" fontId="63" fillId="0" borderId="0" xfId="0" applyFont="1" applyFill="1" applyBorder="1" applyAlignment="1" applyProtection="1">
      <alignment horizontal="center"/>
      <protection/>
    </xf>
    <xf numFmtId="0" fontId="58" fillId="0" borderId="28" xfId="0" applyFont="1" applyBorder="1" applyAlignment="1" applyProtection="1">
      <alignment horizontal="center" vertical="center"/>
      <protection/>
    </xf>
    <xf numFmtId="173" fontId="58" fillId="0" borderId="9" xfId="0" applyNumberFormat="1" applyFont="1" applyBorder="1" applyAlignment="1" applyProtection="1">
      <alignment vertical="center"/>
      <protection/>
    </xf>
    <xf numFmtId="49" fontId="60" fillId="32" borderId="29" xfId="0" applyNumberFormat="1" applyFont="1" applyFill="1" applyBorder="1" applyAlignment="1" applyProtection="1">
      <alignment horizontal="center" vertical="center"/>
      <protection locked="0"/>
    </xf>
    <xf numFmtId="0" fontId="59" fillId="0" borderId="0" xfId="0" applyFont="1" applyFill="1" applyAlignment="1" applyProtection="1">
      <alignment horizontal="justify" wrapText="1"/>
      <protection/>
    </xf>
    <xf numFmtId="0" fontId="63" fillId="0" borderId="30" xfId="0" applyFont="1" applyBorder="1" applyAlignment="1" applyProtection="1">
      <alignment horizontal="center" textRotation="90" wrapText="1"/>
      <protection/>
    </xf>
    <xf numFmtId="41" fontId="60" fillId="32" borderId="31" xfId="46" applyNumberFormat="1" applyFont="1" applyFill="1" applyBorder="1" applyAlignment="1" applyProtection="1">
      <alignment horizontal="center" vertical="center"/>
      <protection locked="0"/>
    </xf>
    <xf numFmtId="0" fontId="63" fillId="0" borderId="9" xfId="0" applyFont="1" applyBorder="1" applyAlignment="1" applyProtection="1">
      <alignment vertical="center"/>
      <protection/>
    </xf>
    <xf numFmtId="0" fontId="63" fillId="0" borderId="32" xfId="0" applyFont="1" applyBorder="1" applyAlignment="1" applyProtection="1">
      <alignment vertical="center"/>
      <protection/>
    </xf>
    <xf numFmtId="0" fontId="60" fillId="32" borderId="33" xfId="0" applyFont="1" applyFill="1" applyBorder="1" applyAlignment="1" applyProtection="1">
      <alignment horizontal="center" vertical="center"/>
      <protection locked="0"/>
    </xf>
    <xf numFmtId="0" fontId="60" fillId="32" borderId="34" xfId="0" applyFont="1" applyFill="1" applyBorder="1" applyAlignment="1" applyProtection="1">
      <alignment horizontal="center" vertical="center"/>
      <protection locked="0"/>
    </xf>
    <xf numFmtId="0" fontId="63" fillId="0" borderId="19" xfId="0" applyFont="1" applyFill="1" applyBorder="1" applyAlignment="1" applyProtection="1">
      <alignment vertical="center"/>
      <protection/>
    </xf>
    <xf numFmtId="0" fontId="58" fillId="0" borderId="19" xfId="0" applyFont="1" applyBorder="1" applyAlignment="1" applyProtection="1">
      <alignment/>
      <protection/>
    </xf>
    <xf numFmtId="0" fontId="63" fillId="0" borderId="19" xfId="0" applyFont="1" applyFill="1" applyBorder="1" applyAlignment="1" applyProtection="1">
      <alignment vertical="center" wrapText="1"/>
      <protection/>
    </xf>
    <xf numFmtId="3" fontId="58" fillId="0" borderId="21" xfId="0" applyNumberFormat="1" applyFont="1" applyBorder="1" applyAlignment="1" applyProtection="1">
      <alignment vertical="center"/>
      <protection/>
    </xf>
    <xf numFmtId="0" fontId="58" fillId="0" borderId="35" xfId="0" applyFont="1" applyBorder="1" applyAlignment="1" applyProtection="1">
      <alignment vertical="center"/>
      <protection/>
    </xf>
    <xf numFmtId="0" fontId="58" fillId="0" borderId="26" xfId="0" applyFont="1" applyBorder="1" applyAlignment="1" applyProtection="1">
      <alignment vertical="center" wrapText="1"/>
      <protection/>
    </xf>
    <xf numFmtId="0" fontId="63" fillId="0" borderId="30" xfId="0" applyFont="1" applyBorder="1" applyAlignment="1" applyProtection="1">
      <alignment horizontal="center" vertical="center" wrapText="1"/>
      <protection/>
    </xf>
    <xf numFmtId="3" fontId="58" fillId="0" borderId="36" xfId="42" applyNumberFormat="1" applyFont="1" applyBorder="1" applyAlignment="1" applyProtection="1">
      <alignment vertical="center"/>
      <protection/>
    </xf>
    <xf numFmtId="173" fontId="58" fillId="0" borderId="37" xfId="0" applyNumberFormat="1" applyFont="1" applyBorder="1" applyAlignment="1" applyProtection="1">
      <alignment vertical="center"/>
      <protection/>
    </xf>
    <xf numFmtId="3" fontId="58" fillId="0" borderId="20" xfId="42" applyNumberFormat="1" applyFont="1" applyBorder="1" applyAlignment="1" applyProtection="1">
      <alignment vertical="center"/>
      <protection/>
    </xf>
    <xf numFmtId="173" fontId="58" fillId="0" borderId="33" xfId="0" applyNumberFormat="1" applyFont="1" applyBorder="1" applyAlignment="1" applyProtection="1">
      <alignment vertical="center"/>
      <protection/>
    </xf>
    <xf numFmtId="173" fontId="58" fillId="0" borderId="34" xfId="0" applyNumberFormat="1" applyFont="1" applyBorder="1" applyAlignment="1" applyProtection="1">
      <alignment vertical="center"/>
      <protection/>
    </xf>
    <xf numFmtId="3" fontId="58" fillId="0" borderId="13" xfId="0" applyNumberFormat="1" applyFont="1" applyBorder="1" applyAlignment="1" applyProtection="1">
      <alignment vertical="center"/>
      <protection/>
    </xf>
    <xf numFmtId="0" fontId="58" fillId="0" borderId="30" xfId="0" applyFont="1" applyBorder="1" applyAlignment="1" applyProtection="1">
      <alignment horizontal="center" vertical="center"/>
      <protection/>
    </xf>
    <xf numFmtId="0" fontId="58" fillId="36" borderId="38" xfId="0" applyFont="1" applyFill="1" applyBorder="1" applyAlignment="1" applyProtection="1">
      <alignment horizontal="center"/>
      <protection/>
    </xf>
    <xf numFmtId="0" fontId="63" fillId="36" borderId="38" xfId="0" applyFont="1" applyFill="1" applyBorder="1" applyAlignment="1" applyProtection="1">
      <alignment horizontal="center"/>
      <protection/>
    </xf>
    <xf numFmtId="0" fontId="63" fillId="0" borderId="39" xfId="0" applyFont="1" applyFill="1" applyBorder="1" applyAlignment="1" applyProtection="1">
      <alignment horizontal="center" vertical="center"/>
      <protection/>
    </xf>
    <xf numFmtId="0" fontId="60" fillId="32" borderId="32" xfId="0" applyFont="1" applyFill="1" applyBorder="1" applyAlignment="1" applyProtection="1">
      <alignment horizontal="center" vertical="center"/>
      <protection locked="0"/>
    </xf>
    <xf numFmtId="0" fontId="60" fillId="32" borderId="35" xfId="0" applyFont="1" applyFill="1" applyBorder="1" applyAlignment="1" applyProtection="1">
      <alignment horizontal="center" vertical="center"/>
      <protection locked="0"/>
    </xf>
    <xf numFmtId="0" fontId="6" fillId="0" borderId="40" xfId="59" applyFont="1" applyFill="1" applyBorder="1" applyAlignment="1" applyProtection="1">
      <alignment vertical="center"/>
      <protection/>
    </xf>
    <xf numFmtId="0" fontId="58" fillId="0" borderId="32" xfId="0" applyFont="1" applyFill="1" applyBorder="1" applyAlignment="1" applyProtection="1">
      <alignment horizontal="center" vertical="center"/>
      <protection/>
    </xf>
    <xf numFmtId="0" fontId="63" fillId="0" borderId="32"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62" fillId="0" borderId="16" xfId="0" applyFont="1" applyFill="1" applyBorder="1" applyAlignment="1" applyProtection="1">
      <alignment horizontal="justify" wrapText="1"/>
      <protection/>
    </xf>
    <xf numFmtId="0" fontId="62" fillId="0" borderId="16" xfId="0" applyNumberFormat="1" applyFont="1" applyFill="1" applyBorder="1" applyAlignment="1" applyProtection="1">
      <alignment horizontal="justify" wrapText="1"/>
      <protection/>
    </xf>
    <xf numFmtId="0" fontId="63" fillId="0" borderId="41" xfId="0" applyFont="1" applyBorder="1" applyAlignment="1" applyProtection="1">
      <alignment horizontal="center" wrapText="1"/>
      <protection/>
    </xf>
    <xf numFmtId="0" fontId="63" fillId="0" borderId="42" xfId="0" applyFont="1" applyBorder="1" applyAlignment="1" applyProtection="1">
      <alignment horizontal="center" wrapText="1"/>
      <protection/>
    </xf>
    <xf numFmtId="0" fontId="63" fillId="0" borderId="43" xfId="0" applyFont="1" applyFill="1" applyBorder="1" applyAlignment="1" applyProtection="1">
      <alignment horizontal="center" wrapText="1"/>
      <protection/>
    </xf>
    <xf numFmtId="0" fontId="58" fillId="0" borderId="0" xfId="0" applyFont="1" applyBorder="1" applyAlignment="1" applyProtection="1">
      <alignment horizontal="center"/>
      <protection/>
    </xf>
    <xf numFmtId="0" fontId="58" fillId="0" borderId="0" xfId="0" applyFont="1" applyAlignment="1" applyProtection="1">
      <alignment horizontal="center"/>
      <protection/>
    </xf>
    <xf numFmtId="0" fontId="63" fillId="0" borderId="44" xfId="0" applyFont="1" applyFill="1" applyBorder="1" applyAlignment="1" applyProtection="1">
      <alignment horizontal="center" wrapText="1"/>
      <protection/>
    </xf>
    <xf numFmtId="0" fontId="60" fillId="32" borderId="9" xfId="0" applyFont="1" applyFill="1" applyBorder="1" applyAlignment="1" applyProtection="1">
      <alignment vertical="center" wrapText="1"/>
      <protection locked="0"/>
    </xf>
    <xf numFmtId="0" fontId="63" fillId="0" borderId="45" xfId="0" applyFont="1" applyFill="1" applyBorder="1" applyAlignment="1" applyProtection="1">
      <alignment horizontal="center" wrapText="1"/>
      <protection/>
    </xf>
    <xf numFmtId="0" fontId="60" fillId="32" borderId="33" xfId="0" applyFont="1" applyFill="1" applyBorder="1" applyAlignment="1" applyProtection="1">
      <alignment vertical="center" wrapText="1"/>
      <protection locked="0"/>
    </xf>
    <xf numFmtId="0" fontId="60" fillId="32" borderId="23" xfId="0" applyFont="1" applyFill="1" applyBorder="1" applyAlignment="1" applyProtection="1">
      <alignment vertical="center" wrapText="1"/>
      <protection locked="0"/>
    </xf>
    <xf numFmtId="0" fontId="60" fillId="32" borderId="34" xfId="0" applyFont="1" applyFill="1" applyBorder="1" applyAlignment="1" applyProtection="1">
      <alignment vertical="center" wrapText="1"/>
      <protection locked="0"/>
    </xf>
    <xf numFmtId="0" fontId="63" fillId="0" borderId="0" xfId="0" applyFont="1" applyBorder="1" applyAlignment="1" applyProtection="1">
      <alignment horizontal="left" vertical="center" wrapText="1"/>
      <protection/>
    </xf>
    <xf numFmtId="0" fontId="64" fillId="0" borderId="0" xfId="0" applyFont="1" applyBorder="1" applyAlignment="1" applyProtection="1">
      <alignment horizontal="center"/>
      <protection/>
    </xf>
    <xf numFmtId="0" fontId="58" fillId="0" borderId="0" xfId="0" applyFont="1" applyAlignment="1" applyProtection="1">
      <alignment horizontal="center" vertical="center"/>
      <protection/>
    </xf>
    <xf numFmtId="0" fontId="63" fillId="0" borderId="32" xfId="0" applyFont="1" applyBorder="1" applyAlignment="1" applyProtection="1">
      <alignment horizontal="center" textRotation="90"/>
      <protection/>
    </xf>
    <xf numFmtId="0" fontId="63" fillId="0" borderId="46" xfId="0" applyFont="1" applyFill="1" applyBorder="1" applyAlignment="1" applyProtection="1">
      <alignment horizontal="center" wrapText="1"/>
      <protection/>
    </xf>
    <xf numFmtId="0" fontId="60" fillId="32" borderId="20" xfId="0" applyFont="1" applyFill="1" applyBorder="1" applyAlignment="1" applyProtection="1">
      <alignment horizontal="center" vertical="center" wrapText="1"/>
      <protection locked="0"/>
    </xf>
    <xf numFmtId="0" fontId="60" fillId="32" borderId="2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xf>
    <xf numFmtId="0" fontId="60" fillId="32" borderId="47" xfId="0" applyFont="1" applyFill="1" applyBorder="1" applyAlignment="1" applyProtection="1">
      <alignment horizontal="center" vertical="center" wrapText="1"/>
      <protection locked="0"/>
    </xf>
    <xf numFmtId="0" fontId="60" fillId="32" borderId="48" xfId="0" applyFont="1" applyFill="1" applyBorder="1" applyAlignment="1" applyProtection="1">
      <alignment horizontal="center" vertical="center" wrapText="1"/>
      <protection locked="0"/>
    </xf>
    <xf numFmtId="0" fontId="58" fillId="0" borderId="0" xfId="0" applyFont="1" applyBorder="1" applyAlignment="1" applyProtection="1">
      <alignment horizontal="center" vertical="center"/>
      <protection/>
    </xf>
    <xf numFmtId="0" fontId="58" fillId="0" borderId="0" xfId="0" applyFont="1" applyBorder="1" applyAlignment="1" applyProtection="1">
      <alignment horizontal="center" wrapText="1"/>
      <protection/>
    </xf>
    <xf numFmtId="166" fontId="63" fillId="0" borderId="0" xfId="0" applyNumberFormat="1" applyFont="1" applyAlignment="1" applyProtection="1">
      <alignment vertical="center"/>
      <protection/>
    </xf>
    <xf numFmtId="0" fontId="5" fillId="37" borderId="11" xfId="0" applyFont="1" applyFill="1" applyBorder="1" applyAlignment="1" applyProtection="1">
      <alignment horizontal="center" wrapText="1"/>
      <protection/>
    </xf>
    <xf numFmtId="0" fontId="58" fillId="0" borderId="16" xfId="0" applyFont="1" applyBorder="1" applyAlignment="1" applyProtection="1">
      <alignment horizontal="center" vertical="center"/>
      <protection/>
    </xf>
    <xf numFmtId="3" fontId="60" fillId="32" borderId="16" xfId="0" applyNumberFormat="1" applyFont="1" applyFill="1" applyBorder="1" applyAlignment="1" applyProtection="1">
      <alignment horizontal="center" vertical="center"/>
      <protection locked="0"/>
    </xf>
    <xf numFmtId="3" fontId="60" fillId="32" borderId="9" xfId="0" applyNumberFormat="1" applyFont="1" applyFill="1" applyBorder="1" applyAlignment="1" applyProtection="1">
      <alignment horizontal="center" vertical="center"/>
      <protection locked="0"/>
    </xf>
    <xf numFmtId="0" fontId="58" fillId="0" borderId="16" xfId="0" applyFont="1" applyBorder="1" applyAlignment="1" applyProtection="1">
      <alignment vertical="center"/>
      <protection/>
    </xf>
    <xf numFmtId="43" fontId="58" fillId="0" borderId="9" xfId="0" applyNumberFormat="1" applyFont="1" applyBorder="1" applyAlignment="1" applyProtection="1">
      <alignment vertical="center"/>
      <protection/>
    </xf>
    <xf numFmtId="0" fontId="58" fillId="0" borderId="17" xfId="0" applyFont="1" applyBorder="1" applyAlignment="1" applyProtection="1">
      <alignment horizontal="center" vertical="center"/>
      <protection/>
    </xf>
    <xf numFmtId="0" fontId="58" fillId="0" borderId="49" xfId="0" applyFont="1" applyBorder="1" applyAlignment="1" applyProtection="1">
      <alignment horizontal="center" vertical="center"/>
      <protection/>
    </xf>
    <xf numFmtId="0" fontId="58" fillId="0" borderId="50" xfId="0" applyFont="1" applyBorder="1" applyAlignment="1" applyProtection="1">
      <alignment/>
      <protection/>
    </xf>
    <xf numFmtId="0" fontId="58" fillId="0" borderId="30" xfId="0" applyFont="1" applyBorder="1" applyAlignment="1" applyProtection="1">
      <alignment/>
      <protection/>
    </xf>
    <xf numFmtId="0" fontId="63" fillId="0" borderId="49" xfId="0" applyFont="1" applyBorder="1" applyAlignment="1" applyProtection="1">
      <alignment horizontal="center" vertical="center"/>
      <protection/>
    </xf>
    <xf numFmtId="44" fontId="58" fillId="0" borderId="0" xfId="0" applyNumberFormat="1" applyFont="1" applyAlignment="1" applyProtection="1">
      <alignment/>
      <protection/>
    </xf>
    <xf numFmtId="0" fontId="5" fillId="0" borderId="51" xfId="0" applyFont="1" applyFill="1" applyBorder="1" applyAlignment="1" applyProtection="1">
      <alignment horizontal="center" vertical="center"/>
      <protection/>
    </xf>
    <xf numFmtId="44" fontId="5" fillId="0" borderId="0" xfId="46"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58" fillId="0" borderId="40" xfId="0" applyFont="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58" fillId="0" borderId="0" xfId="0" applyFont="1" applyBorder="1" applyAlignment="1" applyProtection="1">
      <alignment/>
      <protection/>
    </xf>
    <xf numFmtId="0" fontId="58" fillId="0" borderId="0" xfId="0" applyFont="1" applyAlignment="1" applyProtection="1">
      <alignment/>
      <protection/>
    </xf>
    <xf numFmtId="0" fontId="63" fillId="0" borderId="50" xfId="0" applyFont="1" applyBorder="1" applyAlignment="1" applyProtection="1">
      <alignment horizontal="center" vertical="center" wrapText="1"/>
      <protection/>
    </xf>
    <xf numFmtId="40" fontId="58" fillId="0" borderId="0" xfId="46" applyNumberFormat="1" applyFont="1" applyAlignment="1" applyProtection="1">
      <alignment/>
      <protection/>
    </xf>
    <xf numFmtId="0" fontId="58" fillId="0" borderId="0" xfId="0" applyFont="1" applyAlignment="1">
      <alignment/>
    </xf>
    <xf numFmtId="9" fontId="58" fillId="0" borderId="0" xfId="65" applyFont="1" applyAlignment="1" applyProtection="1">
      <alignment/>
      <protection/>
    </xf>
    <xf numFmtId="43" fontId="58" fillId="0" borderId="50" xfId="0" applyNumberFormat="1" applyFont="1" applyBorder="1" applyAlignment="1" applyProtection="1">
      <alignment vertical="center"/>
      <protection/>
    </xf>
    <xf numFmtId="44" fontId="58" fillId="0" borderId="50" xfId="46" applyFont="1" applyBorder="1" applyAlignment="1" applyProtection="1">
      <alignment vertical="center"/>
      <protection/>
    </xf>
    <xf numFmtId="44" fontId="58" fillId="0" borderId="49" xfId="0" applyNumberFormat="1" applyFont="1" applyBorder="1" applyAlignment="1" applyProtection="1">
      <alignment vertical="center" wrapText="1"/>
      <protection/>
    </xf>
    <xf numFmtId="0" fontId="58" fillId="0" borderId="49" xfId="0" applyFont="1" applyBorder="1" applyAlignment="1" applyProtection="1">
      <alignment vertical="center" wrapText="1"/>
      <protection/>
    </xf>
    <xf numFmtId="0" fontId="58" fillId="0" borderId="49" xfId="0" applyFont="1" applyBorder="1" applyAlignment="1" applyProtection="1">
      <alignment vertical="center"/>
      <protection/>
    </xf>
    <xf numFmtId="44" fontId="58" fillId="0" borderId="0" xfId="0" applyNumberFormat="1" applyFont="1" applyAlignment="1" applyProtection="1">
      <alignment vertical="center"/>
      <protection/>
    </xf>
    <xf numFmtId="0" fontId="60" fillId="32" borderId="29" xfId="0" applyFont="1" applyFill="1" applyBorder="1" applyAlignment="1" applyProtection="1">
      <alignment horizontal="center" vertical="center"/>
      <protection locked="0"/>
    </xf>
    <xf numFmtId="0" fontId="60" fillId="32" borderId="52" xfId="0" applyFont="1" applyFill="1" applyBorder="1" applyAlignment="1" applyProtection="1">
      <alignment horizontal="center" vertical="center"/>
      <protection locked="0"/>
    </xf>
    <xf numFmtId="0" fontId="60" fillId="32" borderId="9" xfId="0" applyFont="1" applyFill="1" applyBorder="1" applyAlignment="1" applyProtection="1">
      <alignment horizontal="center" vertical="center" wrapText="1"/>
      <protection locked="0"/>
    </xf>
    <xf numFmtId="0" fontId="63" fillId="0" borderId="25" xfId="0" applyFont="1" applyFill="1" applyBorder="1" applyAlignment="1" applyProtection="1">
      <alignment horizontal="center" wrapText="1"/>
      <protection/>
    </xf>
    <xf numFmtId="43" fontId="60" fillId="32" borderId="16" xfId="46" applyNumberFormat="1" applyFont="1" applyFill="1" applyBorder="1" applyAlignment="1" applyProtection="1">
      <alignment horizontal="center" vertical="center"/>
      <protection locked="0"/>
    </xf>
    <xf numFmtId="9" fontId="58" fillId="0" borderId="0" xfId="65" applyFont="1" applyAlignment="1" applyProtection="1">
      <alignment horizontal="center"/>
      <protection/>
    </xf>
    <xf numFmtId="0" fontId="5" fillId="0" borderId="15" xfId="0" applyFont="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65" fillId="35" borderId="18" xfId="61" applyFont="1" applyFill="1" applyBorder="1" applyAlignment="1" applyProtection="1">
      <alignment horizontal="center" vertical="center"/>
      <protection/>
    </xf>
    <xf numFmtId="0" fontId="12" fillId="0" borderId="0" xfId="61" applyFont="1" applyFill="1" applyBorder="1" applyAlignment="1" applyProtection="1">
      <alignment horizontal="center" vertical="center"/>
      <protection/>
    </xf>
    <xf numFmtId="0" fontId="65" fillId="34" borderId="0" xfId="61" applyFont="1" applyFill="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5" fillId="0" borderId="54" xfId="0" applyFont="1" applyFill="1" applyBorder="1" applyAlignment="1" applyProtection="1">
      <alignment vertical="center"/>
      <protection/>
    </xf>
    <xf numFmtId="0" fontId="63" fillId="0" borderId="26" xfId="0" applyFont="1" applyFill="1" applyBorder="1" applyAlignment="1" applyProtection="1">
      <alignment horizontal="center" vertical="center"/>
      <protection/>
    </xf>
    <xf numFmtId="0" fontId="63" fillId="0" borderId="45" xfId="0" applyFont="1" applyBorder="1" applyAlignment="1" applyProtection="1">
      <alignment horizontal="center" vertical="center"/>
      <protection/>
    </xf>
    <xf numFmtId="3" fontId="58" fillId="0" borderId="16" xfId="0" applyNumberFormat="1" applyFont="1" applyFill="1" applyBorder="1" applyAlignment="1" applyProtection="1">
      <alignment/>
      <protection/>
    </xf>
    <xf numFmtId="0" fontId="58" fillId="0" borderId="17" xfId="0" applyFont="1" applyBorder="1" applyAlignment="1" applyProtection="1">
      <alignment vertical="center"/>
      <protection/>
    </xf>
    <xf numFmtId="0" fontId="63" fillId="0" borderId="54" xfId="0" applyFont="1" applyBorder="1" applyAlignment="1" applyProtection="1">
      <alignment vertical="center"/>
      <protection/>
    </xf>
    <xf numFmtId="0" fontId="63" fillId="0" borderId="51" xfId="0" applyFont="1" applyBorder="1" applyAlignment="1" applyProtection="1">
      <alignment horizontal="center" vertical="center"/>
      <protection/>
    </xf>
    <xf numFmtId="3" fontId="58" fillId="34"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horizontal="center" vertical="center"/>
      <protection/>
    </xf>
    <xf numFmtId="3" fontId="58" fillId="0" borderId="16" xfId="0" applyNumberFormat="1" applyFont="1" applyFill="1" applyBorder="1" applyAlignment="1" applyProtection="1">
      <alignment vertical="center"/>
      <protection/>
    </xf>
    <xf numFmtId="3" fontId="58" fillId="37" borderId="17" xfId="0" applyNumberFormat="1" applyFont="1" applyFill="1" applyBorder="1" applyAlignment="1" applyProtection="1">
      <alignment vertical="center"/>
      <protection/>
    </xf>
    <xf numFmtId="3" fontId="58" fillId="37" borderId="44" xfId="0" applyNumberFormat="1" applyFont="1" applyFill="1" applyBorder="1" applyAlignment="1" applyProtection="1">
      <alignment vertical="center"/>
      <protection/>
    </xf>
    <xf numFmtId="3" fontId="58" fillId="37" borderId="55" xfId="0" applyNumberFormat="1" applyFont="1" applyFill="1" applyBorder="1" applyAlignment="1" applyProtection="1">
      <alignment vertical="center"/>
      <protection/>
    </xf>
    <xf numFmtId="3" fontId="58" fillId="0" borderId="51" xfId="0" applyNumberFormat="1" applyFont="1" applyFill="1" applyBorder="1" applyAlignment="1" applyProtection="1">
      <alignment horizontal="center" vertical="center"/>
      <protection/>
    </xf>
    <xf numFmtId="3" fontId="58" fillId="0" borderId="51" xfId="0" applyNumberFormat="1" applyFont="1" applyBorder="1" applyAlignment="1" applyProtection="1">
      <alignment horizontal="center" vertical="center"/>
      <protection/>
    </xf>
    <xf numFmtId="3" fontId="58" fillId="37" borderId="56" xfId="0" applyNumberFormat="1" applyFont="1" applyFill="1" applyBorder="1" applyAlignment="1" applyProtection="1">
      <alignment vertical="center"/>
      <protection/>
    </xf>
    <xf numFmtId="3" fontId="58" fillId="0" borderId="51" xfId="0" applyNumberFormat="1" applyFont="1" applyFill="1" applyBorder="1" applyAlignment="1" applyProtection="1">
      <alignment vertical="center"/>
      <protection/>
    </xf>
    <xf numFmtId="3" fontId="58" fillId="0" borderId="53" xfId="0" applyNumberFormat="1" applyFont="1" applyFill="1" applyBorder="1" applyAlignment="1" applyProtection="1">
      <alignment vertical="center"/>
      <protection/>
    </xf>
    <xf numFmtId="3" fontId="58" fillId="34" borderId="16" xfId="0" applyNumberFormat="1" applyFont="1" applyFill="1" applyBorder="1" applyAlignment="1" applyProtection="1">
      <alignment vertical="center"/>
      <protection/>
    </xf>
    <xf numFmtId="3" fontId="58" fillId="34" borderId="9" xfId="0" applyNumberFormat="1" applyFont="1" applyFill="1" applyBorder="1" applyAlignment="1" applyProtection="1">
      <alignment vertical="center"/>
      <protection/>
    </xf>
    <xf numFmtId="3" fontId="58" fillId="0" borderId="51" xfId="0" applyNumberFormat="1" applyFont="1" applyBorder="1" applyAlignment="1" applyProtection="1">
      <alignment horizontal="right" vertical="center"/>
      <protection/>
    </xf>
    <xf numFmtId="3" fontId="58" fillId="0" borderId="16" xfId="0" applyNumberFormat="1" applyFont="1" applyFill="1" applyBorder="1" applyAlignment="1" applyProtection="1">
      <alignment horizontal="right" vertical="center"/>
      <protection/>
    </xf>
    <xf numFmtId="3" fontId="58" fillId="0" borderId="9" xfId="0" applyNumberFormat="1" applyFont="1" applyFill="1" applyBorder="1" applyAlignment="1" applyProtection="1">
      <alignment vertical="center"/>
      <protection/>
    </xf>
    <xf numFmtId="3" fontId="58" fillId="0" borderId="17" xfId="0" applyNumberFormat="1" applyFont="1" applyFill="1" applyBorder="1" applyAlignment="1" applyProtection="1">
      <alignment vertical="center"/>
      <protection/>
    </xf>
    <xf numFmtId="3" fontId="58" fillId="0" borderId="13" xfId="0" applyNumberFormat="1" applyFont="1" applyFill="1" applyBorder="1" applyAlignment="1" applyProtection="1">
      <alignment vertical="center"/>
      <protection/>
    </xf>
    <xf numFmtId="3" fontId="58" fillId="0" borderId="14" xfId="0" applyNumberFormat="1" applyFont="1" applyFill="1" applyBorder="1" applyAlignment="1" applyProtection="1">
      <alignment vertical="center"/>
      <protection/>
    </xf>
    <xf numFmtId="3" fontId="58" fillId="0" borderId="25" xfId="0" applyNumberFormat="1" applyFont="1" applyFill="1" applyBorder="1" applyAlignment="1" applyProtection="1">
      <alignment vertical="center"/>
      <protection/>
    </xf>
    <xf numFmtId="0" fontId="66" fillId="0" borderId="25" xfId="0" applyFont="1" applyBorder="1" applyAlignment="1" applyProtection="1">
      <alignment/>
      <protection/>
    </xf>
    <xf numFmtId="0" fontId="58" fillId="0" borderId="40" xfId="0" applyFont="1" applyBorder="1" applyAlignment="1" applyProtection="1">
      <alignment/>
      <protection/>
    </xf>
    <xf numFmtId="0" fontId="66" fillId="0" borderId="40" xfId="0" applyFont="1" applyBorder="1" applyAlignment="1" applyProtection="1">
      <alignment/>
      <protection/>
    </xf>
    <xf numFmtId="0" fontId="66" fillId="0" borderId="40" xfId="0" applyFont="1" applyBorder="1" applyAlignment="1" applyProtection="1">
      <alignment horizontal="center"/>
      <protection/>
    </xf>
    <xf numFmtId="0" fontId="66" fillId="0" borderId="14" xfId="0" applyFont="1" applyBorder="1" applyAlignment="1" applyProtection="1">
      <alignment horizontal="center"/>
      <protection/>
    </xf>
    <xf numFmtId="0" fontId="58" fillId="0" borderId="12" xfId="0" applyFont="1" applyBorder="1" applyAlignment="1" applyProtection="1">
      <alignment/>
      <protection/>
    </xf>
    <xf numFmtId="0" fontId="58" fillId="38" borderId="12" xfId="0" applyFont="1" applyFill="1" applyBorder="1" applyAlignment="1" applyProtection="1">
      <alignment/>
      <protection/>
    </xf>
    <xf numFmtId="0" fontId="58" fillId="38" borderId="0" xfId="0" applyFont="1" applyFill="1" applyBorder="1" applyAlignment="1" applyProtection="1">
      <alignment/>
      <protection/>
    </xf>
    <xf numFmtId="0" fontId="58" fillId="0" borderId="28" xfId="0" applyFont="1" applyBorder="1" applyAlignment="1" applyProtection="1">
      <alignment/>
      <protection/>
    </xf>
    <xf numFmtId="0" fontId="63" fillId="0" borderId="37" xfId="0" applyFont="1" applyBorder="1" applyAlignment="1" applyProtection="1">
      <alignment horizontal="center" vertical="center"/>
      <protection/>
    </xf>
    <xf numFmtId="0" fontId="63" fillId="0" borderId="30" xfId="0" applyFont="1" applyBorder="1" applyAlignment="1" applyProtection="1">
      <alignment horizontal="center" vertical="center"/>
      <protection/>
    </xf>
    <xf numFmtId="0" fontId="63" fillId="0" borderId="57" xfId="0" applyFont="1" applyBorder="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8" fillId="0" borderId="50" xfId="0" applyFont="1" applyBorder="1" applyAlignment="1" applyProtection="1">
      <alignment vertical="center"/>
      <protection/>
    </xf>
    <xf numFmtId="0" fontId="58" fillId="0" borderId="30" xfId="0" applyFont="1" applyBorder="1" applyAlignment="1" applyProtection="1">
      <alignment vertical="center"/>
      <protection/>
    </xf>
    <xf numFmtId="0" fontId="58" fillId="0" borderId="0" xfId="0" applyFont="1" applyAlignment="1" applyProtection="1">
      <alignment horizontal="left" vertical="center" wrapText="1"/>
      <protection/>
    </xf>
    <xf numFmtId="44" fontId="5" fillId="0" borderId="19" xfId="46" applyFont="1" applyFill="1" applyBorder="1" applyAlignment="1" applyProtection="1">
      <alignment vertical="center"/>
      <protection/>
    </xf>
    <xf numFmtId="0" fontId="5" fillId="0" borderId="54" xfId="0" applyFont="1" applyBorder="1" applyAlignment="1" applyProtection="1">
      <alignment horizontal="center" vertical="center"/>
      <protection/>
    </xf>
    <xf numFmtId="0" fontId="6" fillId="2" borderId="50"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6" fillId="0" borderId="16" xfId="0" applyFont="1" applyFill="1" applyBorder="1" applyAlignment="1">
      <alignment/>
    </xf>
    <xf numFmtId="0" fontId="58" fillId="0" borderId="16" xfId="0" applyFont="1" applyFill="1" applyBorder="1" applyAlignment="1">
      <alignment/>
    </xf>
    <xf numFmtId="0" fontId="58" fillId="0" borderId="16" xfId="0" applyFont="1" applyBorder="1" applyAlignment="1">
      <alignment/>
    </xf>
    <xf numFmtId="0" fontId="6" fillId="0" borderId="16" xfId="0" applyFont="1" applyBorder="1" applyAlignment="1">
      <alignment/>
    </xf>
    <xf numFmtId="0" fontId="58" fillId="34" borderId="16" xfId="0" applyFont="1" applyFill="1" applyBorder="1" applyAlignment="1">
      <alignment/>
    </xf>
    <xf numFmtId="0" fontId="58" fillId="0" borderId="0" xfId="0" applyFont="1" applyBorder="1" applyAlignment="1" applyProtection="1">
      <alignment wrapText="1"/>
      <protection/>
    </xf>
    <xf numFmtId="0" fontId="58" fillId="0" borderId="0" xfId="0" applyFont="1" applyFill="1" applyBorder="1" applyAlignment="1" applyProtection="1">
      <alignment wrapText="1"/>
      <protection/>
    </xf>
    <xf numFmtId="0" fontId="65" fillId="0" borderId="0" xfId="61" applyFont="1" applyFill="1" applyBorder="1" applyAlignment="1" applyProtection="1">
      <alignment horizontal="center" vertical="center"/>
      <protection/>
    </xf>
    <xf numFmtId="3" fontId="60" fillId="32" borderId="16" xfId="0" applyNumberFormat="1" applyFont="1" applyFill="1" applyBorder="1" applyAlignment="1" applyProtection="1">
      <alignment vertical="center"/>
      <protection locked="0"/>
    </xf>
    <xf numFmtId="3" fontId="60" fillId="32" borderId="17" xfId="0" applyNumberFormat="1" applyFont="1" applyFill="1" applyBorder="1" applyAlignment="1" applyProtection="1">
      <alignment vertical="center"/>
      <protection locked="0"/>
    </xf>
    <xf numFmtId="41" fontId="58" fillId="0" borderId="0" xfId="46" applyNumberFormat="1" applyFont="1" applyFill="1" applyBorder="1" applyAlignment="1" applyProtection="1">
      <alignment vertical="center"/>
      <protection/>
    </xf>
    <xf numFmtId="44" fontId="58" fillId="34" borderId="32" xfId="46" applyNumberFormat="1" applyFont="1" applyFill="1" applyBorder="1" applyAlignment="1" applyProtection="1">
      <alignment vertical="center"/>
      <protection/>
    </xf>
    <xf numFmtId="44" fontId="58" fillId="34" borderId="35" xfId="0" applyNumberFormat="1" applyFont="1" applyFill="1" applyBorder="1" applyAlignment="1" applyProtection="1">
      <alignment vertical="center"/>
      <protection/>
    </xf>
    <xf numFmtId="0" fontId="64" fillId="0" borderId="0" xfId="0" applyFont="1" applyAlignment="1" applyProtection="1">
      <alignment horizontal="center"/>
      <protection/>
    </xf>
    <xf numFmtId="37" fontId="5" fillId="0" borderId="54" xfId="46" applyNumberFormat="1" applyFont="1" applyFill="1" applyBorder="1" applyAlignment="1" applyProtection="1">
      <alignment vertical="center"/>
      <protection/>
    </xf>
    <xf numFmtId="0" fontId="5" fillId="36" borderId="17" xfId="0" applyFont="1" applyFill="1" applyBorder="1" applyAlignment="1">
      <alignment horizontal="center" wrapText="1"/>
    </xf>
    <xf numFmtId="0" fontId="5" fillId="36" borderId="16" xfId="0" applyFont="1" applyFill="1" applyBorder="1" applyAlignment="1">
      <alignment horizontal="center" wrapText="1"/>
    </xf>
    <xf numFmtId="0" fontId="5" fillId="36" borderId="44" xfId="0" applyFont="1" applyFill="1" applyBorder="1" applyAlignment="1">
      <alignment horizontal="center" wrapText="1"/>
    </xf>
    <xf numFmtId="0" fontId="58" fillId="0" borderId="0" xfId="0" applyFont="1" applyFill="1" applyAlignment="1">
      <alignment/>
    </xf>
    <xf numFmtId="37" fontId="58" fillId="0" borderId="0" xfId="0" applyNumberFormat="1" applyFont="1" applyBorder="1" applyAlignment="1" applyProtection="1">
      <alignment horizontal="center"/>
      <protection/>
    </xf>
    <xf numFmtId="37" fontId="58" fillId="0" borderId="28" xfId="0" applyNumberFormat="1" applyFont="1" applyBorder="1" applyAlignment="1" applyProtection="1">
      <alignment horizontal="center"/>
      <protection/>
    </xf>
    <xf numFmtId="37" fontId="58" fillId="38" borderId="0" xfId="0" applyNumberFormat="1" applyFont="1" applyFill="1" applyBorder="1" applyAlignment="1" applyProtection="1">
      <alignment horizontal="center"/>
      <protection/>
    </xf>
    <xf numFmtId="37" fontId="58" fillId="38" borderId="28" xfId="0" applyNumberFormat="1" applyFont="1" applyFill="1" applyBorder="1" applyAlignment="1" applyProtection="1">
      <alignment horizontal="center"/>
      <protection/>
    </xf>
    <xf numFmtId="0" fontId="58" fillId="0" borderId="0" xfId="0" applyFont="1" applyAlignment="1" applyProtection="1">
      <alignment wrapText="1"/>
      <protection/>
    </xf>
    <xf numFmtId="0" fontId="58" fillId="0" borderId="56" xfId="0" applyFont="1" applyBorder="1" applyAlignment="1" applyProtection="1">
      <alignment vertical="center"/>
      <protection/>
    </xf>
    <xf numFmtId="44" fontId="58" fillId="0" borderId="31" xfId="46" applyFont="1" applyBorder="1" applyAlignment="1" applyProtection="1">
      <alignment vertical="center"/>
      <protection/>
    </xf>
    <xf numFmtId="43" fontId="58" fillId="0" borderId="31" xfId="0" applyNumberFormat="1" applyFont="1" applyBorder="1" applyAlignment="1" applyProtection="1">
      <alignment vertical="center"/>
      <protection/>
    </xf>
    <xf numFmtId="0" fontId="58" fillId="0" borderId="22" xfId="0" applyFont="1" applyBorder="1" applyAlignment="1" applyProtection="1">
      <alignment horizontal="center" vertical="center"/>
      <protection/>
    </xf>
    <xf numFmtId="0" fontId="58" fillId="0" borderId="22" xfId="0" applyFont="1" applyBorder="1" applyAlignment="1" applyProtection="1">
      <alignment vertical="center"/>
      <protection/>
    </xf>
    <xf numFmtId="0" fontId="58" fillId="0" borderId="22" xfId="0" applyFont="1" applyBorder="1" applyAlignment="1" applyProtection="1">
      <alignment vertical="center" wrapText="1"/>
      <protection/>
    </xf>
    <xf numFmtId="44" fontId="58" fillId="0" borderId="22" xfId="0" applyNumberFormat="1" applyFont="1" applyBorder="1" applyAlignment="1" applyProtection="1">
      <alignment vertical="center" wrapText="1"/>
      <protection/>
    </xf>
    <xf numFmtId="44" fontId="58" fillId="0" borderId="23" xfId="46" applyFont="1" applyBorder="1" applyAlignment="1" applyProtection="1">
      <alignment vertical="center"/>
      <protection/>
    </xf>
    <xf numFmtId="43" fontId="58" fillId="0" borderId="23" xfId="0" applyNumberFormat="1" applyFont="1" applyBorder="1" applyAlignment="1" applyProtection="1">
      <alignment vertical="center"/>
      <protection/>
    </xf>
    <xf numFmtId="0" fontId="6" fillId="34" borderId="0" xfId="61" applyFont="1" applyFill="1" applyAlignment="1" applyProtection="1">
      <alignment horizontal="left" vertical="center" indent="1"/>
      <protection/>
    </xf>
    <xf numFmtId="0" fontId="8" fillId="32" borderId="52" xfId="0" applyFont="1" applyFill="1" applyBorder="1" applyAlignment="1" applyProtection="1">
      <alignment vertical="center"/>
      <protection locked="0"/>
    </xf>
    <xf numFmtId="0" fontId="8" fillId="32" borderId="31" xfId="0" applyFont="1" applyFill="1" applyBorder="1" applyAlignment="1" applyProtection="1">
      <alignment vertical="center"/>
      <protection locked="0"/>
    </xf>
    <xf numFmtId="0" fontId="8" fillId="32" borderId="58" xfId="0" applyFont="1" applyFill="1" applyBorder="1" applyAlignment="1" applyProtection="1">
      <alignment vertical="center"/>
      <protection locked="0"/>
    </xf>
    <xf numFmtId="0" fontId="58" fillId="0" borderId="0" xfId="0" applyFont="1" applyAlignment="1" applyProtection="1">
      <alignment horizontal="center" wrapText="1"/>
      <protection/>
    </xf>
    <xf numFmtId="0" fontId="6" fillId="0" borderId="0" xfId="0" applyFont="1" applyAlignment="1" applyProtection="1">
      <alignment horizontal="center" vertical="center"/>
      <protection/>
    </xf>
    <xf numFmtId="0" fontId="63" fillId="0" borderId="59" xfId="0" applyFont="1" applyBorder="1" applyAlignment="1" applyProtection="1">
      <alignment horizontal="center" wrapText="1"/>
      <protection/>
    </xf>
    <xf numFmtId="0" fontId="63" fillId="0" borderId="37" xfId="0" applyFont="1" applyFill="1" applyBorder="1" applyAlignment="1" applyProtection="1">
      <alignment horizontal="center" wrapText="1"/>
      <protection/>
    </xf>
    <xf numFmtId="0" fontId="63" fillId="0" borderId="17" xfId="0" applyFont="1" applyBorder="1" applyAlignment="1" applyProtection="1">
      <alignment horizontal="center" wrapText="1"/>
      <protection/>
    </xf>
    <xf numFmtId="44" fontId="63" fillId="0" borderId="17" xfId="0" applyNumberFormat="1" applyFont="1" applyBorder="1" applyAlignment="1" applyProtection="1">
      <alignment horizontal="center" wrapText="1"/>
      <protection/>
    </xf>
    <xf numFmtId="0" fontId="58" fillId="0" borderId="32" xfId="0" applyFont="1" applyBorder="1" applyAlignment="1" applyProtection="1">
      <alignment vertical="center"/>
      <protection/>
    </xf>
    <xf numFmtId="3" fontId="58" fillId="0" borderId="47" xfId="42" applyNumberFormat="1" applyFont="1" applyBorder="1" applyAlignment="1" applyProtection="1">
      <alignment vertical="center"/>
      <protection/>
    </xf>
    <xf numFmtId="3" fontId="58" fillId="0" borderId="24" xfId="0" applyNumberFormat="1" applyFont="1" applyBorder="1" applyAlignment="1" applyProtection="1">
      <alignment vertical="center"/>
      <protection/>
    </xf>
    <xf numFmtId="173" fontId="58" fillId="0" borderId="23" xfId="0" applyNumberFormat="1" applyFont="1" applyBorder="1" applyAlignment="1" applyProtection="1">
      <alignment vertical="center"/>
      <protection/>
    </xf>
    <xf numFmtId="0" fontId="58" fillId="0" borderId="53" xfId="0" applyFont="1" applyBorder="1" applyAlignment="1" applyProtection="1">
      <alignment vertical="center"/>
      <protection/>
    </xf>
    <xf numFmtId="0" fontId="58" fillId="0" borderId="54" xfId="0" applyFont="1" applyBorder="1" applyAlignment="1" applyProtection="1">
      <alignment vertical="center"/>
      <protection/>
    </xf>
    <xf numFmtId="3" fontId="58" fillId="0" borderId="60" xfId="0" applyNumberFormat="1" applyFont="1" applyBorder="1" applyAlignment="1" applyProtection="1">
      <alignment vertical="center"/>
      <protection/>
    </xf>
    <xf numFmtId="173" fontId="58" fillId="0" borderId="53" xfId="0" applyNumberFormat="1" applyFont="1" applyBorder="1" applyAlignment="1" applyProtection="1">
      <alignment vertical="center"/>
      <protection/>
    </xf>
    <xf numFmtId="173" fontId="58" fillId="0" borderId="61" xfId="0" applyNumberFormat="1" applyFont="1" applyBorder="1" applyAlignment="1" applyProtection="1">
      <alignment vertical="center"/>
      <protection/>
    </xf>
    <xf numFmtId="3" fontId="58" fillId="0" borderId="15" xfId="0" applyNumberFormat="1" applyFont="1" applyBorder="1" applyAlignment="1" applyProtection="1">
      <alignment vertical="center"/>
      <protection/>
    </xf>
    <xf numFmtId="0" fontId="63" fillId="0" borderId="50" xfId="0" applyFont="1" applyBorder="1" applyAlignment="1" applyProtection="1">
      <alignment horizont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63" fillId="0" borderId="16" xfId="0" applyFont="1" applyBorder="1" applyAlignment="1" applyProtection="1">
      <alignment horizontal="center" wrapText="1"/>
      <protection/>
    </xf>
    <xf numFmtId="0" fontId="63" fillId="0" borderId="9" xfId="0" applyFont="1" applyFill="1" applyBorder="1" applyAlignment="1" applyProtection="1">
      <alignment horizontal="center" wrapText="1"/>
      <protection/>
    </xf>
    <xf numFmtId="0" fontId="63" fillId="0" borderId="53" xfId="0" applyFont="1" applyBorder="1" applyAlignment="1" applyProtection="1">
      <alignment vertical="center"/>
      <protection/>
    </xf>
    <xf numFmtId="0" fontId="63" fillId="0" borderId="16" xfId="0" applyFont="1" applyFill="1" applyBorder="1" applyAlignment="1" applyProtection="1">
      <alignment horizontal="center" wrapText="1"/>
      <protection/>
    </xf>
    <xf numFmtId="0" fontId="58" fillId="0" borderId="23"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3" xfId="0" applyFont="1" applyBorder="1" applyAlignment="1" applyProtection="1">
      <alignment horizontal="center" wrapText="1"/>
      <protection/>
    </xf>
    <xf numFmtId="0" fontId="63" fillId="0" borderId="49" xfId="0" applyFont="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49" xfId="0" applyFont="1" applyFill="1" applyBorder="1" applyAlignment="1" applyProtection="1">
      <alignment horizontal="center" wrapText="1"/>
      <protection/>
    </xf>
    <xf numFmtId="0" fontId="63" fillId="0" borderId="30" xfId="0" applyFont="1" applyBorder="1" applyAlignment="1" applyProtection="1">
      <alignment horizontal="center" textRotation="90"/>
      <protection/>
    </xf>
    <xf numFmtId="0" fontId="58" fillId="0" borderId="0" xfId="0" applyFont="1" applyAlignment="1" applyProtection="1">
      <alignment horizontal="center" vertical="center" wrapText="1"/>
      <protection/>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63" fillId="0" borderId="50"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35" xfId="0" applyFont="1" applyBorder="1" applyAlignment="1" applyProtection="1">
      <alignment horizontal="center" vertical="center"/>
      <protection/>
    </xf>
    <xf numFmtId="0" fontId="58" fillId="0" borderId="50" xfId="0" applyFont="1" applyBorder="1" applyAlignment="1" applyProtection="1">
      <alignment horizontal="center" vertical="center"/>
      <protection/>
    </xf>
    <xf numFmtId="0" fontId="58" fillId="0" borderId="54" xfId="0" applyFont="1" applyBorder="1" applyAlignment="1" applyProtection="1">
      <alignment horizontal="center" vertical="center"/>
      <protection/>
    </xf>
    <xf numFmtId="43" fontId="5" fillId="36" borderId="16" xfId="42" applyFont="1" applyFill="1" applyBorder="1" applyAlignment="1">
      <alignment horizontal="center" wrapText="1"/>
    </xf>
    <xf numFmtId="43" fontId="58" fillId="0" borderId="16" xfId="42" applyFont="1" applyBorder="1" applyAlignment="1">
      <alignment/>
    </xf>
    <xf numFmtId="43" fontId="58" fillId="0" borderId="0" xfId="42" applyFont="1" applyAlignment="1">
      <alignment/>
    </xf>
    <xf numFmtId="0" fontId="6" fillId="0" borderId="16" xfId="0" applyFont="1" applyFill="1" applyBorder="1" applyAlignment="1" applyProtection="1">
      <alignment/>
      <protection/>
    </xf>
    <xf numFmtId="0" fontId="58" fillId="0" borderId="16" xfId="0" applyFont="1" applyFill="1" applyBorder="1" applyAlignment="1" applyProtection="1">
      <alignment/>
      <protection/>
    </xf>
    <xf numFmtId="0" fontId="58" fillId="0" borderId="16" xfId="0" applyFont="1" applyBorder="1" applyAlignment="1" applyProtection="1">
      <alignment/>
      <protection/>
    </xf>
    <xf numFmtId="0" fontId="6" fillId="0" borderId="16" xfId="0" applyFont="1" applyBorder="1" applyAlignment="1" applyProtection="1">
      <alignment/>
      <protection/>
    </xf>
    <xf numFmtId="0" fontId="58" fillId="34" borderId="16" xfId="0" applyFont="1" applyFill="1" applyBorder="1" applyAlignment="1" applyProtection="1">
      <alignment/>
      <protection/>
    </xf>
    <xf numFmtId="44" fontId="58" fillId="34" borderId="0" xfId="46" applyFont="1" applyFill="1" applyBorder="1" applyAlignment="1" applyProtection="1">
      <alignment vertical="center"/>
      <protection/>
    </xf>
    <xf numFmtId="0" fontId="63" fillId="0" borderId="0" xfId="0" applyFont="1" applyBorder="1" applyAlignment="1" applyProtection="1">
      <alignment/>
      <protection/>
    </xf>
    <xf numFmtId="0" fontId="58" fillId="0" borderId="50" xfId="0" applyFont="1" applyBorder="1" applyAlignment="1" applyProtection="1">
      <alignment horizontal="center" wrapText="1"/>
      <protection/>
    </xf>
    <xf numFmtId="0" fontId="58" fillId="0" borderId="26" xfId="0" applyFont="1" applyBorder="1" applyAlignment="1" applyProtection="1">
      <alignment horizontal="center" wrapText="1"/>
      <protection/>
    </xf>
    <xf numFmtId="0" fontId="58" fillId="0" borderId="30" xfId="0" applyFont="1" applyBorder="1" applyAlignment="1" applyProtection="1">
      <alignment horizontal="center" wrapText="1"/>
      <protection/>
    </xf>
    <xf numFmtId="0" fontId="58" fillId="0" borderId="0" xfId="0" applyFont="1" applyBorder="1" applyAlignment="1" applyProtection="1">
      <alignment vertical="top" wrapText="1"/>
      <protection/>
    </xf>
    <xf numFmtId="0" fontId="58" fillId="0" borderId="19" xfId="0" applyFont="1" applyBorder="1" applyAlignment="1" applyProtection="1">
      <alignment vertical="top" wrapText="1"/>
      <protection/>
    </xf>
    <xf numFmtId="0" fontId="4" fillId="0" borderId="19" xfId="0" applyFont="1" applyBorder="1" applyAlignment="1" applyProtection="1">
      <alignment horizontal="justify" vertical="top" wrapText="1"/>
      <protection/>
    </xf>
    <xf numFmtId="0" fontId="58" fillId="0" borderId="19" xfId="0" applyFont="1" applyBorder="1" applyAlignment="1" applyProtection="1">
      <alignment horizontal="justify" vertical="top"/>
      <protection/>
    </xf>
    <xf numFmtId="0" fontId="6" fillId="0" borderId="40" xfId="0" applyFont="1" applyFill="1" applyBorder="1" applyAlignment="1" applyProtection="1">
      <alignment vertical="center"/>
      <protection/>
    </xf>
    <xf numFmtId="0" fontId="8" fillId="32" borderId="26"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xf>
    <xf numFmtId="0" fontId="6" fillId="0" borderId="25" xfId="59" applyFont="1" applyFill="1" applyBorder="1" applyAlignment="1" applyProtection="1">
      <alignment horizontal="left" vertical="center"/>
      <protection/>
    </xf>
    <xf numFmtId="0" fontId="6" fillId="0" borderId="40" xfId="59" applyFont="1" applyFill="1" applyBorder="1" applyAlignment="1" applyProtection="1">
      <alignment horizontal="left" vertical="center"/>
      <protection/>
    </xf>
    <xf numFmtId="0" fontId="58" fillId="34" borderId="0" xfId="0" applyFont="1" applyFill="1" applyBorder="1" applyAlignment="1" applyProtection="1">
      <alignment horizontal="right" vertical="center" wrapText="1"/>
      <protection/>
    </xf>
    <xf numFmtId="0" fontId="58" fillId="34" borderId="62" xfId="0" applyFont="1" applyFill="1" applyBorder="1" applyAlignment="1" applyProtection="1">
      <alignment horizontal="right" vertical="center" wrapText="1"/>
      <protection/>
    </xf>
    <xf numFmtId="49" fontId="6" fillId="2" borderId="26" xfId="0" applyNumberFormat="1" applyFont="1" applyFill="1" applyBorder="1" applyAlignment="1" applyProtection="1">
      <alignment horizontal="left" vertical="center"/>
      <protection/>
    </xf>
    <xf numFmtId="49" fontId="6" fillId="2" borderId="30" xfId="0" applyNumberFormat="1" applyFont="1" applyFill="1" applyBorder="1" applyAlignment="1" applyProtection="1">
      <alignment horizontal="left" vertical="center"/>
      <protection/>
    </xf>
    <xf numFmtId="0" fontId="6" fillId="0" borderId="32" xfId="0" applyFont="1" applyFill="1" applyBorder="1" applyAlignment="1" applyProtection="1">
      <alignment horizontal="justify" vertical="center" wrapText="1"/>
      <protection/>
    </xf>
    <xf numFmtId="0" fontId="7" fillId="0" borderId="40" xfId="0" applyFont="1" applyBorder="1" applyAlignment="1" applyProtection="1">
      <alignment vertical="center"/>
      <protection/>
    </xf>
    <xf numFmtId="0" fontId="7" fillId="0" borderId="14" xfId="0" applyFont="1" applyBorder="1" applyAlignment="1" applyProtection="1">
      <alignment vertical="center"/>
      <protection/>
    </xf>
    <xf numFmtId="0" fontId="8" fillId="32" borderId="19" xfId="67" applyNumberFormat="1" applyFont="1" applyBorder="1" applyAlignment="1" applyProtection="1">
      <alignment vertical="center"/>
      <protection locked="0"/>
    </xf>
    <xf numFmtId="0" fontId="8" fillId="32" borderId="63" xfId="67" applyNumberFormat="1" applyFont="1" applyBorder="1" applyAlignment="1" applyProtection="1">
      <alignment vertical="center"/>
      <protection locked="0"/>
    </xf>
    <xf numFmtId="0" fontId="8" fillId="32" borderId="31" xfId="55" applyNumberFormat="1" applyFont="1" applyFill="1" applyBorder="1" applyAlignment="1" applyProtection="1">
      <alignment vertical="center"/>
      <protection locked="0"/>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 fillId="34" borderId="0" xfId="61" applyFont="1" applyFill="1" applyAlignment="1" applyProtection="1">
      <alignment horizontal="left" vertical="center" wrapText="1" indent="1"/>
      <protection/>
    </xf>
    <xf numFmtId="0" fontId="58" fillId="0" borderId="9" xfId="0" applyFont="1" applyFill="1" applyBorder="1" applyAlignment="1" applyProtection="1">
      <alignment horizontal="center"/>
      <protection/>
    </xf>
    <xf numFmtId="0" fontId="58" fillId="0" borderId="32" xfId="0" applyFont="1" applyFill="1" applyBorder="1" applyAlignment="1" applyProtection="1">
      <alignment horizontal="center"/>
      <protection/>
    </xf>
    <xf numFmtId="0" fontId="58" fillId="0" borderId="53"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0" fontId="63" fillId="0" borderId="53" xfId="0" applyFont="1" applyBorder="1" applyAlignment="1" applyProtection="1">
      <alignment vertical="center"/>
      <protection/>
    </xf>
    <xf numFmtId="0" fontId="63" fillId="0" borderId="15" xfId="0" applyFont="1" applyBorder="1" applyAlignment="1" applyProtection="1">
      <alignment vertical="center"/>
      <protection/>
    </xf>
    <xf numFmtId="0" fontId="58" fillId="0" borderId="23" xfId="0" applyFont="1" applyBorder="1" applyAlignment="1" applyProtection="1">
      <alignment vertical="center"/>
      <protection/>
    </xf>
    <xf numFmtId="0" fontId="58" fillId="0" borderId="24" xfId="0" applyFont="1" applyBorder="1" applyAlignment="1" applyProtection="1">
      <alignment vertical="center"/>
      <protection/>
    </xf>
    <xf numFmtId="0" fontId="63" fillId="0" borderId="25" xfId="0" applyFont="1" applyBorder="1" applyAlignment="1" applyProtection="1">
      <alignment horizontal="center" wrapText="1"/>
      <protection/>
    </xf>
    <xf numFmtId="0" fontId="63" fillId="0" borderId="14" xfId="0" applyFont="1" applyBorder="1" applyAlignment="1" applyProtection="1">
      <alignment horizontal="center"/>
      <protection/>
    </xf>
    <xf numFmtId="0" fontId="63" fillId="0" borderId="50" xfId="0" applyFont="1" applyBorder="1" applyAlignment="1" applyProtection="1">
      <alignment horizontal="center"/>
      <protection/>
    </xf>
    <xf numFmtId="0" fontId="63" fillId="0" borderId="30" xfId="0" applyFont="1" applyBorder="1" applyAlignment="1" applyProtection="1">
      <alignment horizontal="center"/>
      <protection/>
    </xf>
    <xf numFmtId="0" fontId="58" fillId="0" borderId="9" xfId="0" applyFont="1" applyBorder="1" applyAlignment="1" applyProtection="1">
      <alignment vertical="center" wrapText="1"/>
      <protection/>
    </xf>
    <xf numFmtId="0" fontId="58" fillId="0" borderId="13" xfId="0" applyFont="1" applyBorder="1" applyAlignment="1" applyProtection="1">
      <alignment vertical="center" wrapText="1"/>
      <protection/>
    </xf>
    <xf numFmtId="0" fontId="58" fillId="0" borderId="9" xfId="0" applyFont="1" applyBorder="1" applyAlignment="1" applyProtection="1">
      <alignment vertical="center"/>
      <protection/>
    </xf>
    <xf numFmtId="0" fontId="58" fillId="0" borderId="13" xfId="0" applyFont="1" applyBorder="1" applyAlignment="1" applyProtection="1">
      <alignment vertical="center"/>
      <protection/>
    </xf>
    <xf numFmtId="0" fontId="3" fillId="0" borderId="16" xfId="0" applyFont="1" applyFill="1" applyBorder="1" applyAlignment="1" applyProtection="1">
      <alignment horizontal="center" wrapText="1"/>
      <protection/>
    </xf>
    <xf numFmtId="0" fontId="63" fillId="0" borderId="16" xfId="0" applyFont="1" applyFill="1" applyBorder="1" applyAlignment="1" applyProtection="1">
      <alignment horizontal="center" wrapText="1"/>
      <protection/>
    </xf>
    <xf numFmtId="0" fontId="58" fillId="0" borderId="23" xfId="0" applyFont="1" applyFill="1" applyBorder="1" applyAlignment="1" applyProtection="1">
      <alignment horizontal="center"/>
      <protection/>
    </xf>
    <xf numFmtId="0" fontId="58" fillId="0" borderId="35" xfId="0" applyFont="1" applyFill="1" applyBorder="1" applyAlignment="1" applyProtection="1">
      <alignment horizontal="center"/>
      <protection/>
    </xf>
    <xf numFmtId="0" fontId="63" fillId="0" borderId="25" xfId="0" applyFont="1" applyBorder="1" applyAlignment="1" applyProtection="1">
      <alignment horizontal="center" vertical="center"/>
      <protection/>
    </xf>
    <xf numFmtId="0" fontId="63" fillId="0" borderId="40" xfId="0" applyFont="1" applyBorder="1" applyAlignment="1" applyProtection="1">
      <alignment horizontal="center" vertical="center"/>
      <protection/>
    </xf>
    <xf numFmtId="0" fontId="58" fillId="0" borderId="32" xfId="0" applyFont="1" applyBorder="1" applyAlignment="1" applyProtection="1">
      <alignment horizontal="justify" vertical="center" wrapText="1"/>
      <protection/>
    </xf>
    <xf numFmtId="0" fontId="3" fillId="0" borderId="16" xfId="0" applyFont="1" applyBorder="1" applyAlignment="1" applyProtection="1">
      <alignment horizontal="center" wrapText="1"/>
      <protection/>
    </xf>
    <xf numFmtId="0" fontId="63" fillId="0" borderId="16" xfId="0" applyFont="1" applyBorder="1" applyAlignment="1" applyProtection="1">
      <alignment horizontal="center" wrapText="1"/>
      <protection/>
    </xf>
    <xf numFmtId="0" fontId="58" fillId="0" borderId="32" xfId="0" applyFont="1" applyFill="1" applyBorder="1" applyAlignment="1" applyProtection="1">
      <alignment horizontal="justify" vertical="center" wrapText="1"/>
      <protection/>
    </xf>
    <xf numFmtId="0" fontId="63" fillId="0" borderId="9" xfId="0" applyFont="1" applyFill="1" applyBorder="1" applyAlignment="1" applyProtection="1">
      <alignment horizontal="center" wrapText="1"/>
      <protection/>
    </xf>
    <xf numFmtId="0" fontId="63" fillId="0" borderId="32" xfId="0" applyFont="1" applyFill="1" applyBorder="1" applyAlignment="1" applyProtection="1">
      <alignment horizontal="center" wrapText="1"/>
      <protection/>
    </xf>
    <xf numFmtId="0" fontId="58" fillId="0" borderId="29" xfId="0" applyFont="1" applyBorder="1" applyAlignment="1" applyProtection="1">
      <alignment vertical="center" wrapText="1"/>
      <protection/>
    </xf>
    <xf numFmtId="0" fontId="58" fillId="0" borderId="27" xfId="0" applyFont="1" applyBorder="1" applyAlignment="1" applyProtection="1">
      <alignment vertical="center" wrapText="1"/>
      <protection/>
    </xf>
    <xf numFmtId="0" fontId="58" fillId="0" borderId="64" xfId="0" applyFont="1" applyBorder="1" applyAlignment="1" applyProtection="1">
      <alignment vertical="center" wrapText="1"/>
      <protection/>
    </xf>
    <xf numFmtId="0" fontId="63" fillId="0" borderId="11" xfId="0" applyFont="1" applyBorder="1" applyAlignment="1" applyProtection="1">
      <alignment horizontal="center" vertical="center"/>
      <protection/>
    </xf>
    <xf numFmtId="0" fontId="63" fillId="0" borderId="0" xfId="0" applyFont="1" applyAlignment="1" applyProtection="1" quotePrefix="1">
      <alignment horizontal="center" vertical="center"/>
      <protection/>
    </xf>
    <xf numFmtId="166" fontId="63" fillId="0" borderId="0" xfId="0" applyNumberFormat="1" applyFont="1" applyAlignment="1" applyProtection="1">
      <alignment horizontal="center" vertical="center"/>
      <protection/>
    </xf>
    <xf numFmtId="0" fontId="63" fillId="0" borderId="19" xfId="0" applyFont="1" applyBorder="1" applyAlignment="1" applyProtection="1">
      <alignment horizontal="center" vertical="center"/>
      <protection/>
    </xf>
    <xf numFmtId="0" fontId="63" fillId="0" borderId="50" xfId="0" applyFont="1" applyBorder="1" applyAlignment="1" applyProtection="1">
      <alignment horizontal="center" wrapText="1"/>
      <protection/>
    </xf>
    <xf numFmtId="0" fontId="63" fillId="0" borderId="30" xfId="0" applyFont="1" applyBorder="1" applyAlignment="1" applyProtection="1">
      <alignment horizontal="center" wrapText="1"/>
      <protection/>
    </xf>
    <xf numFmtId="0" fontId="63" fillId="0" borderId="13" xfId="0" applyFont="1" applyBorder="1" applyAlignment="1" applyProtection="1">
      <alignment horizontal="center" textRotation="90" wrapText="1"/>
      <protection/>
    </xf>
    <xf numFmtId="0" fontId="63" fillId="0" borderId="13" xfId="0" applyFont="1" applyBorder="1" applyAlignment="1" applyProtection="1">
      <alignment horizontal="center" textRotation="90"/>
      <protection/>
    </xf>
    <xf numFmtId="0" fontId="63" fillId="0" borderId="0" xfId="0" applyFont="1" applyBorder="1" applyAlignment="1" applyProtection="1">
      <alignment horizontal="center" vertical="center"/>
      <protection/>
    </xf>
    <xf numFmtId="0" fontId="58" fillId="0" borderId="26" xfId="0" applyFont="1" applyBorder="1" applyAlignment="1" applyProtection="1">
      <alignment horizontal="justify" vertical="center" wrapText="1"/>
      <protection/>
    </xf>
    <xf numFmtId="0" fontId="63" fillId="0" borderId="13" xfId="0" applyFont="1" applyBorder="1" applyAlignment="1" applyProtection="1">
      <alignment horizontal="center" wrapText="1"/>
      <protection/>
    </xf>
    <xf numFmtId="0" fontId="63" fillId="0" borderId="13" xfId="0" applyFont="1" applyBorder="1" applyAlignment="1" applyProtection="1">
      <alignment horizontal="center"/>
      <protection/>
    </xf>
    <xf numFmtId="0" fontId="58" fillId="0" borderId="0" xfId="0" applyFont="1" applyAlignment="1" applyProtection="1">
      <alignment horizontal="justify" wrapText="1"/>
      <protection/>
    </xf>
    <xf numFmtId="0" fontId="63" fillId="0" borderId="49" xfId="0" applyFont="1" applyFill="1" applyBorder="1" applyAlignment="1" applyProtection="1">
      <alignment horizontal="center" wrapText="1"/>
      <protection/>
    </xf>
    <xf numFmtId="0" fontId="63" fillId="0" borderId="16" xfId="0" applyFont="1" applyFill="1" applyBorder="1" applyAlignment="1" applyProtection="1">
      <alignment horizontal="center"/>
      <protection/>
    </xf>
    <xf numFmtId="0" fontId="63" fillId="0" borderId="30" xfId="0" applyFont="1" applyBorder="1" applyAlignment="1" applyProtection="1">
      <alignment horizontal="center" textRotation="90"/>
      <protection/>
    </xf>
    <xf numFmtId="0" fontId="6" fillId="0" borderId="27" xfId="0" applyFont="1" applyFill="1" applyBorder="1" applyAlignment="1" applyProtection="1">
      <alignment vertical="center" wrapText="1"/>
      <protection/>
    </xf>
    <xf numFmtId="0" fontId="6" fillId="0" borderId="64" xfId="0" applyFont="1" applyFill="1" applyBorder="1" applyAlignment="1" applyProtection="1">
      <alignment vertical="center" wrapText="1"/>
      <protection/>
    </xf>
    <xf numFmtId="0" fontId="4" fillId="0" borderId="19" xfId="0" applyFont="1" applyBorder="1" applyAlignment="1" applyProtection="1">
      <alignment horizontal="justify" vertical="center" wrapText="1"/>
      <protection/>
    </xf>
    <xf numFmtId="0" fontId="58" fillId="0" borderId="0" xfId="0" applyFont="1" applyAlignment="1" applyProtection="1">
      <alignment horizontal="center" vertical="center" wrapText="1"/>
      <protection/>
    </xf>
    <xf numFmtId="0" fontId="58" fillId="34" borderId="9" xfId="0" applyFont="1" applyFill="1" applyBorder="1" applyAlignment="1" applyProtection="1">
      <alignment vertical="center" wrapText="1"/>
      <protection/>
    </xf>
    <xf numFmtId="0" fontId="58" fillId="34" borderId="32" xfId="0" applyFont="1" applyFill="1" applyBorder="1" applyAlignment="1" applyProtection="1">
      <alignment vertical="center" wrapText="1"/>
      <protection/>
    </xf>
    <xf numFmtId="0" fontId="63" fillId="0" borderId="0" xfId="0" applyFont="1" applyAlignment="1" applyProtection="1">
      <alignment horizontal="center" vertical="center" wrapText="1"/>
      <protection/>
    </xf>
    <xf numFmtId="0" fontId="63" fillId="0" borderId="0" xfId="0" applyFont="1" applyAlignment="1" applyProtection="1">
      <alignment horizontal="center" vertical="center"/>
      <protection/>
    </xf>
    <xf numFmtId="0" fontId="63" fillId="0" borderId="28" xfId="0" applyFont="1" applyBorder="1" applyAlignment="1" applyProtection="1">
      <alignment horizontal="center" wrapText="1"/>
      <protection/>
    </xf>
    <xf numFmtId="0" fontId="63" fillId="0" borderId="12" xfId="0" applyFont="1" applyFill="1" applyBorder="1" applyAlignment="1" applyProtection="1">
      <alignment horizontal="center" wrapText="1"/>
      <protection/>
    </xf>
    <xf numFmtId="0" fontId="63" fillId="0" borderId="38" xfId="0" applyFont="1" applyFill="1" applyBorder="1" applyAlignment="1" applyProtection="1">
      <alignment horizontal="center" wrapText="1"/>
      <protection/>
    </xf>
    <xf numFmtId="0" fontId="63" fillId="0" borderId="50" xfId="0" applyFont="1" applyFill="1" applyBorder="1" applyAlignment="1" applyProtection="1">
      <alignment horizontal="center" wrapText="1"/>
      <protection/>
    </xf>
    <xf numFmtId="0" fontId="63" fillId="0" borderId="26" xfId="0" applyFont="1" applyFill="1" applyBorder="1" applyAlignment="1" applyProtection="1">
      <alignment horizontal="center" wrapText="1"/>
      <protection/>
    </xf>
    <xf numFmtId="0" fontId="58" fillId="34" borderId="23" xfId="0" applyFont="1" applyFill="1" applyBorder="1" applyAlignment="1" applyProtection="1">
      <alignment vertical="center" wrapText="1"/>
      <protection/>
    </xf>
    <xf numFmtId="0" fontId="58" fillId="34" borderId="35" xfId="0" applyFont="1" applyFill="1" applyBorder="1" applyAlignment="1" applyProtection="1">
      <alignment vertical="center" wrapText="1"/>
      <protection/>
    </xf>
    <xf numFmtId="0" fontId="63" fillId="0" borderId="49" xfId="0" applyFont="1" applyBorder="1" applyAlignment="1" applyProtection="1">
      <alignment horizontal="center" wrapText="1"/>
      <protection/>
    </xf>
    <xf numFmtId="0" fontId="63" fillId="0" borderId="44" xfId="0" applyFont="1" applyBorder="1" applyAlignment="1" applyProtection="1">
      <alignment horizontal="center" wrapText="1"/>
      <protection/>
    </xf>
    <xf numFmtId="0" fontId="63" fillId="0" borderId="65" xfId="0" applyFont="1" applyBorder="1" applyAlignment="1" applyProtection="1">
      <alignment horizontal="center"/>
      <protection/>
    </xf>
    <xf numFmtId="0" fontId="63" fillId="0" borderId="38" xfId="0" applyFont="1" applyBorder="1" applyAlignment="1" applyProtection="1">
      <alignment horizontal="center"/>
      <protection/>
    </xf>
    <xf numFmtId="0" fontId="63" fillId="0" borderId="66" xfId="0" applyFont="1" applyBorder="1" applyAlignment="1" applyProtection="1">
      <alignment horizontal="center"/>
      <protection/>
    </xf>
    <xf numFmtId="0" fontId="63" fillId="0" borderId="36" xfId="0" applyFont="1" applyBorder="1" applyAlignment="1" applyProtection="1">
      <alignment horizontal="center"/>
      <protection/>
    </xf>
    <xf numFmtId="0" fontId="63" fillId="0" borderId="0" xfId="0" applyFont="1" applyBorder="1" applyAlignment="1" applyProtection="1">
      <alignment horizontal="center"/>
      <protection/>
    </xf>
    <xf numFmtId="49" fontId="60" fillId="32" borderId="32" xfId="46" applyNumberFormat="1" applyFont="1" applyFill="1" applyBorder="1" applyAlignment="1" applyProtection="1">
      <alignment vertical="center" wrapText="1"/>
      <protection locked="0"/>
    </xf>
    <xf numFmtId="0" fontId="58" fillId="0" borderId="38" xfId="0" applyFont="1" applyBorder="1" applyAlignment="1" applyProtection="1">
      <alignment horizontal="justify" vertical="center" wrapText="1"/>
      <protection/>
    </xf>
    <xf numFmtId="0" fontId="5" fillId="0" borderId="65"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66" xfId="0" applyFont="1" applyFill="1" applyBorder="1" applyAlignment="1" applyProtection="1">
      <alignment horizontal="center" vertical="center" wrapText="1"/>
      <protection/>
    </xf>
    <xf numFmtId="0" fontId="63" fillId="0" borderId="65" xfId="0" applyFont="1" applyFill="1" applyBorder="1" applyAlignment="1" applyProtection="1">
      <alignment horizontal="center" vertical="center" wrapText="1"/>
      <protection/>
    </xf>
    <xf numFmtId="0" fontId="63" fillId="0" borderId="38" xfId="0" applyFont="1" applyFill="1" applyBorder="1" applyAlignment="1" applyProtection="1">
      <alignment horizontal="center" vertical="center" wrapText="1"/>
      <protection/>
    </xf>
    <xf numFmtId="0" fontId="63" fillId="0" borderId="66" xfId="0" applyFont="1" applyFill="1" applyBorder="1" applyAlignment="1" applyProtection="1">
      <alignment horizontal="center" vertical="center" wrapText="1"/>
      <protection/>
    </xf>
    <xf numFmtId="0" fontId="63" fillId="0" borderId="65" xfId="0" applyFont="1" applyFill="1" applyBorder="1" applyAlignment="1" applyProtection="1">
      <alignment horizontal="center" wrapText="1"/>
      <protection/>
    </xf>
    <xf numFmtId="0" fontId="63" fillId="0" borderId="57" xfId="0" applyFont="1" applyFill="1" applyBorder="1" applyAlignment="1" applyProtection="1">
      <alignment horizontal="center" wrapText="1"/>
      <protection/>
    </xf>
    <xf numFmtId="49" fontId="60" fillId="32" borderId="32" xfId="46" applyNumberFormat="1" applyFont="1" applyFill="1" applyBorder="1" applyAlignment="1" applyProtection="1">
      <alignment horizontal="left" vertical="center" wrapText="1"/>
      <protection locked="0"/>
    </xf>
    <xf numFmtId="0" fontId="63" fillId="0" borderId="0" xfId="0" applyFont="1" applyAlignment="1" applyProtection="1" quotePrefix="1">
      <alignment horizontal="center"/>
      <protection/>
    </xf>
    <xf numFmtId="0" fontId="63" fillId="0" borderId="0" xfId="0" applyFont="1" applyAlignment="1" applyProtection="1">
      <alignment horizontal="center"/>
      <protection/>
    </xf>
    <xf numFmtId="0" fontId="4" fillId="0" borderId="11" xfId="0" applyFont="1" applyBorder="1" applyAlignment="1" applyProtection="1">
      <alignment horizontal="justify" vertical="center" wrapText="1"/>
      <protection/>
    </xf>
    <xf numFmtId="0" fontId="6" fillId="0" borderId="19" xfId="0" applyFont="1" applyFill="1" applyBorder="1" applyAlignment="1" applyProtection="1">
      <alignment vertical="center" wrapText="1"/>
      <protection/>
    </xf>
    <xf numFmtId="49" fontId="60" fillId="32" borderId="9" xfId="46" applyNumberFormat="1" applyFont="1" applyFill="1" applyBorder="1" applyAlignment="1" applyProtection="1">
      <alignment vertical="center" wrapText="1"/>
      <protection locked="0"/>
    </xf>
    <xf numFmtId="49" fontId="60" fillId="32" borderId="9" xfId="46" applyNumberFormat="1" applyFont="1" applyFill="1" applyBorder="1" applyAlignment="1" applyProtection="1">
      <alignment horizontal="left" vertical="center" wrapText="1"/>
      <protection locked="0"/>
    </xf>
    <xf numFmtId="0" fontId="63" fillId="0" borderId="52" xfId="0" applyFont="1" applyFill="1" applyBorder="1" applyAlignment="1" applyProtection="1">
      <alignment horizontal="center" wrapText="1"/>
      <protection/>
    </xf>
    <xf numFmtId="0" fontId="63" fillId="0" borderId="11" xfId="0" applyFont="1" applyFill="1" applyBorder="1" applyAlignment="1" applyProtection="1">
      <alignment horizontal="center" wrapText="1"/>
      <protection/>
    </xf>
    <xf numFmtId="0" fontId="6" fillId="0" borderId="67" xfId="0" applyFont="1" applyFill="1" applyBorder="1" applyAlignment="1" applyProtection="1">
      <alignment vertical="center" wrapText="1"/>
      <protection/>
    </xf>
    <xf numFmtId="0" fontId="63" fillId="0" borderId="0" xfId="0" applyFont="1" applyBorder="1" applyAlignment="1" applyProtection="1" quotePrefix="1">
      <alignment horizontal="center"/>
      <protection/>
    </xf>
    <xf numFmtId="0" fontId="63" fillId="0" borderId="19" xfId="0" applyFont="1" applyBorder="1" applyAlignment="1" applyProtection="1">
      <alignment horizontal="center"/>
      <protection/>
    </xf>
    <xf numFmtId="0" fontId="63" fillId="0" borderId="38" xfId="0" applyFont="1" applyBorder="1" applyAlignment="1" applyProtection="1">
      <alignment horizontal="center" vertical="center"/>
      <protection/>
    </xf>
    <xf numFmtId="0" fontId="63" fillId="0" borderId="0" xfId="0" applyFont="1" applyAlignment="1" applyProtection="1">
      <alignment horizontal="left" vertical="center" wrapText="1"/>
      <protection/>
    </xf>
    <xf numFmtId="0" fontId="58" fillId="0" borderId="9" xfId="0" applyFont="1" applyBorder="1" applyAlignment="1" applyProtection="1">
      <alignment horizontal="center" vertical="center"/>
      <protection/>
    </xf>
    <xf numFmtId="0" fontId="58" fillId="0" borderId="32" xfId="0" applyFont="1" applyBorder="1" applyAlignment="1" applyProtection="1">
      <alignment horizontal="center" vertical="center"/>
      <protection/>
    </xf>
    <xf numFmtId="0" fontId="58" fillId="0" borderId="23" xfId="0" applyFont="1" applyBorder="1" applyAlignment="1" applyProtection="1">
      <alignment horizontal="center" vertical="center"/>
      <protection/>
    </xf>
    <xf numFmtId="0" fontId="58" fillId="0" borderId="35"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8" fillId="0" borderId="0" xfId="0" applyFont="1" applyAlignment="1" applyProtection="1">
      <alignment horizontal="justify" vertical="center" wrapText="1"/>
      <protection/>
    </xf>
    <xf numFmtId="0" fontId="58" fillId="0" borderId="27" xfId="0" applyFont="1" applyBorder="1" applyAlignment="1" applyProtection="1">
      <alignment horizontal="justify" vertical="center" wrapText="1"/>
      <protection/>
    </xf>
    <xf numFmtId="0" fontId="58" fillId="0" borderId="64" xfId="0" applyFont="1" applyBorder="1" applyAlignment="1" applyProtection="1">
      <alignment horizontal="justify" vertical="center" wrapText="1"/>
      <protection/>
    </xf>
    <xf numFmtId="44" fontId="58" fillId="0" borderId="50" xfId="46" applyFont="1" applyBorder="1" applyAlignment="1" applyProtection="1">
      <alignment horizontal="center" vertical="center"/>
      <protection/>
    </xf>
    <xf numFmtId="44" fontId="58" fillId="0" borderId="26" xfId="46" applyFont="1" applyBorder="1" applyAlignment="1" applyProtection="1">
      <alignment horizontal="center" vertical="center"/>
      <protection/>
    </xf>
    <xf numFmtId="44" fontId="58" fillId="0" borderId="23" xfId="46" applyFont="1" applyBorder="1" applyAlignment="1" applyProtection="1">
      <alignment horizontal="center" vertical="center"/>
      <protection/>
    </xf>
    <xf numFmtId="44" fontId="58" fillId="0" borderId="35" xfId="46" applyFont="1" applyBorder="1" applyAlignment="1" applyProtection="1">
      <alignment horizontal="center" vertical="center"/>
      <protection/>
    </xf>
    <xf numFmtId="44" fontId="58" fillId="0" borderId="53" xfId="46" applyFont="1" applyBorder="1" applyAlignment="1" applyProtection="1">
      <alignment horizontal="center" vertical="center"/>
      <protection/>
    </xf>
    <xf numFmtId="44" fontId="58" fillId="0" borderId="54" xfId="46" applyFont="1" applyBorder="1" applyAlignment="1" applyProtection="1">
      <alignment horizontal="center" vertical="center"/>
      <protection/>
    </xf>
    <xf numFmtId="0" fontId="63" fillId="0" borderId="53" xfId="0" applyFont="1" applyBorder="1" applyAlignment="1" applyProtection="1">
      <alignment horizontal="center" vertical="center"/>
      <protection/>
    </xf>
    <xf numFmtId="0" fontId="63" fillId="0" borderId="54" xfId="0" applyFont="1" applyBorder="1" applyAlignment="1" applyProtection="1">
      <alignment horizontal="center" vertical="center"/>
      <protection/>
    </xf>
    <xf numFmtId="0" fontId="58" fillId="0" borderId="11" xfId="0" applyFont="1" applyBorder="1" applyAlignment="1" applyProtection="1">
      <alignment horizontal="justify" vertical="center" wrapText="1"/>
      <protection/>
    </xf>
    <xf numFmtId="0" fontId="58" fillId="0" borderId="68" xfId="0" applyFont="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0" fontId="63" fillId="0" borderId="50" xfId="0" applyFont="1" applyBorder="1" applyAlignment="1" applyProtection="1">
      <alignment horizontal="center" vertical="center"/>
      <protection/>
    </xf>
    <xf numFmtId="0" fontId="63" fillId="0" borderId="57" xfId="0" applyFont="1" applyBorder="1" applyAlignment="1" applyProtection="1">
      <alignment horizontal="center" vertical="center" wrapText="1"/>
      <protection/>
    </xf>
    <xf numFmtId="0" fontId="63" fillId="0" borderId="37" xfId="0" applyFont="1" applyBorder="1" applyAlignment="1" applyProtection="1">
      <alignment horizontal="center" vertical="center" wrapText="1"/>
      <protection/>
    </xf>
    <xf numFmtId="0" fontId="63" fillId="0" borderId="69" xfId="0" applyFont="1" applyFill="1" applyBorder="1" applyAlignment="1" applyProtection="1">
      <alignment horizontal="center" vertical="center"/>
      <protection/>
    </xf>
    <xf numFmtId="0" fontId="63" fillId="0" borderId="70" xfId="0" applyFont="1" applyFill="1" applyBorder="1" applyAlignment="1" applyProtection="1">
      <alignment horizontal="center" vertical="center"/>
      <protection/>
    </xf>
    <xf numFmtId="0" fontId="63" fillId="34" borderId="71" xfId="0" applyFont="1" applyFill="1" applyBorder="1" applyAlignment="1" applyProtection="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Style 1" xfId="67"/>
    <cellStyle name="Title" xfId="68"/>
    <cellStyle name="Total" xfId="69"/>
    <cellStyle name="Warning Text" xfId="7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561975</xdr:colOff>
      <xdr:row>56</xdr:row>
      <xdr:rowOff>66675</xdr:rowOff>
    </xdr:to>
    <xdr:sp>
      <xdr:nvSpPr>
        <xdr:cNvPr id="1" name="TextBox 2"/>
        <xdr:cNvSpPr txBox="1">
          <a:spLocks noChangeArrowheads="1"/>
        </xdr:cNvSpPr>
      </xdr:nvSpPr>
      <xdr:spPr>
        <a:xfrm>
          <a:off x="19050" y="9525"/>
          <a:ext cx="5857875" cy="1015365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ENROLLMENT</a:t>
          </a:r>
          <a:r>
            <a:rPr lang="en-US" cap="none" sz="1000" b="1" i="0" u="none" baseline="0">
              <a:solidFill>
                <a:srgbClr val="000000"/>
              </a:solidFill>
              <a:latin typeface="Arial"/>
              <a:ea typeface="Arial"/>
              <a:cs typeface="Arial"/>
            </a:rPr>
            <a:t> REPORT FOR SEPTEMBER AND NOVEMBER 2019 PAYMENT ELIGIBILITY 
[PI-SNSP-0102 (10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 report to work correctly, complete the general information section on the "Cover Page" before entering any numbers.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as if it were the paper version and print each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two different versions of this document: 
</a:t>
          </a:r>
          <a:r>
            <a:rPr lang="en-US" cap="none" sz="1000" b="0" i="0" u="none" baseline="0">
              <a:solidFill>
                <a:srgbClr val="000000"/>
              </a:solidFill>
              <a:latin typeface="Arial"/>
              <a:ea typeface="Arial"/>
              <a:cs typeface="Arial"/>
            </a:rPr>
            <a:t>1) an Excel document for schools with 10 or less ineligible pupils (Schedule 2), application corrections (Schedule 3), or pupil additions (Schedule 4); and 
</a:t>
          </a:r>
          <a:r>
            <a:rPr lang="en-US" cap="none" sz="1000" b="0" i="0" u="none" baseline="0">
              <a:solidFill>
                <a:srgbClr val="000000"/>
              </a:solidFill>
              <a:latin typeface="Arial"/>
              <a:ea typeface="Arial"/>
              <a:cs typeface="Arial"/>
            </a:rPr>
            <a:t>2) a document that allows for up to 50 ineligible pupils </a:t>
          </a:r>
          <a:r>
            <a:rPr lang="en-US" cap="none" sz="1000" b="0" i="0" u="none" baseline="0">
              <a:solidFill>
                <a:srgbClr val="000000"/>
              </a:solidFill>
              <a:latin typeface="Arial"/>
              <a:ea typeface="Arial"/>
              <a:cs typeface="Arial"/>
            </a:rPr>
            <a:t>(Schedule 2), application corrections (Schedule 3) or pupil additions (Schedule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the Department </a:t>
          </a:r>
          <a:r>
            <a:rPr lang="en-US" cap="none" sz="1000" b="0" i="0" u="none" baseline="0">
              <a:solidFill>
                <a:srgbClr val="000000"/>
              </a:solidFill>
              <a:latin typeface="Arial"/>
              <a:ea typeface="Arial"/>
              <a:cs typeface="Arial"/>
            </a:rPr>
            <a:t>if you need additional lines </a:t>
          </a:r>
          <a:r>
            <a:rPr lang="en-US" cap="none" sz="1000" b="0" i="0" u="none"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n Schedules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and/or 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a:t>
          </a:r>
          <a:r>
            <a:rPr lang="en-US" cap="none" sz="1000" b="1" i="0" u="none" baseline="0">
              <a:solidFill>
                <a:srgbClr val="000000"/>
              </a:solidFill>
              <a:latin typeface="Arial"/>
              <a:ea typeface="Arial"/>
              <a:cs typeface="Arial"/>
            </a:rPr>
            <a:t> 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a:t>
          </a:r>
          <a:r>
            <a:rPr lang="en-US" cap="none" sz="1000" b="0" i="0" u="none" baseline="0">
              <a:solidFill>
                <a:srgbClr val="000000"/>
              </a:solidFill>
              <a:latin typeface="Arial"/>
              <a:ea typeface="Arial"/>
              <a:cs typeface="Arial"/>
            </a:rPr>
            <a:t>The spreadsheet will read a space as if it were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delete key or backspace to remove information in any cell.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Enrollment Audit for any additional pupils that are determined eligible for payment by the DPI.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SNSP administrator must sign and date the cover page. The report is due by December 15, 2019. 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Error Report, the attestation</a:t>
          </a:r>
          <a:r>
            <a:rPr lang="en-US" cap="none" sz="1000" b="1" i="0" u="none" baseline="0">
              <a:solidFill>
                <a:srgbClr val="000000"/>
              </a:solidFill>
              <a:latin typeface="Arial"/>
              <a:ea typeface="Arial"/>
              <a:cs typeface="Arial"/>
            </a:rPr>
            <a:t> report</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 1-1, Schedule 1-2, Schedules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through 6</a:t>
          </a:r>
          <a:r>
            <a:rPr lang="en-US" cap="none" sz="1000" b="1" i="0" u="none" baseline="0">
              <a:solidFill>
                <a:srgbClr val="000000"/>
              </a:solidFill>
              <a:latin typeface="Arial"/>
              <a:ea typeface="Arial"/>
              <a:cs typeface="Arial"/>
            </a:rPr>
            <a:t>, and the application or transfer request for any students included on Schedule 3 or 4 that had the application or transfer request tested in the September 2019 Enrollment Audit.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 report may be scanned and emailed to snsp@dpi.wi.gov. Note the individual email size limit for this mailbox is 15 mb. Reports should not be sent to individual team members or have individual team members cc'd on reports emailed to snsp@dpi.wi.gov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SNSP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Needs Scholarship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723900</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20"/>
  <sheetViews>
    <sheetView showGridLines="0" tabSelected="1" workbookViewId="0" topLeftCell="A10">
      <selection activeCell="U91" sqref="U91"/>
    </sheetView>
  </sheetViews>
  <sheetFormatPr defaultColWidth="8.8515625" defaultRowHeight="15"/>
  <cols>
    <col min="1" max="16384" width="8.8515625" style="6" customWidth="1"/>
  </cols>
  <sheetData>
    <row r="1" ht="12.75">
      <c r="A1" s="1"/>
    </row>
    <row r="2" ht="12.75">
      <c r="A2" s="1"/>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sheetData>
  <sheetProtection password="DE89" sheet="1" objects="1" scenarios="1" selectLockedCells="1" selectUnlockedCells="1"/>
  <printOptions horizontalCentered="1"/>
  <pageMargins left="0.5" right="0.5" top="0.5" bottom="0.5"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showGridLines="0" workbookViewId="0" topLeftCell="A1">
      <selection activeCell="A2" sqref="A2:I2"/>
    </sheetView>
  </sheetViews>
  <sheetFormatPr defaultColWidth="9.140625" defaultRowHeight="15"/>
  <cols>
    <col min="1" max="1" width="4.7109375" style="144" customWidth="1"/>
    <col min="2" max="2" width="19.421875" style="4" customWidth="1"/>
    <col min="3" max="3" width="19.7109375" style="4" customWidth="1"/>
    <col min="4" max="4" width="11.7109375" style="4" customWidth="1"/>
    <col min="5" max="5" width="11.7109375" style="26" customWidth="1"/>
    <col min="6" max="9" width="11.7109375" style="4" customWidth="1"/>
    <col min="10" max="16384" width="9.140625" style="4" customWidth="1"/>
  </cols>
  <sheetData>
    <row r="1" spans="1:9" s="26" customFormat="1" ht="15" customHeight="1">
      <c r="A1" s="421" t="str">
        <f>IF(ISBLANK('Cover Page'!A4),"School Name",'Cover Page'!A4)</f>
        <v>School Name</v>
      </c>
      <c r="B1" s="421"/>
      <c r="C1" s="421"/>
      <c r="D1" s="421"/>
      <c r="E1" s="421"/>
      <c r="F1" s="421"/>
      <c r="G1" s="421"/>
      <c r="H1" s="421"/>
      <c r="I1" s="421"/>
    </row>
    <row r="2" spans="1:9" ht="15" customHeight="1">
      <c r="A2" s="400" t="str">
        <f>'Schedule 2'!B2</f>
        <v>September 20, 2019 SNSP Enrollment Audit</v>
      </c>
      <c r="B2" s="400"/>
      <c r="C2" s="400"/>
      <c r="D2" s="400"/>
      <c r="E2" s="400"/>
      <c r="F2" s="400"/>
      <c r="G2" s="400"/>
      <c r="H2" s="400"/>
      <c r="I2" s="400"/>
    </row>
    <row r="3" spans="1:9" ht="15" customHeight="1" thickBot="1">
      <c r="A3" s="422" t="s">
        <v>342</v>
      </c>
      <c r="B3" s="422"/>
      <c r="C3" s="422"/>
      <c r="D3" s="422"/>
      <c r="E3" s="422"/>
      <c r="F3" s="422"/>
      <c r="G3" s="422"/>
      <c r="H3" s="422"/>
      <c r="I3" s="422"/>
    </row>
    <row r="4" spans="1:10" ht="18" customHeight="1" thickBot="1" thickTop="1">
      <c r="A4" s="90"/>
      <c r="B4" s="91"/>
      <c r="C4" s="423" t="s">
        <v>142</v>
      </c>
      <c r="D4" s="423"/>
      <c r="E4" s="423"/>
      <c r="F4" s="423"/>
      <c r="G4" s="423"/>
      <c r="H4" s="53"/>
      <c r="I4" s="53"/>
      <c r="J4" s="26"/>
    </row>
    <row r="5" spans="1:9" s="98" customFormat="1" ht="16.5" customHeight="1">
      <c r="A5" s="96"/>
      <c r="B5" s="97"/>
      <c r="C5" s="92"/>
      <c r="D5" s="447" t="s">
        <v>126</v>
      </c>
      <c r="E5" s="448"/>
      <c r="F5" s="447" t="s">
        <v>128</v>
      </c>
      <c r="G5" s="448"/>
      <c r="H5" s="449" t="s">
        <v>129</v>
      </c>
      <c r="I5" s="449"/>
    </row>
    <row r="6" spans="1:9" s="54" customFormat="1" ht="16.5" customHeight="1">
      <c r="A6" s="142" t="s">
        <v>185</v>
      </c>
      <c r="B6" s="72" t="s">
        <v>71</v>
      </c>
      <c r="C6" s="73"/>
      <c r="D6" s="445" t="s">
        <v>127</v>
      </c>
      <c r="E6" s="446" t="s">
        <v>81</v>
      </c>
      <c r="F6" s="445" t="s">
        <v>127</v>
      </c>
      <c r="G6" s="446" t="s">
        <v>81</v>
      </c>
      <c r="H6" s="82" t="s">
        <v>127</v>
      </c>
      <c r="I6" s="145" t="s">
        <v>81</v>
      </c>
    </row>
    <row r="7" spans="1:9" s="12" customFormat="1" ht="16.5" customHeight="1">
      <c r="A7" s="66">
        <v>1</v>
      </c>
      <c r="B7" s="209" t="s">
        <v>72</v>
      </c>
      <c r="C7" s="81"/>
      <c r="D7" s="83">
        <f>'Schedule 1-2'!E8</f>
        <v>0</v>
      </c>
      <c r="E7" s="84">
        <f>+D7*0.5</f>
        <v>0</v>
      </c>
      <c r="F7" s="83">
        <f>'Schedule 1-2'!E20</f>
        <v>0</v>
      </c>
      <c r="G7" s="84">
        <f>+F7*0.5</f>
        <v>0</v>
      </c>
      <c r="H7" s="88">
        <f>D7+F7</f>
        <v>0</v>
      </c>
      <c r="I7" s="67">
        <f>+H7*0.5</f>
        <v>0</v>
      </c>
    </row>
    <row r="8" spans="1:9" s="12" customFormat="1" ht="16.5" customHeight="1">
      <c r="A8" s="15">
        <v>2</v>
      </c>
      <c r="B8" s="272" t="s">
        <v>73</v>
      </c>
      <c r="C8" s="261"/>
      <c r="D8" s="85">
        <f>'Schedule 1-2'!E9</f>
        <v>0</v>
      </c>
      <c r="E8" s="86">
        <f>+D8*0.6</f>
        <v>0</v>
      </c>
      <c r="F8" s="85">
        <f>'Schedule 1-2'!E21</f>
        <v>0</v>
      </c>
      <c r="G8" s="86">
        <f>+F8*0.6</f>
        <v>0</v>
      </c>
      <c r="H8" s="88">
        <f aca="true" t="shared" si="0" ref="H8:H13">D8+F8</f>
        <v>0</v>
      </c>
      <c r="I8" s="67">
        <f>+H8*0.6</f>
        <v>0</v>
      </c>
    </row>
    <row r="9" spans="1:9" s="12" customFormat="1" ht="16.5" customHeight="1">
      <c r="A9" s="15">
        <v>3</v>
      </c>
      <c r="B9" s="272" t="s">
        <v>74</v>
      </c>
      <c r="C9" s="261"/>
      <c r="D9" s="85">
        <f>'Schedule 1-2'!E10</f>
        <v>0</v>
      </c>
      <c r="E9" s="86">
        <f>+D9*0.5</f>
        <v>0</v>
      </c>
      <c r="F9" s="85">
        <f>'Schedule 1-2'!E22</f>
        <v>0</v>
      </c>
      <c r="G9" s="86">
        <f>+F9*0.5</f>
        <v>0</v>
      </c>
      <c r="H9" s="88">
        <f t="shared" si="0"/>
        <v>0</v>
      </c>
      <c r="I9" s="67">
        <f>+H9*0.5</f>
        <v>0</v>
      </c>
    </row>
    <row r="10" spans="1:9" s="12" customFormat="1" ht="16.5" customHeight="1">
      <c r="A10" s="15">
        <v>4</v>
      </c>
      <c r="B10" s="272" t="s">
        <v>75</v>
      </c>
      <c r="C10" s="261"/>
      <c r="D10" s="85">
        <f>'Schedule 1-2'!E11</f>
        <v>0</v>
      </c>
      <c r="E10" s="86">
        <f>+D10*0.6</f>
        <v>0</v>
      </c>
      <c r="F10" s="85">
        <f>'Schedule 1-2'!E23</f>
        <v>0</v>
      </c>
      <c r="G10" s="86">
        <f>+F10*0.6</f>
        <v>0</v>
      </c>
      <c r="H10" s="88">
        <f t="shared" si="0"/>
        <v>0</v>
      </c>
      <c r="I10" s="67">
        <f>+H10*0.6</f>
        <v>0</v>
      </c>
    </row>
    <row r="11" spans="1:9" s="12" customFormat="1" ht="16.5" customHeight="1">
      <c r="A11" s="15">
        <v>5</v>
      </c>
      <c r="B11" s="272" t="s">
        <v>76</v>
      </c>
      <c r="C11" s="261"/>
      <c r="D11" s="85">
        <f>'Schedule 1-2'!E12</f>
        <v>0</v>
      </c>
      <c r="E11" s="86">
        <f>+D11*0.8</f>
        <v>0</v>
      </c>
      <c r="F11" s="85">
        <f>'Schedule 1-2'!E24</f>
        <v>0</v>
      </c>
      <c r="G11" s="86">
        <f>+F11*0.8</f>
        <v>0</v>
      </c>
      <c r="H11" s="88">
        <f t="shared" si="0"/>
        <v>0</v>
      </c>
      <c r="I11" s="67">
        <f>+H11*0.8</f>
        <v>0</v>
      </c>
    </row>
    <row r="12" spans="1:9" s="12" customFormat="1" ht="16.5" customHeight="1">
      <c r="A12" s="15">
        <v>6</v>
      </c>
      <c r="B12" s="272" t="s">
        <v>77</v>
      </c>
      <c r="C12" s="261"/>
      <c r="D12" s="85">
        <f>'Schedule 1-2'!E13</f>
        <v>0</v>
      </c>
      <c r="E12" s="86">
        <f>D12</f>
        <v>0</v>
      </c>
      <c r="F12" s="85">
        <f>'Schedule 1-2'!E25</f>
        <v>0</v>
      </c>
      <c r="G12" s="86">
        <f>F12</f>
        <v>0</v>
      </c>
      <c r="H12" s="88">
        <f t="shared" si="0"/>
        <v>0</v>
      </c>
      <c r="I12" s="67">
        <f>H12</f>
        <v>0</v>
      </c>
    </row>
    <row r="13" spans="1:9" s="12" customFormat="1" ht="16.5" customHeight="1">
      <c r="A13" s="14">
        <v>7</v>
      </c>
      <c r="B13" s="272" t="s">
        <v>340</v>
      </c>
      <c r="C13" s="261"/>
      <c r="D13" s="262">
        <f>'Schedule 1-2'!E14</f>
        <v>0</v>
      </c>
      <c r="E13" s="86">
        <f>D13</f>
        <v>0</v>
      </c>
      <c r="F13" s="262">
        <f>'Schedule 1-2'!E26</f>
        <v>0</v>
      </c>
      <c r="G13" s="86">
        <f>F13</f>
        <v>0</v>
      </c>
      <c r="H13" s="88">
        <f t="shared" si="0"/>
        <v>0</v>
      </c>
      <c r="I13" s="67">
        <f>H13</f>
        <v>0</v>
      </c>
    </row>
    <row r="14" spans="1:10" s="12" customFormat="1" ht="16.5" customHeight="1" thickBot="1">
      <c r="A14" s="60">
        <v>8</v>
      </c>
      <c r="B14" s="278" t="s">
        <v>403</v>
      </c>
      <c r="C14" s="80"/>
      <c r="D14" s="79">
        <f>'Schedule 1-2'!E15</f>
        <v>0</v>
      </c>
      <c r="E14" s="87">
        <f>D14</f>
        <v>0</v>
      </c>
      <c r="F14" s="79">
        <f>'Schedule 1-2'!E27</f>
        <v>0</v>
      </c>
      <c r="G14" s="87">
        <f>F14</f>
        <v>0</v>
      </c>
      <c r="H14" s="263">
        <f>D14+F14</f>
        <v>0</v>
      </c>
      <c r="I14" s="264">
        <f>H14</f>
        <v>0</v>
      </c>
      <c r="J14" s="27"/>
    </row>
    <row r="15" spans="1:10" ht="16.5" customHeight="1" thickBot="1">
      <c r="A15" s="16">
        <v>9</v>
      </c>
      <c r="B15" s="265" t="s">
        <v>392</v>
      </c>
      <c r="C15" s="266"/>
      <c r="D15" s="267">
        <f aca="true" t="shared" si="1" ref="D15:I15">SUM(D7:D14)</f>
        <v>0</v>
      </c>
      <c r="E15" s="268">
        <f t="shared" si="1"/>
        <v>0</v>
      </c>
      <c r="F15" s="267">
        <f t="shared" si="1"/>
        <v>0</v>
      </c>
      <c r="G15" s="269">
        <f t="shared" si="1"/>
        <v>0</v>
      </c>
      <c r="H15" s="270">
        <f t="shared" si="1"/>
        <v>0</v>
      </c>
      <c r="I15" s="268">
        <f t="shared" si="1"/>
        <v>0</v>
      </c>
      <c r="J15" s="26"/>
    </row>
    <row r="16" spans="1:4" ht="12" thickTop="1">
      <c r="A16" s="143"/>
      <c r="B16" s="26"/>
      <c r="C16" s="26"/>
      <c r="D16" s="26"/>
    </row>
    <row r="17" spans="1:4" ht="11.25">
      <c r="A17" s="303" t="s">
        <v>399</v>
      </c>
      <c r="B17" s="26"/>
      <c r="C17" s="26"/>
      <c r="D17" s="26"/>
    </row>
  </sheetData>
  <sheetProtection password="DE89" sheet="1"/>
  <mergeCells count="7">
    <mergeCell ref="A1:I1"/>
    <mergeCell ref="A2:I2"/>
    <mergeCell ref="A3:I3"/>
    <mergeCell ref="D5:E5"/>
    <mergeCell ref="F5:G5"/>
    <mergeCell ref="H5:I5"/>
    <mergeCell ref="C4:G4"/>
  </mergeCells>
  <printOptions horizontalCentered="1"/>
  <pageMargins left="0.52" right="0.45" top="0.75" bottom="0.44" header="0.3" footer="0.3"/>
  <pageSetup fitToHeight="1" fitToWidth="1" horizontalDpi="600" verticalDpi="600" orientation="landscape" r:id="rId1"/>
  <headerFooter>
    <oddHeader>&amp;L&amp;"Arial,Regular"&amp;8Page 7&amp;R&amp;"Arial,Regular"&amp;8PI-SNSP-0102 (10 Lines)</oddHeader>
  </headerFooter>
  <ignoredErrors>
    <ignoredError sqref="E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S102"/>
  <sheetViews>
    <sheetView showGridLines="0" zoomScale="115" zoomScaleNormal="115" workbookViewId="0" topLeftCell="A1">
      <pane ySplit="8" topLeftCell="A9" activePane="bottomLeft" state="frozen"/>
      <selection pane="topLeft" activeCell="U91" sqref="U91"/>
      <selection pane="bottomLeft" activeCell="A4" sqref="A4:H4"/>
    </sheetView>
  </sheetViews>
  <sheetFormatPr defaultColWidth="9.140625" defaultRowHeight="15"/>
  <cols>
    <col min="1" max="1" width="4.421875" style="4" customWidth="1"/>
    <col min="2" max="2" width="8.8515625" style="4" customWidth="1"/>
    <col min="3" max="3" width="9.7109375" style="4" customWidth="1"/>
    <col min="4" max="5" width="17.7109375" style="4" customWidth="1"/>
    <col min="6" max="6" width="10.7109375" style="105" customWidth="1"/>
    <col min="7" max="7" width="10.28125" style="4" customWidth="1"/>
    <col min="8" max="8" width="9.57421875" style="4" customWidth="1"/>
    <col min="9" max="9" width="2.421875" style="4" customWidth="1"/>
    <col min="10" max="10" width="11.140625" style="4" customWidth="1"/>
    <col min="11" max="11" width="12.8515625" style="4" customWidth="1"/>
    <col min="12" max="12" width="11.140625" style="4" customWidth="1"/>
    <col min="13" max="13" width="2.421875" style="4" customWidth="1"/>
    <col min="14" max="14" width="11.8515625" style="4" customWidth="1"/>
    <col min="15" max="16" width="11.8515625" style="136" customWidth="1"/>
    <col min="17" max="19" width="9.140625" style="4" customWidth="1"/>
    <col min="20" max="16384" width="9.140625" style="4" customWidth="1"/>
  </cols>
  <sheetData>
    <row r="1" spans="1:16" s="12" customFormat="1" ht="15" customHeight="1">
      <c r="A1" s="386" t="str">
        <f>'Schedule 2'!B1</f>
        <v>School Name</v>
      </c>
      <c r="B1" s="386"/>
      <c r="C1" s="386"/>
      <c r="D1" s="386"/>
      <c r="E1" s="386"/>
      <c r="F1" s="386"/>
      <c r="G1" s="386"/>
      <c r="H1" s="386"/>
      <c r="O1" s="154"/>
      <c r="P1" s="154"/>
    </row>
    <row r="2" spans="1:16" s="12" customFormat="1" ht="15" customHeight="1">
      <c r="A2" s="386" t="str">
        <f>'Schedule 2'!B2</f>
        <v>September 20, 2019 SNSP Enrollment Audit</v>
      </c>
      <c r="B2" s="386"/>
      <c r="C2" s="386"/>
      <c r="D2" s="386"/>
      <c r="E2" s="386"/>
      <c r="F2" s="386"/>
      <c r="G2" s="386"/>
      <c r="H2" s="386"/>
      <c r="I2" s="124"/>
      <c r="O2" s="154"/>
      <c r="P2" s="154"/>
    </row>
    <row r="3" spans="1:16" s="12" customFormat="1" ht="15" customHeight="1">
      <c r="A3" s="386" t="s">
        <v>202</v>
      </c>
      <c r="B3" s="386"/>
      <c r="C3" s="386"/>
      <c r="D3" s="386"/>
      <c r="E3" s="386"/>
      <c r="F3" s="386"/>
      <c r="G3" s="386"/>
      <c r="H3" s="386"/>
      <c r="O3" s="154"/>
      <c r="P3" s="154"/>
    </row>
    <row r="4" spans="1:16" s="12" customFormat="1" ht="63" customHeight="1" thickBot="1">
      <c r="A4" s="430" t="s">
        <v>396</v>
      </c>
      <c r="B4" s="430"/>
      <c r="C4" s="430"/>
      <c r="D4" s="430"/>
      <c r="E4" s="430"/>
      <c r="F4" s="430"/>
      <c r="G4" s="430"/>
      <c r="H4" s="430"/>
      <c r="O4" s="154"/>
      <c r="P4" s="154"/>
    </row>
    <row r="5" spans="1:16" s="12" customFormat="1" ht="33" customHeight="1" thickTop="1">
      <c r="A5" s="441" t="s">
        <v>199</v>
      </c>
      <c r="B5" s="441"/>
      <c r="C5" s="441"/>
      <c r="D5" s="441"/>
      <c r="E5" s="441"/>
      <c r="F5" s="441"/>
      <c r="G5" s="442"/>
      <c r="H5" s="156"/>
      <c r="O5" s="154"/>
      <c r="P5" s="154"/>
    </row>
    <row r="6" spans="1:16" s="12" customFormat="1" ht="35.25" customHeight="1" thickBot="1">
      <c r="A6" s="431" t="s">
        <v>192</v>
      </c>
      <c r="B6" s="431"/>
      <c r="C6" s="431"/>
      <c r="D6" s="431"/>
      <c r="E6" s="431"/>
      <c r="F6" s="431"/>
      <c r="G6" s="432"/>
      <c r="H6" s="155">
        <f>IF(H5="N/A","N/A","")</f>
      </c>
      <c r="O6" s="154"/>
      <c r="P6" s="154"/>
    </row>
    <row r="7" spans="1:19" s="12" customFormat="1" ht="18.75" customHeight="1" thickTop="1">
      <c r="A7" s="125"/>
      <c r="B7" s="125"/>
      <c r="C7" s="125"/>
      <c r="D7" s="443" t="s">
        <v>170</v>
      </c>
      <c r="E7" s="443"/>
      <c r="F7" s="443"/>
      <c r="G7" s="125"/>
      <c r="H7" s="125"/>
      <c r="J7" s="429" t="s">
        <v>171</v>
      </c>
      <c r="K7" s="429"/>
      <c r="L7" s="429"/>
      <c r="M7" s="289"/>
      <c r="N7" s="429" t="s">
        <v>191</v>
      </c>
      <c r="O7" s="429"/>
      <c r="P7" s="429"/>
      <c r="Q7" s="429"/>
      <c r="R7" s="429"/>
      <c r="S7" s="429"/>
    </row>
    <row r="8" spans="1:19" s="285" customFormat="1" ht="45.75" customHeight="1">
      <c r="A8" s="280" t="s">
        <v>45</v>
      </c>
      <c r="B8" s="280" t="s">
        <v>172</v>
      </c>
      <c r="C8" s="274" t="s">
        <v>78</v>
      </c>
      <c r="D8" s="277" t="s">
        <v>156</v>
      </c>
      <c r="E8" s="158" t="s">
        <v>157</v>
      </c>
      <c r="F8" s="277" t="s">
        <v>110</v>
      </c>
      <c r="G8" s="277" t="s">
        <v>174</v>
      </c>
      <c r="H8" s="275" t="s">
        <v>175</v>
      </c>
      <c r="J8" s="259" t="s">
        <v>176</v>
      </c>
      <c r="K8" s="259" t="s">
        <v>177</v>
      </c>
      <c r="L8" s="259" t="s">
        <v>178</v>
      </c>
      <c r="M8" s="259"/>
      <c r="N8" s="259" t="s">
        <v>173</v>
      </c>
      <c r="O8" s="260" t="s">
        <v>190</v>
      </c>
      <c r="P8" s="260" t="s">
        <v>189</v>
      </c>
      <c r="Q8" s="279" t="s">
        <v>179</v>
      </c>
      <c r="R8" s="279" t="s">
        <v>180</v>
      </c>
      <c r="S8" s="279" t="s">
        <v>181</v>
      </c>
    </row>
    <row r="9" spans="1:19" s="12" customFormat="1" ht="15" customHeight="1">
      <c r="A9" s="14">
        <v>1</v>
      </c>
      <c r="B9" s="17"/>
      <c r="C9" s="18"/>
      <c r="D9" s="18"/>
      <c r="E9" s="157"/>
      <c r="F9" s="159"/>
      <c r="G9" s="127"/>
      <c r="H9" s="128"/>
      <c r="J9" s="132">
        <f>IF(AND(B9="",C9="",D9="",E9="",F9="",SUM(G9:H9)=0),"",IF(OR(B9="",C9="",D9="",E9="",F9=""),"Yes","No"))</f>
      </c>
      <c r="K9" s="132">
        <f aca="true" t="shared" si="0" ref="K9:K28">IF(AND(D9="",E9=""),"",IF(G9="","Yes","No"))</f>
      </c>
      <c r="L9" s="132">
        <f aca="true" t="shared" si="1" ref="L9:L28">IF(AND(D9="",E9=""),"",IF(H9="","Yes","No"))</f>
      </c>
      <c r="M9" s="153"/>
      <c r="N9" s="152">
        <f>IF(ISBLANK($B9),"",VLOOKUP($B9,'Schedule 6'!$B$41:$C$54,2,0))</f>
      </c>
      <c r="O9" s="151">
        <f>IF($B9=0,0,IF($F9="Full",IF(G9&gt;14,ROUND(12431*0.05,2),ROUND(G9/15*12431*0.05,2)),VLOOKUP(G9,$E$43:$G$102,MATCH($N9,$E$42:$G$42,0),FALSE)))</f>
        <v>0</v>
      </c>
      <c r="P9" s="151">
        <f>IF($B9=0,0,IF($F9="Full",IF(H9&gt;14,ROUND(12431*0.05,2),ROUND(H9/15*12431*0.05,2)),VLOOKUP(H9,$E$43:$G$102,MATCH($N9,$E$42:$G$42,0),FALSE)))</f>
        <v>0</v>
      </c>
      <c r="Q9" s="150">
        <f aca="true" t="shared" si="2" ref="Q9:Q28">P9-O9</f>
        <v>0</v>
      </c>
      <c r="R9" s="149">
        <f aca="true" t="shared" si="3" ref="R9:R28">IF(G9=0,IF(H9&gt;0,1,0),0)</f>
        <v>0</v>
      </c>
      <c r="S9" s="149">
        <f aca="true" t="shared" si="4" ref="S9:S28">IF(H9=0,IF(G9&gt;0,-1,0),0)</f>
        <v>0</v>
      </c>
    </row>
    <row r="10" spans="1:19" s="12" customFormat="1" ht="15" customHeight="1">
      <c r="A10" s="14">
        <v>2</v>
      </c>
      <c r="B10" s="17"/>
      <c r="C10" s="18"/>
      <c r="D10" s="18"/>
      <c r="E10" s="157"/>
      <c r="F10" s="159"/>
      <c r="G10" s="127"/>
      <c r="H10" s="128"/>
      <c r="J10" s="126">
        <f aca="true" t="shared" si="5" ref="J10:J28">IF(AND(B10="",C10="",D10="",E10="",F10="",SUM(G10:H10)=0),"",IF(OR(B10="",C10="",D10="",E10="",F10=""),"Yes","No"))</f>
      </c>
      <c r="K10" s="126">
        <f t="shared" si="0"/>
      </c>
      <c r="L10" s="126">
        <f t="shared" si="1"/>
      </c>
      <c r="M10" s="129"/>
      <c r="N10" s="152">
        <f>IF(ISBLANK($B10),"",VLOOKUP($B10,'Schedule 6'!$B$41:$C$54,2,0))</f>
      </c>
      <c r="O10" s="151">
        <f aca="true" t="shared" si="6" ref="O10:O28">IF($B10=0,0,IF($F10="Full",IF(G10&gt;14,ROUND(12431*0.05,2),ROUND(G10/15*12431*0.05,2)),VLOOKUP(G10,$E$43:$G$102,MATCH($N10,$E$42:$G$42,0),FALSE)))</f>
        <v>0</v>
      </c>
      <c r="P10" s="151">
        <f aca="true" t="shared" si="7" ref="P10:P28">IF($B10=0,0,IF($F10="Full",IF(H10&gt;14,ROUND(12431*0.05,2),ROUND(H10/15*12431*0.05,2)),VLOOKUP(H10,$E$43:$G$102,MATCH($N10,$E$42:$G$42,0),FALSE)))</f>
        <v>0</v>
      </c>
      <c r="Q10" s="150">
        <f t="shared" si="2"/>
        <v>0</v>
      </c>
      <c r="R10" s="130">
        <f t="shared" si="3"/>
        <v>0</v>
      </c>
      <c r="S10" s="149">
        <f t="shared" si="4"/>
        <v>0</v>
      </c>
    </row>
    <row r="11" spans="1:19" s="12" customFormat="1" ht="15" customHeight="1">
      <c r="A11" s="14">
        <v>3</v>
      </c>
      <c r="B11" s="17"/>
      <c r="C11" s="18"/>
      <c r="D11" s="18"/>
      <c r="E11" s="157"/>
      <c r="F11" s="159"/>
      <c r="G11" s="127"/>
      <c r="H11" s="128"/>
      <c r="J11" s="126">
        <f t="shared" si="5"/>
      </c>
      <c r="K11" s="126">
        <f t="shared" si="0"/>
      </c>
      <c r="L11" s="126">
        <f t="shared" si="1"/>
      </c>
      <c r="M11" s="129"/>
      <c r="N11" s="152">
        <f>IF(ISBLANK($B11),"",VLOOKUP($B11,'Schedule 6'!$B$41:$C$54,2,0))</f>
      </c>
      <c r="O11" s="151">
        <f t="shared" si="6"/>
        <v>0</v>
      </c>
      <c r="P11" s="151">
        <f t="shared" si="7"/>
        <v>0</v>
      </c>
      <c r="Q11" s="150">
        <f t="shared" si="2"/>
        <v>0</v>
      </c>
      <c r="R11" s="130">
        <f t="shared" si="3"/>
        <v>0</v>
      </c>
      <c r="S11" s="149">
        <f t="shared" si="4"/>
        <v>0</v>
      </c>
    </row>
    <row r="12" spans="1:19" s="12" customFormat="1" ht="15" customHeight="1">
      <c r="A12" s="14">
        <v>4</v>
      </c>
      <c r="B12" s="17"/>
      <c r="C12" s="18"/>
      <c r="D12" s="18"/>
      <c r="E12" s="157"/>
      <c r="F12" s="159"/>
      <c r="G12" s="127"/>
      <c r="H12" s="128"/>
      <c r="J12" s="126">
        <f t="shared" si="5"/>
      </c>
      <c r="K12" s="126">
        <f t="shared" si="0"/>
      </c>
      <c r="L12" s="126">
        <f t="shared" si="1"/>
      </c>
      <c r="M12" s="129"/>
      <c r="N12" s="152">
        <f>IF(ISBLANK($B12),"",VLOOKUP($B12,'Schedule 6'!$B$41:$C$54,2,0))</f>
      </c>
      <c r="O12" s="151">
        <f t="shared" si="6"/>
        <v>0</v>
      </c>
      <c r="P12" s="151">
        <f t="shared" si="7"/>
        <v>0</v>
      </c>
      <c r="Q12" s="150">
        <f t="shared" si="2"/>
        <v>0</v>
      </c>
      <c r="R12" s="130">
        <f t="shared" si="3"/>
        <v>0</v>
      </c>
      <c r="S12" s="149">
        <f t="shared" si="4"/>
        <v>0</v>
      </c>
    </row>
    <row r="13" spans="1:19" s="12" customFormat="1" ht="15" customHeight="1">
      <c r="A13" s="14">
        <v>5</v>
      </c>
      <c r="B13" s="17"/>
      <c r="C13" s="18"/>
      <c r="D13" s="18"/>
      <c r="E13" s="157"/>
      <c r="F13" s="159"/>
      <c r="G13" s="127"/>
      <c r="H13" s="128"/>
      <c r="J13" s="126">
        <f t="shared" si="5"/>
      </c>
      <c r="K13" s="126">
        <f t="shared" si="0"/>
      </c>
      <c r="L13" s="126">
        <f t="shared" si="1"/>
      </c>
      <c r="M13" s="129"/>
      <c r="N13" s="152">
        <f>IF(ISBLANK($B13),"",VLOOKUP($B13,'Schedule 6'!$B$41:$C$54,2,0))</f>
      </c>
      <c r="O13" s="151">
        <f t="shared" si="6"/>
        <v>0</v>
      </c>
      <c r="P13" s="151">
        <f t="shared" si="7"/>
        <v>0</v>
      </c>
      <c r="Q13" s="150">
        <f t="shared" si="2"/>
        <v>0</v>
      </c>
      <c r="R13" s="130">
        <f t="shared" si="3"/>
        <v>0</v>
      </c>
      <c r="S13" s="149">
        <f t="shared" si="4"/>
        <v>0</v>
      </c>
    </row>
    <row r="14" spans="1:19" s="12" customFormat="1" ht="15" customHeight="1">
      <c r="A14" s="14">
        <v>6</v>
      </c>
      <c r="B14" s="17"/>
      <c r="C14" s="18"/>
      <c r="D14" s="18"/>
      <c r="E14" s="157"/>
      <c r="F14" s="159"/>
      <c r="G14" s="127"/>
      <c r="H14" s="128"/>
      <c r="J14" s="126">
        <f t="shared" si="5"/>
      </c>
      <c r="K14" s="126">
        <f t="shared" si="0"/>
      </c>
      <c r="L14" s="126">
        <f t="shared" si="1"/>
      </c>
      <c r="M14" s="129"/>
      <c r="N14" s="152">
        <f>IF(ISBLANK($B14),"",VLOOKUP($B14,'Schedule 6'!$B$41:$C$54,2,0))</f>
      </c>
      <c r="O14" s="151">
        <f t="shared" si="6"/>
        <v>0</v>
      </c>
      <c r="P14" s="151">
        <f t="shared" si="7"/>
        <v>0</v>
      </c>
      <c r="Q14" s="150">
        <f t="shared" si="2"/>
        <v>0</v>
      </c>
      <c r="R14" s="130">
        <f t="shared" si="3"/>
        <v>0</v>
      </c>
      <c r="S14" s="149">
        <f t="shared" si="4"/>
        <v>0</v>
      </c>
    </row>
    <row r="15" spans="1:19" s="12" customFormat="1" ht="15" customHeight="1">
      <c r="A15" s="14">
        <v>7</v>
      </c>
      <c r="B15" s="17"/>
      <c r="C15" s="18"/>
      <c r="D15" s="18"/>
      <c r="E15" s="157"/>
      <c r="F15" s="159"/>
      <c r="G15" s="127"/>
      <c r="H15" s="128"/>
      <c r="J15" s="126">
        <f t="shared" si="5"/>
      </c>
      <c r="K15" s="126">
        <f t="shared" si="0"/>
      </c>
      <c r="L15" s="126">
        <f t="shared" si="1"/>
      </c>
      <c r="M15" s="129"/>
      <c r="N15" s="152">
        <f>IF(ISBLANK($B15),"",VLOOKUP($B15,'Schedule 6'!$B$41:$C$54,2,0))</f>
      </c>
      <c r="O15" s="151">
        <f t="shared" si="6"/>
        <v>0</v>
      </c>
      <c r="P15" s="151">
        <f t="shared" si="7"/>
        <v>0</v>
      </c>
      <c r="Q15" s="150">
        <f t="shared" si="2"/>
        <v>0</v>
      </c>
      <c r="R15" s="130">
        <f t="shared" si="3"/>
        <v>0</v>
      </c>
      <c r="S15" s="149">
        <f t="shared" si="4"/>
        <v>0</v>
      </c>
    </row>
    <row r="16" spans="1:19" s="12" customFormat="1" ht="15" customHeight="1">
      <c r="A16" s="14">
        <v>8</v>
      </c>
      <c r="B16" s="17"/>
      <c r="C16" s="18"/>
      <c r="D16" s="18"/>
      <c r="E16" s="157"/>
      <c r="F16" s="159"/>
      <c r="G16" s="127"/>
      <c r="H16" s="128"/>
      <c r="J16" s="126">
        <f t="shared" si="5"/>
      </c>
      <c r="K16" s="126">
        <f t="shared" si="0"/>
      </c>
      <c r="L16" s="126">
        <f t="shared" si="1"/>
      </c>
      <c r="M16" s="129"/>
      <c r="N16" s="152">
        <f>IF(ISBLANK($B16),"",VLOOKUP($B16,'Schedule 6'!$B$41:$C$54,2,0))</f>
      </c>
      <c r="O16" s="151">
        <f t="shared" si="6"/>
        <v>0</v>
      </c>
      <c r="P16" s="151">
        <f t="shared" si="7"/>
        <v>0</v>
      </c>
      <c r="Q16" s="150">
        <f t="shared" si="2"/>
        <v>0</v>
      </c>
      <c r="R16" s="130">
        <f t="shared" si="3"/>
        <v>0</v>
      </c>
      <c r="S16" s="149">
        <f t="shared" si="4"/>
        <v>0</v>
      </c>
    </row>
    <row r="17" spans="1:19" s="12" customFormat="1" ht="15" customHeight="1">
      <c r="A17" s="14">
        <v>9</v>
      </c>
      <c r="B17" s="17"/>
      <c r="C17" s="18"/>
      <c r="D17" s="18"/>
      <c r="E17" s="157"/>
      <c r="F17" s="159"/>
      <c r="G17" s="127"/>
      <c r="H17" s="128"/>
      <c r="J17" s="126">
        <f t="shared" si="5"/>
      </c>
      <c r="K17" s="126">
        <f t="shared" si="0"/>
      </c>
      <c r="L17" s="126">
        <f t="shared" si="1"/>
      </c>
      <c r="M17" s="129"/>
      <c r="N17" s="152">
        <f>IF(ISBLANK($B17),"",VLOOKUP($B17,'Schedule 6'!$B$41:$C$54,2,0))</f>
      </c>
      <c r="O17" s="151">
        <f t="shared" si="6"/>
        <v>0</v>
      </c>
      <c r="P17" s="151">
        <f t="shared" si="7"/>
        <v>0</v>
      </c>
      <c r="Q17" s="150">
        <f t="shared" si="2"/>
        <v>0</v>
      </c>
      <c r="R17" s="130">
        <f t="shared" si="3"/>
        <v>0</v>
      </c>
      <c r="S17" s="149">
        <f t="shared" si="4"/>
        <v>0</v>
      </c>
    </row>
    <row r="18" spans="1:19" s="12" customFormat="1" ht="15" customHeight="1">
      <c r="A18" s="14">
        <v>10</v>
      </c>
      <c r="B18" s="17"/>
      <c r="C18" s="18"/>
      <c r="D18" s="18"/>
      <c r="E18" s="157"/>
      <c r="F18" s="159"/>
      <c r="G18" s="127"/>
      <c r="H18" s="128"/>
      <c r="J18" s="126">
        <f t="shared" si="5"/>
      </c>
      <c r="K18" s="126">
        <f t="shared" si="0"/>
      </c>
      <c r="L18" s="126">
        <f t="shared" si="1"/>
      </c>
      <c r="M18" s="129"/>
      <c r="N18" s="152">
        <f>IF(ISBLANK($B18),"",VLOOKUP($B18,'Schedule 6'!$B$41:$C$54,2,0))</f>
      </c>
      <c r="O18" s="151">
        <f t="shared" si="6"/>
        <v>0</v>
      </c>
      <c r="P18" s="151">
        <f t="shared" si="7"/>
        <v>0</v>
      </c>
      <c r="Q18" s="150">
        <f t="shared" si="2"/>
        <v>0</v>
      </c>
      <c r="R18" s="130">
        <f t="shared" si="3"/>
        <v>0</v>
      </c>
      <c r="S18" s="149">
        <f t="shared" si="4"/>
        <v>0</v>
      </c>
    </row>
    <row r="19" spans="1:19" s="12" customFormat="1" ht="15" customHeight="1">
      <c r="A19" s="14">
        <v>11</v>
      </c>
      <c r="B19" s="17"/>
      <c r="C19" s="18"/>
      <c r="D19" s="18"/>
      <c r="E19" s="157"/>
      <c r="F19" s="159"/>
      <c r="G19" s="127"/>
      <c r="H19" s="128"/>
      <c r="J19" s="126">
        <f t="shared" si="5"/>
      </c>
      <c r="K19" s="126">
        <f t="shared" si="0"/>
      </c>
      <c r="L19" s="126">
        <f t="shared" si="1"/>
      </c>
      <c r="M19" s="129"/>
      <c r="N19" s="152">
        <f>IF(ISBLANK($B19),"",VLOOKUP($B19,'Schedule 6'!$B$41:$C$54,2,0))</f>
      </c>
      <c r="O19" s="151">
        <f t="shared" si="6"/>
        <v>0</v>
      </c>
      <c r="P19" s="151">
        <f t="shared" si="7"/>
        <v>0</v>
      </c>
      <c r="Q19" s="150">
        <f t="shared" si="2"/>
        <v>0</v>
      </c>
      <c r="R19" s="130">
        <f t="shared" si="3"/>
        <v>0</v>
      </c>
      <c r="S19" s="149">
        <f t="shared" si="4"/>
        <v>0</v>
      </c>
    </row>
    <row r="20" spans="1:19" s="12" customFormat="1" ht="15" customHeight="1">
      <c r="A20" s="14">
        <v>12</v>
      </c>
      <c r="B20" s="17"/>
      <c r="C20" s="18"/>
      <c r="D20" s="18"/>
      <c r="E20" s="157"/>
      <c r="F20" s="159"/>
      <c r="G20" s="127"/>
      <c r="H20" s="128"/>
      <c r="J20" s="126">
        <f t="shared" si="5"/>
      </c>
      <c r="K20" s="126">
        <f t="shared" si="0"/>
      </c>
      <c r="L20" s="126">
        <f t="shared" si="1"/>
      </c>
      <c r="M20" s="129"/>
      <c r="N20" s="152">
        <f>IF(ISBLANK($B20),"",VLOOKUP($B20,'Schedule 6'!$B$41:$C$54,2,0))</f>
      </c>
      <c r="O20" s="151">
        <f t="shared" si="6"/>
        <v>0</v>
      </c>
      <c r="P20" s="151">
        <f t="shared" si="7"/>
        <v>0</v>
      </c>
      <c r="Q20" s="150">
        <f t="shared" si="2"/>
        <v>0</v>
      </c>
      <c r="R20" s="130">
        <f t="shared" si="3"/>
        <v>0</v>
      </c>
      <c r="S20" s="149">
        <f t="shared" si="4"/>
        <v>0</v>
      </c>
    </row>
    <row r="21" spans="1:19" s="12" customFormat="1" ht="15" customHeight="1">
      <c r="A21" s="14">
        <v>13</v>
      </c>
      <c r="B21" s="17"/>
      <c r="C21" s="18"/>
      <c r="D21" s="18"/>
      <c r="E21" s="157"/>
      <c r="F21" s="159"/>
      <c r="G21" s="127"/>
      <c r="H21" s="128"/>
      <c r="J21" s="126">
        <f t="shared" si="5"/>
      </c>
      <c r="K21" s="126">
        <f t="shared" si="0"/>
      </c>
      <c r="L21" s="126">
        <f t="shared" si="1"/>
      </c>
      <c r="M21" s="129"/>
      <c r="N21" s="152">
        <f>IF(ISBLANK($B21),"",VLOOKUP($B21,'Schedule 6'!$B$41:$C$54,2,0))</f>
      </c>
      <c r="O21" s="151">
        <f t="shared" si="6"/>
        <v>0</v>
      </c>
      <c r="P21" s="151">
        <f t="shared" si="7"/>
        <v>0</v>
      </c>
      <c r="Q21" s="150">
        <f t="shared" si="2"/>
        <v>0</v>
      </c>
      <c r="R21" s="130">
        <f t="shared" si="3"/>
        <v>0</v>
      </c>
      <c r="S21" s="149">
        <f t="shared" si="4"/>
        <v>0</v>
      </c>
    </row>
    <row r="22" spans="1:19" s="12" customFormat="1" ht="15" customHeight="1">
      <c r="A22" s="14">
        <v>14</v>
      </c>
      <c r="B22" s="17"/>
      <c r="C22" s="18"/>
      <c r="D22" s="18"/>
      <c r="E22" s="157"/>
      <c r="F22" s="159"/>
      <c r="G22" s="127"/>
      <c r="H22" s="128"/>
      <c r="J22" s="126">
        <f t="shared" si="5"/>
      </c>
      <c r="K22" s="126">
        <f t="shared" si="0"/>
      </c>
      <c r="L22" s="126">
        <f t="shared" si="1"/>
      </c>
      <c r="M22" s="129"/>
      <c r="N22" s="152">
        <f>IF(ISBLANK($B22),"",VLOOKUP($B22,'Schedule 6'!$B$41:$C$54,2,0))</f>
      </c>
      <c r="O22" s="151">
        <f t="shared" si="6"/>
        <v>0</v>
      </c>
      <c r="P22" s="151">
        <f t="shared" si="7"/>
        <v>0</v>
      </c>
      <c r="Q22" s="150">
        <f t="shared" si="2"/>
        <v>0</v>
      </c>
      <c r="R22" s="130">
        <f t="shared" si="3"/>
        <v>0</v>
      </c>
      <c r="S22" s="149">
        <f t="shared" si="4"/>
        <v>0</v>
      </c>
    </row>
    <row r="23" spans="1:19" s="12" customFormat="1" ht="15" customHeight="1">
      <c r="A23" s="14">
        <v>15</v>
      </c>
      <c r="B23" s="17"/>
      <c r="C23" s="18"/>
      <c r="D23" s="18"/>
      <c r="E23" s="157"/>
      <c r="F23" s="159"/>
      <c r="G23" s="127"/>
      <c r="H23" s="128"/>
      <c r="J23" s="126">
        <f t="shared" si="5"/>
      </c>
      <c r="K23" s="126">
        <f t="shared" si="0"/>
      </c>
      <c r="L23" s="126">
        <f t="shared" si="1"/>
      </c>
      <c r="M23" s="129"/>
      <c r="N23" s="152">
        <f>IF(ISBLANK($B23),"",VLOOKUP($B23,'Schedule 6'!$B$41:$C$54,2,0))</f>
      </c>
      <c r="O23" s="151">
        <f t="shared" si="6"/>
        <v>0</v>
      </c>
      <c r="P23" s="151">
        <f t="shared" si="7"/>
        <v>0</v>
      </c>
      <c r="Q23" s="150">
        <f t="shared" si="2"/>
        <v>0</v>
      </c>
      <c r="R23" s="130">
        <f t="shared" si="3"/>
        <v>0</v>
      </c>
      <c r="S23" s="149">
        <f t="shared" si="4"/>
        <v>0</v>
      </c>
    </row>
    <row r="24" spans="1:19" s="12" customFormat="1" ht="15" customHeight="1">
      <c r="A24" s="14">
        <v>16</v>
      </c>
      <c r="B24" s="17"/>
      <c r="C24" s="18"/>
      <c r="D24" s="18"/>
      <c r="E24" s="157"/>
      <c r="F24" s="159"/>
      <c r="G24" s="127"/>
      <c r="H24" s="128"/>
      <c r="J24" s="126">
        <f t="shared" si="5"/>
      </c>
      <c r="K24" s="126">
        <f t="shared" si="0"/>
      </c>
      <c r="L24" s="126">
        <f t="shared" si="1"/>
      </c>
      <c r="M24" s="129"/>
      <c r="N24" s="152">
        <f>IF(ISBLANK($B24),"",VLOOKUP($B24,'Schedule 6'!$B$41:$C$54,2,0))</f>
      </c>
      <c r="O24" s="151">
        <f t="shared" si="6"/>
        <v>0</v>
      </c>
      <c r="P24" s="151">
        <f t="shared" si="7"/>
        <v>0</v>
      </c>
      <c r="Q24" s="150">
        <f t="shared" si="2"/>
        <v>0</v>
      </c>
      <c r="R24" s="130">
        <f t="shared" si="3"/>
        <v>0</v>
      </c>
      <c r="S24" s="149">
        <f t="shared" si="4"/>
        <v>0</v>
      </c>
    </row>
    <row r="25" spans="1:19" s="12" customFormat="1" ht="15" customHeight="1">
      <c r="A25" s="14">
        <v>17</v>
      </c>
      <c r="B25" s="17"/>
      <c r="C25" s="18"/>
      <c r="D25" s="18"/>
      <c r="E25" s="157"/>
      <c r="F25" s="159"/>
      <c r="G25" s="127"/>
      <c r="H25" s="128"/>
      <c r="J25" s="126">
        <f t="shared" si="5"/>
      </c>
      <c r="K25" s="126">
        <f t="shared" si="0"/>
      </c>
      <c r="L25" s="126">
        <f t="shared" si="1"/>
      </c>
      <c r="M25" s="129"/>
      <c r="N25" s="152">
        <f>IF(ISBLANK($B25),"",VLOOKUP($B25,'Schedule 6'!$B$41:$C$54,2,0))</f>
      </c>
      <c r="O25" s="151">
        <f t="shared" si="6"/>
        <v>0</v>
      </c>
      <c r="P25" s="151">
        <f t="shared" si="7"/>
        <v>0</v>
      </c>
      <c r="Q25" s="150">
        <f t="shared" si="2"/>
        <v>0</v>
      </c>
      <c r="R25" s="130">
        <f t="shared" si="3"/>
        <v>0</v>
      </c>
      <c r="S25" s="149">
        <f t="shared" si="4"/>
        <v>0</v>
      </c>
    </row>
    <row r="26" spans="1:19" s="12" customFormat="1" ht="15" customHeight="1">
      <c r="A26" s="14">
        <v>18</v>
      </c>
      <c r="B26" s="17"/>
      <c r="C26" s="18"/>
      <c r="D26" s="18"/>
      <c r="E26" s="157"/>
      <c r="F26" s="159"/>
      <c r="G26" s="127"/>
      <c r="H26" s="128"/>
      <c r="J26" s="126">
        <f t="shared" si="5"/>
      </c>
      <c r="K26" s="126">
        <f t="shared" si="0"/>
      </c>
      <c r="L26" s="126">
        <f t="shared" si="1"/>
      </c>
      <c r="M26" s="129"/>
      <c r="N26" s="152">
        <f>IF(ISBLANK($B26),"",VLOOKUP($B26,'Schedule 6'!$B$41:$C$54,2,0))</f>
      </c>
      <c r="O26" s="151">
        <f t="shared" si="6"/>
        <v>0</v>
      </c>
      <c r="P26" s="151">
        <f t="shared" si="7"/>
        <v>0</v>
      </c>
      <c r="Q26" s="150">
        <f t="shared" si="2"/>
        <v>0</v>
      </c>
      <c r="R26" s="130">
        <f t="shared" si="3"/>
        <v>0</v>
      </c>
      <c r="S26" s="149">
        <f t="shared" si="4"/>
        <v>0</v>
      </c>
    </row>
    <row r="27" spans="1:19" s="12" customFormat="1" ht="15" customHeight="1">
      <c r="A27" s="14">
        <v>19</v>
      </c>
      <c r="B27" s="17"/>
      <c r="C27" s="18"/>
      <c r="D27" s="18"/>
      <c r="E27" s="157"/>
      <c r="F27" s="159"/>
      <c r="G27" s="127"/>
      <c r="H27" s="128"/>
      <c r="J27" s="126">
        <f t="shared" si="5"/>
      </c>
      <c r="K27" s="126">
        <f t="shared" si="0"/>
      </c>
      <c r="L27" s="126">
        <f t="shared" si="1"/>
      </c>
      <c r="M27" s="129"/>
      <c r="N27" s="152">
        <f>IF(ISBLANK($B27),"",VLOOKUP($B27,'Schedule 6'!$B$41:$C$54,2,0))</f>
      </c>
      <c r="O27" s="151">
        <f t="shared" si="6"/>
        <v>0</v>
      </c>
      <c r="P27" s="151">
        <f t="shared" si="7"/>
        <v>0</v>
      </c>
      <c r="Q27" s="150">
        <f t="shared" si="2"/>
        <v>0</v>
      </c>
      <c r="R27" s="130">
        <f t="shared" si="3"/>
        <v>0</v>
      </c>
      <c r="S27" s="149">
        <f t="shared" si="4"/>
        <v>0</v>
      </c>
    </row>
    <row r="28" spans="1:19" s="12" customFormat="1" ht="15" customHeight="1" thickBot="1">
      <c r="A28" s="14">
        <v>20</v>
      </c>
      <c r="B28" s="17"/>
      <c r="C28" s="18"/>
      <c r="D28" s="18"/>
      <c r="E28" s="157"/>
      <c r="F28" s="159"/>
      <c r="G28" s="127"/>
      <c r="H28" s="128"/>
      <c r="J28" s="245">
        <f t="shared" si="5"/>
      </c>
      <c r="K28" s="245">
        <f t="shared" si="0"/>
      </c>
      <c r="L28" s="245">
        <f t="shared" si="1"/>
      </c>
      <c r="M28" s="246"/>
      <c r="N28" s="247">
        <f>IF(ISBLANK($B28),"",VLOOKUP($B28,'Schedule 6'!$B$41:$C$54,2,0))</f>
      </c>
      <c r="O28" s="248">
        <f t="shared" si="6"/>
        <v>0</v>
      </c>
      <c r="P28" s="248">
        <f t="shared" si="7"/>
        <v>0</v>
      </c>
      <c r="Q28" s="249">
        <f t="shared" si="2"/>
        <v>0</v>
      </c>
      <c r="R28" s="250">
        <f t="shared" si="3"/>
        <v>0</v>
      </c>
      <c r="S28" s="250">
        <f t="shared" si="4"/>
        <v>0</v>
      </c>
    </row>
    <row r="29" spans="1:19" ht="18.75" customHeight="1" thickBot="1" thickTop="1">
      <c r="A29" s="125"/>
      <c r="B29" s="125"/>
      <c r="C29" s="363" t="s">
        <v>397</v>
      </c>
      <c r="D29" s="363"/>
      <c r="E29" s="363"/>
      <c r="F29" s="363"/>
      <c r="G29" s="363"/>
      <c r="H29" s="125"/>
      <c r="J29" s="242">
        <f>COUNTIF(J9:J28,"Yes")</f>
        <v>0</v>
      </c>
      <c r="K29" s="242">
        <f>COUNTIF(K9:K28,"Yes")</f>
        <v>0</v>
      </c>
      <c r="L29" s="242">
        <f>COUNTIF(L9:L28,"Yes")</f>
        <v>0</v>
      </c>
      <c r="M29" s="242"/>
      <c r="N29" s="242"/>
      <c r="O29" s="243">
        <f>SUM(O9:O28)</f>
        <v>0</v>
      </c>
      <c r="P29" s="243">
        <f>SUM(P9:P28)</f>
        <v>0</v>
      </c>
      <c r="Q29" s="243">
        <f>SUM(Q9:Q28)</f>
        <v>0</v>
      </c>
      <c r="R29" s="244"/>
      <c r="S29" s="244"/>
    </row>
    <row r="30" spans="1:16" ht="15" customHeight="1" thickTop="1">
      <c r="A30" s="89"/>
      <c r="B30" s="133"/>
      <c r="C30" s="134"/>
      <c r="D30" s="135" t="s">
        <v>193</v>
      </c>
      <c r="E30" s="135" t="s">
        <v>200</v>
      </c>
      <c r="F30" s="444" t="s">
        <v>201</v>
      </c>
      <c r="G30" s="429"/>
      <c r="H30" s="26"/>
      <c r="M30" s="136"/>
      <c r="N30" s="136"/>
      <c r="O30" s="4"/>
      <c r="P30" s="4"/>
    </row>
    <row r="31" spans="1:16" ht="15" customHeight="1">
      <c r="A31" s="14">
        <v>21</v>
      </c>
      <c r="B31" s="209" t="s">
        <v>188</v>
      </c>
      <c r="C31" s="210"/>
      <c r="D31" s="132">
        <f>IF('Cover Page'!$A$4="",0,VLOOKUP('Cover Page'!$A$4,Counts!$A$1:$AD$100,Counts!AB104,FALSE))</f>
        <v>0</v>
      </c>
      <c r="E31" s="132">
        <f>IF('Cover Page'!$A$4="",0,VLOOKUP('Cover Page'!$A$4,Counts!$A$1:$AD$100,Counts!AC104,FALSE))</f>
        <v>0</v>
      </c>
      <c r="F31" s="425">
        <v>0</v>
      </c>
      <c r="G31" s="426"/>
      <c r="H31" s="26"/>
      <c r="M31" s="136"/>
      <c r="N31" s="136"/>
      <c r="O31" s="4"/>
      <c r="P31" s="4"/>
    </row>
    <row r="32" spans="1:16" ht="15" customHeight="1">
      <c r="A32" s="14">
        <v>22</v>
      </c>
      <c r="B32" s="129" t="s">
        <v>187</v>
      </c>
      <c r="C32" s="129"/>
      <c r="D32" s="126">
        <f>SUMIF($F$9:$F$28,"Full",$R$9:$R$28)</f>
        <v>0</v>
      </c>
      <c r="E32" s="126">
        <f>_xlfn.SUMIFS($R$9:$R$28,$N$9:$N$28,"Grades K-8",$F$9:$F$28,"Partial")</f>
        <v>0</v>
      </c>
      <c r="F32" s="425">
        <f>_xlfn.SUMIFS($R$9:$R$28,$N$9:$N$28,"Grades 9-12",$F$9:$F$28,"Partial")</f>
        <v>0</v>
      </c>
      <c r="G32" s="426"/>
      <c r="H32" s="26"/>
      <c r="M32" s="136"/>
      <c r="N32" s="136"/>
      <c r="O32" s="4"/>
      <c r="P32" s="4"/>
    </row>
    <row r="33" spans="1:16" ht="15" customHeight="1" thickBot="1">
      <c r="A33" s="14">
        <v>23</v>
      </c>
      <c r="B33" s="172" t="s">
        <v>186</v>
      </c>
      <c r="C33" s="172"/>
      <c r="D33" s="131">
        <f>IF(AND(H5="No",F37&gt;0),-SUM(D31:D32),SUMIF($F$9:$F$28,"Full",$S$9:$S$28))</f>
        <v>0</v>
      </c>
      <c r="E33" s="126">
        <f>IF(AND(H5="No",F37&gt;0),-SUM(E31:E32),_xlfn.SUMIFS($S$9:$S$28,$N$9:$N$28,"Grades K-8",$F$9:$F$28,"Partial"))</f>
        <v>0</v>
      </c>
      <c r="F33" s="427">
        <f>IF(AND(H5="No",F37&gt;0),-SUM(F31:G32),_xlfn.SUMIFS($S$9:$S$28,$N$9:$N$28,"Grades 9-12",$F$9:$F$28,"Partial"))</f>
        <v>0</v>
      </c>
      <c r="G33" s="428"/>
      <c r="H33" s="26"/>
      <c r="M33" s="136"/>
      <c r="N33" s="136"/>
      <c r="O33" s="4"/>
      <c r="P33" s="4"/>
    </row>
    <row r="34" spans="1:16" ht="15" customHeight="1" thickBot="1">
      <c r="A34" s="293">
        <f>A33+1</f>
        <v>24</v>
      </c>
      <c r="B34" s="276" t="s">
        <v>129</v>
      </c>
      <c r="C34" s="173"/>
      <c r="D34" s="174">
        <f>SUM(D31:D33)</f>
        <v>0</v>
      </c>
      <c r="E34" s="174">
        <f>SUM(E31:E33)</f>
        <v>0</v>
      </c>
      <c r="F34" s="439">
        <f>SUM(F31:F33)</f>
        <v>0</v>
      </c>
      <c r="G34" s="440"/>
      <c r="H34" s="26"/>
      <c r="M34" s="136"/>
      <c r="N34" s="136"/>
      <c r="O34" s="4"/>
      <c r="P34" s="4"/>
    </row>
    <row r="35" spans="1:8" ht="18.75" customHeight="1" thickTop="1">
      <c r="A35" s="125"/>
      <c r="B35" s="125"/>
      <c r="C35" s="363" t="s">
        <v>398</v>
      </c>
      <c r="D35" s="363"/>
      <c r="E35" s="363"/>
      <c r="F35" s="363"/>
      <c r="G35" s="363"/>
      <c r="H35" s="125"/>
    </row>
    <row r="36" spans="1:7" ht="15" customHeight="1">
      <c r="A36" s="14">
        <f>+A34+1</f>
        <v>25</v>
      </c>
      <c r="B36" s="209" t="s">
        <v>377</v>
      </c>
      <c r="C36" s="210"/>
      <c r="D36" s="292"/>
      <c r="E36" s="89"/>
      <c r="F36" s="433">
        <f>IF(H5="No",0,F37+Q29)</f>
        <v>0</v>
      </c>
      <c r="G36" s="434"/>
    </row>
    <row r="37" spans="1:7" ht="15" customHeight="1" thickBot="1">
      <c r="A37" s="60">
        <f>+A36+1</f>
        <v>26</v>
      </c>
      <c r="B37" s="278" t="s">
        <v>378</v>
      </c>
      <c r="C37" s="80"/>
      <c r="D37" s="291"/>
      <c r="E37" s="60"/>
      <c r="F37" s="435">
        <f>IF('Cover Page'!A4="",0,VLOOKUP('Cover Page'!A4,Counts!A2:AD98,Counts!AD104,FALSE))</f>
        <v>0</v>
      </c>
      <c r="G37" s="436"/>
    </row>
    <row r="38" spans="1:7" ht="15" customHeight="1" thickBot="1">
      <c r="A38" s="16">
        <f>+A37+1</f>
        <v>27</v>
      </c>
      <c r="B38" s="276" t="s">
        <v>401</v>
      </c>
      <c r="C38" s="173"/>
      <c r="D38" s="293"/>
      <c r="E38" s="16"/>
      <c r="F38" s="437">
        <f>F36-F37</f>
        <v>0</v>
      </c>
      <c r="G38" s="438"/>
    </row>
    <row r="39" spans="1:9" ht="27.75" customHeight="1" thickTop="1">
      <c r="A39" s="424" t="s">
        <v>400</v>
      </c>
      <c r="B39" s="424"/>
      <c r="C39" s="424"/>
      <c r="D39" s="424"/>
      <c r="E39" s="424"/>
      <c r="F39" s="424"/>
      <c r="G39" s="424"/>
      <c r="H39" s="424"/>
      <c r="I39" s="26"/>
    </row>
    <row r="40" spans="1:9" ht="35.25" customHeight="1" hidden="1">
      <c r="A40" s="114"/>
      <c r="B40" s="241" t="s">
        <v>183</v>
      </c>
      <c r="C40" s="241" t="s">
        <v>184</v>
      </c>
      <c r="D40" s="241"/>
      <c r="F40" s="160"/>
      <c r="I40" s="26"/>
    </row>
    <row r="41" spans="1:7" ht="17.25" customHeight="1" hidden="1">
      <c r="A41" s="114"/>
      <c r="B41" s="4" t="s">
        <v>3</v>
      </c>
      <c r="C41" s="4" t="s">
        <v>182</v>
      </c>
      <c r="F41" s="4"/>
      <c r="G41" s="148"/>
    </row>
    <row r="42" spans="1:7" ht="12" customHeight="1" hidden="1">
      <c r="A42" s="114"/>
      <c r="B42" s="4" t="s">
        <v>4</v>
      </c>
      <c r="C42" s="4" t="s">
        <v>182</v>
      </c>
      <c r="F42" s="4" t="s">
        <v>182</v>
      </c>
      <c r="G42" s="4" t="s">
        <v>119</v>
      </c>
    </row>
    <row r="43" spans="1:7" ht="21" customHeight="1" hidden="1">
      <c r="A43" s="114"/>
      <c r="B43" s="4">
        <v>1</v>
      </c>
      <c r="C43" s="4" t="s">
        <v>182</v>
      </c>
      <c r="F43" s="136">
        <v>7754</v>
      </c>
      <c r="G43" s="136">
        <v>8400</v>
      </c>
    </row>
    <row r="44" spans="1:7" ht="11.25" hidden="1">
      <c r="A44" s="114"/>
      <c r="B44" s="4">
        <v>2</v>
      </c>
      <c r="C44" s="4" t="s">
        <v>182</v>
      </c>
      <c r="E44" s="4">
        <v>0</v>
      </c>
      <c r="F44" s="146">
        <f>ROUND($E44*0.05*F$43/15,2)</f>
        <v>0</v>
      </c>
      <c r="G44" s="146">
        <f aca="true" t="shared" si="8" ref="G44:G59">ROUND($E44*0.05*G$43/15,2)</f>
        <v>0</v>
      </c>
    </row>
    <row r="45" spans="1:7" ht="11.25" hidden="1">
      <c r="A45" s="114"/>
      <c r="B45" s="4">
        <v>3</v>
      </c>
      <c r="C45" s="4" t="s">
        <v>182</v>
      </c>
      <c r="E45" s="4">
        <v>1</v>
      </c>
      <c r="F45" s="146">
        <f aca="true" t="shared" si="9" ref="F45:F59">ROUND($E45*0.05*F$43/15,2)</f>
        <v>25.85</v>
      </c>
      <c r="G45" s="146">
        <f t="shared" si="8"/>
        <v>28</v>
      </c>
    </row>
    <row r="46" spans="1:7" ht="11.25" hidden="1">
      <c r="A46" s="114"/>
      <c r="B46" s="4">
        <v>4</v>
      </c>
      <c r="C46" s="4" t="s">
        <v>182</v>
      </c>
      <c r="E46" s="4">
        <v>2</v>
      </c>
      <c r="F46" s="146">
        <f t="shared" si="9"/>
        <v>51.69</v>
      </c>
      <c r="G46" s="146">
        <f t="shared" si="8"/>
        <v>56</v>
      </c>
    </row>
    <row r="47" spans="1:7" ht="11.25" hidden="1">
      <c r="A47" s="114"/>
      <c r="B47" s="4">
        <v>5</v>
      </c>
      <c r="C47" s="4" t="s">
        <v>182</v>
      </c>
      <c r="E47" s="4">
        <v>3</v>
      </c>
      <c r="F47" s="146">
        <f t="shared" si="9"/>
        <v>77.54</v>
      </c>
      <c r="G47" s="146">
        <f t="shared" si="8"/>
        <v>84</v>
      </c>
    </row>
    <row r="48" spans="1:7" ht="11.25" hidden="1">
      <c r="A48" s="114"/>
      <c r="B48" s="4">
        <v>6</v>
      </c>
      <c r="C48" s="4" t="s">
        <v>182</v>
      </c>
      <c r="E48" s="4">
        <v>4</v>
      </c>
      <c r="F48" s="146">
        <f t="shared" si="9"/>
        <v>103.39</v>
      </c>
      <c r="G48" s="146">
        <f t="shared" si="8"/>
        <v>112</v>
      </c>
    </row>
    <row r="49" spans="1:7" ht="11.25" hidden="1">
      <c r="A49" s="114"/>
      <c r="B49" s="4">
        <v>7</v>
      </c>
      <c r="C49" s="4" t="s">
        <v>182</v>
      </c>
      <c r="E49" s="4">
        <v>5</v>
      </c>
      <c r="F49" s="146">
        <f t="shared" si="9"/>
        <v>129.23</v>
      </c>
      <c r="G49" s="146">
        <f t="shared" si="8"/>
        <v>140</v>
      </c>
    </row>
    <row r="50" spans="1:7" ht="11.25" hidden="1">
      <c r="A50" s="114"/>
      <c r="B50" s="4">
        <v>8</v>
      </c>
      <c r="C50" s="4" t="s">
        <v>182</v>
      </c>
      <c r="E50" s="4">
        <v>6</v>
      </c>
      <c r="F50" s="146">
        <f t="shared" si="9"/>
        <v>155.08</v>
      </c>
      <c r="G50" s="146">
        <f t="shared" si="8"/>
        <v>168</v>
      </c>
    </row>
    <row r="51" spans="1:7" ht="11.25" hidden="1">
      <c r="A51" s="114"/>
      <c r="B51" s="4">
        <v>9</v>
      </c>
      <c r="C51" s="4" t="s">
        <v>119</v>
      </c>
      <c r="E51" s="4">
        <v>7</v>
      </c>
      <c r="F51" s="146">
        <f t="shared" si="9"/>
        <v>180.93</v>
      </c>
      <c r="G51" s="146">
        <f t="shared" si="8"/>
        <v>196</v>
      </c>
    </row>
    <row r="52" spans="1:7" ht="11.25" hidden="1">
      <c r="A52" s="114"/>
      <c r="B52" s="4">
        <v>10</v>
      </c>
      <c r="C52" s="4" t="s">
        <v>119</v>
      </c>
      <c r="E52" s="4">
        <v>8</v>
      </c>
      <c r="F52" s="146">
        <f t="shared" si="9"/>
        <v>206.77</v>
      </c>
      <c r="G52" s="146">
        <f t="shared" si="8"/>
        <v>224</v>
      </c>
    </row>
    <row r="53" spans="1:8" ht="11.25" hidden="1">
      <c r="A53" s="114"/>
      <c r="B53" s="4">
        <v>11</v>
      </c>
      <c r="C53" s="4" t="s">
        <v>119</v>
      </c>
      <c r="E53" s="4">
        <v>9</v>
      </c>
      <c r="F53" s="146">
        <f t="shared" si="9"/>
        <v>232.62</v>
      </c>
      <c r="G53" s="146">
        <f t="shared" si="8"/>
        <v>252</v>
      </c>
      <c r="H53" s="26"/>
    </row>
    <row r="54" spans="1:8" ht="11.25" hidden="1">
      <c r="A54" s="114"/>
      <c r="B54" s="4">
        <v>12</v>
      </c>
      <c r="C54" s="4" t="s">
        <v>119</v>
      </c>
      <c r="E54" s="4">
        <v>10</v>
      </c>
      <c r="F54" s="146">
        <f t="shared" si="9"/>
        <v>258.47</v>
      </c>
      <c r="G54" s="146">
        <f t="shared" si="8"/>
        <v>280</v>
      </c>
      <c r="H54" s="26"/>
    </row>
    <row r="55" spans="1:7" ht="11.25" hidden="1">
      <c r="A55" s="114"/>
      <c r="E55" s="4">
        <v>11</v>
      </c>
      <c r="F55" s="146">
        <f t="shared" si="9"/>
        <v>284.31</v>
      </c>
      <c r="G55" s="146">
        <f t="shared" si="8"/>
        <v>308</v>
      </c>
    </row>
    <row r="56" spans="5:7" ht="11.25" hidden="1">
      <c r="E56" s="4">
        <v>12</v>
      </c>
      <c r="F56" s="146">
        <f t="shared" si="9"/>
        <v>310.16</v>
      </c>
      <c r="G56" s="146">
        <f t="shared" si="8"/>
        <v>336</v>
      </c>
    </row>
    <row r="57" spans="5:7" ht="11.25" hidden="1">
      <c r="E57" s="4">
        <v>13</v>
      </c>
      <c r="F57" s="146">
        <f t="shared" si="9"/>
        <v>336.01</v>
      </c>
      <c r="G57" s="146">
        <f t="shared" si="8"/>
        <v>364</v>
      </c>
    </row>
    <row r="58" spans="5:7" ht="11.25" hidden="1">
      <c r="E58" s="4">
        <v>14</v>
      </c>
      <c r="F58" s="146">
        <f t="shared" si="9"/>
        <v>361.85</v>
      </c>
      <c r="G58" s="146">
        <f t="shared" si="8"/>
        <v>392</v>
      </c>
    </row>
    <row r="59" spans="5:7" ht="11.25" hidden="1">
      <c r="E59" s="4">
        <v>15</v>
      </c>
      <c r="F59" s="146">
        <f t="shared" si="9"/>
        <v>387.7</v>
      </c>
      <c r="G59" s="146">
        <f t="shared" si="8"/>
        <v>420</v>
      </c>
    </row>
    <row r="60" spans="5:7" ht="11.25" hidden="1">
      <c r="E60" s="4">
        <v>16</v>
      </c>
      <c r="F60" s="146">
        <f>ROUND(F$43*0.05,2)</f>
        <v>387.7</v>
      </c>
      <c r="G60" s="146">
        <f aca="true" t="shared" si="10" ref="G60:G102">ROUND(G$43*0.05,2)</f>
        <v>420</v>
      </c>
    </row>
    <row r="61" spans="5:7" ht="11.25" hidden="1">
      <c r="E61" s="4">
        <v>17</v>
      </c>
      <c r="F61" s="146">
        <f aca="true" t="shared" si="11" ref="F61:F80">ROUND(F$43*0.05,2)</f>
        <v>387.7</v>
      </c>
      <c r="G61" s="146">
        <f t="shared" si="10"/>
        <v>420</v>
      </c>
    </row>
    <row r="62" spans="5:7" ht="11.25" hidden="1">
      <c r="E62" s="4">
        <v>18</v>
      </c>
      <c r="F62" s="146">
        <f t="shared" si="11"/>
        <v>387.7</v>
      </c>
      <c r="G62" s="146">
        <f t="shared" si="10"/>
        <v>420</v>
      </c>
    </row>
    <row r="63" spans="5:7" ht="11.25" hidden="1">
      <c r="E63" s="4">
        <v>19</v>
      </c>
      <c r="F63" s="146">
        <f t="shared" si="11"/>
        <v>387.7</v>
      </c>
      <c r="G63" s="146">
        <f t="shared" si="10"/>
        <v>420</v>
      </c>
    </row>
    <row r="64" spans="5:7" ht="11.25" hidden="1">
      <c r="E64" s="4">
        <v>20</v>
      </c>
      <c r="F64" s="146">
        <f t="shared" si="11"/>
        <v>387.7</v>
      </c>
      <c r="G64" s="146">
        <f t="shared" si="10"/>
        <v>420</v>
      </c>
    </row>
    <row r="65" spans="5:7" ht="11.25" hidden="1">
      <c r="E65" s="4">
        <v>21</v>
      </c>
      <c r="F65" s="146">
        <f t="shared" si="11"/>
        <v>387.7</v>
      </c>
      <c r="G65" s="146">
        <f t="shared" si="10"/>
        <v>420</v>
      </c>
    </row>
    <row r="66" spans="5:7" ht="11.25" hidden="1">
      <c r="E66" s="4">
        <v>22</v>
      </c>
      <c r="F66" s="146">
        <f t="shared" si="11"/>
        <v>387.7</v>
      </c>
      <c r="G66" s="146">
        <f t="shared" si="10"/>
        <v>420</v>
      </c>
    </row>
    <row r="67" spans="5:7" ht="11.25" hidden="1">
      <c r="E67" s="4">
        <v>23</v>
      </c>
      <c r="F67" s="146">
        <f t="shared" si="11"/>
        <v>387.7</v>
      </c>
      <c r="G67" s="146">
        <f t="shared" si="10"/>
        <v>420</v>
      </c>
    </row>
    <row r="68" spans="5:7" ht="11.25" hidden="1">
      <c r="E68" s="4">
        <v>24</v>
      </c>
      <c r="F68" s="146">
        <f t="shared" si="11"/>
        <v>387.7</v>
      </c>
      <c r="G68" s="146">
        <f t="shared" si="10"/>
        <v>420</v>
      </c>
    </row>
    <row r="69" spans="5:7" ht="11.25" hidden="1">
      <c r="E69" s="4">
        <v>25</v>
      </c>
      <c r="F69" s="146">
        <f t="shared" si="11"/>
        <v>387.7</v>
      </c>
      <c r="G69" s="146">
        <f t="shared" si="10"/>
        <v>420</v>
      </c>
    </row>
    <row r="70" spans="5:7" ht="11.25" hidden="1">
      <c r="E70" s="4">
        <v>26</v>
      </c>
      <c r="F70" s="146">
        <f t="shared" si="11"/>
        <v>387.7</v>
      </c>
      <c r="G70" s="146">
        <f t="shared" si="10"/>
        <v>420</v>
      </c>
    </row>
    <row r="71" spans="5:7" ht="11.25" hidden="1">
      <c r="E71" s="4">
        <v>27</v>
      </c>
      <c r="F71" s="146">
        <f t="shared" si="11"/>
        <v>387.7</v>
      </c>
      <c r="G71" s="146">
        <f t="shared" si="10"/>
        <v>420</v>
      </c>
    </row>
    <row r="72" spans="5:7" ht="11.25" hidden="1">
      <c r="E72" s="4">
        <v>28</v>
      </c>
      <c r="F72" s="146">
        <f t="shared" si="11"/>
        <v>387.7</v>
      </c>
      <c r="G72" s="146">
        <f t="shared" si="10"/>
        <v>420</v>
      </c>
    </row>
    <row r="73" spans="5:7" ht="11.25" hidden="1">
      <c r="E73" s="4">
        <v>29</v>
      </c>
      <c r="F73" s="146">
        <f t="shared" si="11"/>
        <v>387.7</v>
      </c>
      <c r="G73" s="146">
        <f t="shared" si="10"/>
        <v>420</v>
      </c>
    </row>
    <row r="74" spans="5:7" ht="11.25" hidden="1">
      <c r="E74" s="4">
        <v>30</v>
      </c>
      <c r="F74" s="146">
        <f t="shared" si="11"/>
        <v>387.7</v>
      </c>
      <c r="G74" s="146">
        <f t="shared" si="10"/>
        <v>420</v>
      </c>
    </row>
    <row r="75" spans="5:7" ht="11.25" hidden="1">
      <c r="E75" s="4">
        <v>31</v>
      </c>
      <c r="F75" s="146">
        <f t="shared" si="11"/>
        <v>387.7</v>
      </c>
      <c r="G75" s="146">
        <f t="shared" si="10"/>
        <v>420</v>
      </c>
    </row>
    <row r="76" spans="5:7" ht="11.25" hidden="1">
      <c r="E76" s="4">
        <v>32</v>
      </c>
      <c r="F76" s="146">
        <f t="shared" si="11"/>
        <v>387.7</v>
      </c>
      <c r="G76" s="146">
        <f t="shared" si="10"/>
        <v>420</v>
      </c>
    </row>
    <row r="77" spans="5:7" ht="11.25" hidden="1">
      <c r="E77" s="4">
        <v>33</v>
      </c>
      <c r="F77" s="146">
        <f t="shared" si="11"/>
        <v>387.7</v>
      </c>
      <c r="G77" s="146">
        <f t="shared" si="10"/>
        <v>420</v>
      </c>
    </row>
    <row r="78" spans="5:7" ht="11.25" hidden="1">
      <c r="E78" s="4">
        <v>34</v>
      </c>
      <c r="F78" s="146">
        <f t="shared" si="11"/>
        <v>387.7</v>
      </c>
      <c r="G78" s="146">
        <f t="shared" si="10"/>
        <v>420</v>
      </c>
    </row>
    <row r="79" spans="5:7" ht="11.25" hidden="1">
      <c r="E79" s="4">
        <v>35</v>
      </c>
      <c r="F79" s="146">
        <f t="shared" si="11"/>
        <v>387.7</v>
      </c>
      <c r="G79" s="146">
        <f t="shared" si="10"/>
        <v>420</v>
      </c>
    </row>
    <row r="80" spans="5:7" ht="11.25" hidden="1">
      <c r="E80" s="4">
        <v>36</v>
      </c>
      <c r="F80" s="146">
        <f t="shared" si="11"/>
        <v>387.7</v>
      </c>
      <c r="G80" s="146">
        <f t="shared" si="10"/>
        <v>420</v>
      </c>
    </row>
    <row r="81" spans="5:7" ht="11.25" hidden="1">
      <c r="E81" s="4">
        <v>37</v>
      </c>
      <c r="F81" s="146">
        <f aca="true" t="shared" si="12" ref="F81:F102">ROUND(F$43*0.05,2)</f>
        <v>387.7</v>
      </c>
      <c r="G81" s="146">
        <f t="shared" si="10"/>
        <v>420</v>
      </c>
    </row>
    <row r="82" spans="5:7" ht="11.25" hidden="1">
      <c r="E82" s="4">
        <v>38</v>
      </c>
      <c r="F82" s="146">
        <f t="shared" si="12"/>
        <v>387.7</v>
      </c>
      <c r="G82" s="146">
        <f t="shared" si="10"/>
        <v>420</v>
      </c>
    </row>
    <row r="83" spans="5:7" ht="11.25" hidden="1">
      <c r="E83" s="4">
        <v>39</v>
      </c>
      <c r="F83" s="146">
        <f t="shared" si="12"/>
        <v>387.7</v>
      </c>
      <c r="G83" s="146">
        <f t="shared" si="10"/>
        <v>420</v>
      </c>
    </row>
    <row r="84" spans="5:7" ht="11.25" hidden="1">
      <c r="E84" s="4">
        <v>40</v>
      </c>
      <c r="F84" s="146">
        <f t="shared" si="12"/>
        <v>387.7</v>
      </c>
      <c r="G84" s="146">
        <f t="shared" si="10"/>
        <v>420</v>
      </c>
    </row>
    <row r="85" spans="5:7" ht="11.25" hidden="1">
      <c r="E85" s="4">
        <v>41</v>
      </c>
      <c r="F85" s="146">
        <f t="shared" si="12"/>
        <v>387.7</v>
      </c>
      <c r="G85" s="146">
        <f t="shared" si="10"/>
        <v>420</v>
      </c>
    </row>
    <row r="86" spans="5:7" ht="11.25" hidden="1">
      <c r="E86" s="4">
        <v>42</v>
      </c>
      <c r="F86" s="146">
        <f t="shared" si="12"/>
        <v>387.7</v>
      </c>
      <c r="G86" s="146">
        <f t="shared" si="10"/>
        <v>420</v>
      </c>
    </row>
    <row r="87" spans="5:7" ht="11.25" hidden="1">
      <c r="E87" s="4">
        <v>43</v>
      </c>
      <c r="F87" s="146">
        <f t="shared" si="12"/>
        <v>387.7</v>
      </c>
      <c r="G87" s="146">
        <f t="shared" si="10"/>
        <v>420</v>
      </c>
    </row>
    <row r="88" spans="5:7" ht="11.25" hidden="1">
      <c r="E88" s="4">
        <v>44</v>
      </c>
      <c r="F88" s="146">
        <f t="shared" si="12"/>
        <v>387.7</v>
      </c>
      <c r="G88" s="146">
        <f t="shared" si="10"/>
        <v>420</v>
      </c>
    </row>
    <row r="89" spans="5:7" ht="11.25" hidden="1">
      <c r="E89" s="4">
        <v>45</v>
      </c>
      <c r="F89" s="146">
        <f t="shared" si="12"/>
        <v>387.7</v>
      </c>
      <c r="G89" s="146">
        <f t="shared" si="10"/>
        <v>420</v>
      </c>
    </row>
    <row r="90" spans="5:7" ht="11.25" hidden="1">
      <c r="E90" s="4">
        <v>46</v>
      </c>
      <c r="F90" s="146">
        <f t="shared" si="12"/>
        <v>387.7</v>
      </c>
      <c r="G90" s="146">
        <f t="shared" si="10"/>
        <v>420</v>
      </c>
    </row>
    <row r="91" spans="5:7" ht="11.25" hidden="1">
      <c r="E91" s="4">
        <v>47</v>
      </c>
      <c r="F91" s="146">
        <f t="shared" si="12"/>
        <v>387.7</v>
      </c>
      <c r="G91" s="146">
        <f t="shared" si="10"/>
        <v>420</v>
      </c>
    </row>
    <row r="92" spans="5:7" ht="11.25" hidden="1">
      <c r="E92" s="4">
        <v>48</v>
      </c>
      <c r="F92" s="146">
        <f t="shared" si="12"/>
        <v>387.7</v>
      </c>
      <c r="G92" s="146">
        <f t="shared" si="10"/>
        <v>420</v>
      </c>
    </row>
    <row r="93" spans="5:7" ht="11.25" hidden="1">
      <c r="E93" s="4">
        <v>49</v>
      </c>
      <c r="F93" s="146">
        <f t="shared" si="12"/>
        <v>387.7</v>
      </c>
      <c r="G93" s="146">
        <f t="shared" si="10"/>
        <v>420</v>
      </c>
    </row>
    <row r="94" spans="5:7" ht="11.25" hidden="1">
      <c r="E94" s="4">
        <v>50</v>
      </c>
      <c r="F94" s="146">
        <f t="shared" si="12"/>
        <v>387.7</v>
      </c>
      <c r="G94" s="146">
        <f t="shared" si="10"/>
        <v>420</v>
      </c>
    </row>
    <row r="95" spans="5:7" ht="11.25" hidden="1">
      <c r="E95" s="4">
        <v>51</v>
      </c>
      <c r="F95" s="146">
        <f t="shared" si="12"/>
        <v>387.7</v>
      </c>
      <c r="G95" s="146">
        <f t="shared" si="10"/>
        <v>420</v>
      </c>
    </row>
    <row r="96" spans="5:7" ht="11.25" hidden="1">
      <c r="E96" s="4">
        <v>52</v>
      </c>
      <c r="F96" s="146">
        <f t="shared" si="12"/>
        <v>387.7</v>
      </c>
      <c r="G96" s="146">
        <f t="shared" si="10"/>
        <v>420</v>
      </c>
    </row>
    <row r="97" spans="5:7" ht="11.25" hidden="1">
      <c r="E97" s="4">
        <v>53</v>
      </c>
      <c r="F97" s="146">
        <f t="shared" si="12"/>
        <v>387.7</v>
      </c>
      <c r="G97" s="146">
        <f t="shared" si="10"/>
        <v>420</v>
      </c>
    </row>
    <row r="98" spans="5:7" ht="11.25" hidden="1">
      <c r="E98" s="4">
        <v>54</v>
      </c>
      <c r="F98" s="146">
        <f t="shared" si="12"/>
        <v>387.7</v>
      </c>
      <c r="G98" s="146">
        <f t="shared" si="10"/>
        <v>420</v>
      </c>
    </row>
    <row r="99" spans="5:7" ht="11.25" hidden="1">
      <c r="E99" s="4">
        <v>55</v>
      </c>
      <c r="F99" s="146">
        <f t="shared" si="12"/>
        <v>387.7</v>
      </c>
      <c r="G99" s="146">
        <f t="shared" si="10"/>
        <v>420</v>
      </c>
    </row>
    <row r="100" spans="5:7" ht="11.25" hidden="1">
      <c r="E100" s="4">
        <v>56</v>
      </c>
      <c r="F100" s="146">
        <f t="shared" si="12"/>
        <v>387.7</v>
      </c>
      <c r="G100" s="146">
        <f t="shared" si="10"/>
        <v>420</v>
      </c>
    </row>
    <row r="101" spans="5:7" ht="11.25" hidden="1">
      <c r="E101" s="4">
        <v>57</v>
      </c>
      <c r="F101" s="146">
        <f t="shared" si="12"/>
        <v>387.7</v>
      </c>
      <c r="G101" s="146">
        <f t="shared" si="10"/>
        <v>420</v>
      </c>
    </row>
    <row r="102" spans="5:7" ht="11.25" hidden="1">
      <c r="E102" s="4">
        <v>58</v>
      </c>
      <c r="F102" s="146">
        <f t="shared" si="12"/>
        <v>387.7</v>
      </c>
      <c r="G102" s="146">
        <f t="shared" si="10"/>
        <v>420</v>
      </c>
    </row>
  </sheetData>
  <sheetProtection password="DE89" sheet="1"/>
  <mergeCells count="20">
    <mergeCell ref="F36:G36"/>
    <mergeCell ref="F37:G37"/>
    <mergeCell ref="F38:G38"/>
    <mergeCell ref="C35:G35"/>
    <mergeCell ref="F34:G34"/>
    <mergeCell ref="A5:G5"/>
    <mergeCell ref="C29:G29"/>
    <mergeCell ref="D7:F7"/>
    <mergeCell ref="F30:G30"/>
    <mergeCell ref="F31:G31"/>
    <mergeCell ref="A39:H39"/>
    <mergeCell ref="F32:G32"/>
    <mergeCell ref="F33:G33"/>
    <mergeCell ref="N7:S7"/>
    <mergeCell ref="J7:L7"/>
    <mergeCell ref="A1:H1"/>
    <mergeCell ref="A2:H2"/>
    <mergeCell ref="A3:H3"/>
    <mergeCell ref="A4:H4"/>
    <mergeCell ref="A6:G6"/>
  </mergeCells>
  <conditionalFormatting sqref="J9:L28">
    <cfRule type="cellIs" priority="1" dxfId="5" operator="equal" stopIfTrue="1">
      <formula>"Yes"</formula>
    </cfRule>
  </conditionalFormatting>
  <dataValidations count="4">
    <dataValidation type="list" allowBlank="1" showInputMessage="1" showErrorMessage="1" sqref="H5:H6">
      <formula1>"Yes, No, N/A"</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G9:H28">
      <formula1>0</formula1>
      <formula2>58</formula2>
    </dataValidation>
    <dataValidation type="list" allowBlank="1" showInputMessage="1" showErrorMessage="1" sqref="F9:F28">
      <formula1>"Full,Partial"</formula1>
    </dataValidation>
    <dataValidation type="list" allowBlank="1" showInputMessage="1" showErrorMessage="1" sqref="B9:B28">
      <formula1>"K4,K5,1,2,3,4,5,6,7,8,9,10,11,12"</formula1>
    </dataValidation>
  </dataValidations>
  <printOptions horizontalCentered="1"/>
  <pageMargins left="0.5" right="0.5" top="0.5" bottom="0.5" header="0.3" footer="0.3"/>
  <pageSetup fitToHeight="1" fitToWidth="1" horizontalDpi="600" verticalDpi="600" orientation="portrait" scale="98" r:id="rId1"/>
  <headerFooter>
    <oddHeader>&amp;L&amp;"Arial,Regular"&amp;8Page 8&amp;C &amp;R&amp;"Arial,Regular"&amp;8PI-SNSP-0102 (10 Lines)</oddHeader>
  </headerFooter>
</worksheet>
</file>

<file path=xl/worksheets/sheet12.xml><?xml version="1.0" encoding="utf-8"?>
<worksheet xmlns="http://schemas.openxmlformats.org/spreadsheetml/2006/main" xmlns:r="http://schemas.openxmlformats.org/officeDocument/2006/relationships">
  <dimension ref="A1:AD104"/>
  <sheetViews>
    <sheetView zoomScale="85" zoomScaleNormal="85" zoomScalePageLayoutView="0" workbookViewId="0" topLeftCell="A1">
      <pane xSplit="1" ySplit="1" topLeftCell="L2" activePane="bottomRight" state="frozen"/>
      <selection pane="topLeft" activeCell="U91" sqref="U91"/>
      <selection pane="topRight" activeCell="U91" sqref="U91"/>
      <selection pane="bottomLeft" activeCell="U91" sqref="U91"/>
      <selection pane="bottomRight" activeCell="U91" sqref="U91"/>
    </sheetView>
  </sheetViews>
  <sheetFormatPr defaultColWidth="8.8515625" defaultRowHeight="15"/>
  <cols>
    <col min="1" max="1" width="33.7109375" style="147" customWidth="1"/>
    <col min="2" max="2" width="13.28125" style="147" customWidth="1"/>
    <col min="3" max="11" width="8.8515625" style="147" customWidth="1"/>
    <col min="12" max="17" width="8.8515625" style="236" customWidth="1"/>
    <col min="18" max="18" width="8.8515625" style="147" customWidth="1"/>
    <col min="19" max="19" width="8.8515625" style="236" customWidth="1"/>
    <col min="20" max="21" width="8.8515625" style="147" customWidth="1"/>
    <col min="22" max="27" width="8.8515625" style="236" customWidth="1"/>
    <col min="28" max="29" width="8.8515625" style="147" customWidth="1"/>
    <col min="30" max="30" width="8.8515625" style="296" customWidth="1"/>
    <col min="31" max="16384" width="8.8515625" style="147" customWidth="1"/>
  </cols>
  <sheetData>
    <row r="1" spans="1:30" ht="45">
      <c r="A1" s="233" t="s">
        <v>203</v>
      </c>
      <c r="B1" s="234" t="s">
        <v>204</v>
      </c>
      <c r="C1" s="235" t="s">
        <v>268</v>
      </c>
      <c r="D1" s="235" t="s">
        <v>269</v>
      </c>
      <c r="E1" s="235" t="s">
        <v>270</v>
      </c>
      <c r="F1" s="235" t="s">
        <v>271</v>
      </c>
      <c r="G1" s="235" t="s">
        <v>272</v>
      </c>
      <c r="H1" s="235" t="s">
        <v>273</v>
      </c>
      <c r="I1" s="235" t="s">
        <v>274</v>
      </c>
      <c r="J1" s="235" t="s">
        <v>275</v>
      </c>
      <c r="K1" s="235" t="s">
        <v>276</v>
      </c>
      <c r="L1" s="235" t="s">
        <v>277</v>
      </c>
      <c r="M1" s="235" t="s">
        <v>278</v>
      </c>
      <c r="N1" s="235" t="s">
        <v>279</v>
      </c>
      <c r="O1" s="235" t="s">
        <v>280</v>
      </c>
      <c r="P1" s="235" t="s">
        <v>281</v>
      </c>
      <c r="Q1" s="235" t="s">
        <v>282</v>
      </c>
      <c r="R1" s="235" t="s">
        <v>201</v>
      </c>
      <c r="S1" s="235" t="s">
        <v>102</v>
      </c>
      <c r="T1" s="235" t="s">
        <v>103</v>
      </c>
      <c r="U1" s="235" t="s">
        <v>104</v>
      </c>
      <c r="V1" s="235" t="s">
        <v>107</v>
      </c>
      <c r="W1" s="235" t="s">
        <v>108</v>
      </c>
      <c r="X1" s="235" t="s">
        <v>105</v>
      </c>
      <c r="Y1" s="235" t="s">
        <v>106</v>
      </c>
      <c r="Z1" s="235" t="s">
        <v>283</v>
      </c>
      <c r="AA1" s="234" t="s">
        <v>284</v>
      </c>
      <c r="AB1" s="234" t="s">
        <v>376</v>
      </c>
      <c r="AC1" s="234" t="s">
        <v>393</v>
      </c>
      <c r="AD1" s="294" t="s">
        <v>391</v>
      </c>
    </row>
    <row r="2" spans="1:30" ht="11.25">
      <c r="A2" s="218" t="s">
        <v>205</v>
      </c>
      <c r="B2" s="218" t="s">
        <v>206</v>
      </c>
      <c r="C2" s="220">
        <v>0</v>
      </c>
      <c r="D2" s="220">
        <v>0</v>
      </c>
      <c r="E2" s="220">
        <v>0</v>
      </c>
      <c r="F2" s="220">
        <v>0</v>
      </c>
      <c r="G2" s="220">
        <v>0</v>
      </c>
      <c r="H2" s="220">
        <v>0</v>
      </c>
      <c r="I2" s="220">
        <v>0</v>
      </c>
      <c r="J2" s="220">
        <v>7</v>
      </c>
      <c r="K2" s="220">
        <v>0</v>
      </c>
      <c r="L2" s="220">
        <v>0</v>
      </c>
      <c r="M2" s="220">
        <v>0</v>
      </c>
      <c r="N2" s="220">
        <v>0</v>
      </c>
      <c r="O2" s="220">
        <v>0</v>
      </c>
      <c r="P2" s="220">
        <v>0</v>
      </c>
      <c r="Q2" s="220">
        <v>0</v>
      </c>
      <c r="R2" s="220">
        <v>0</v>
      </c>
      <c r="S2" s="220">
        <v>0</v>
      </c>
      <c r="T2" s="220">
        <v>0</v>
      </c>
      <c r="U2" s="220">
        <v>0</v>
      </c>
      <c r="V2" s="220">
        <v>0</v>
      </c>
      <c r="W2" s="220">
        <v>0</v>
      </c>
      <c r="X2" s="220">
        <v>0</v>
      </c>
      <c r="Y2" s="220">
        <v>290</v>
      </c>
      <c r="Z2" s="220">
        <v>290</v>
      </c>
      <c r="AA2" s="220">
        <v>290</v>
      </c>
      <c r="AB2" s="220">
        <v>0</v>
      </c>
      <c r="AC2" s="220">
        <v>0</v>
      </c>
      <c r="AD2" s="295">
        <v>0</v>
      </c>
    </row>
    <row r="3" spans="1:30" ht="11.25">
      <c r="A3" s="219" t="s">
        <v>207</v>
      </c>
      <c r="B3" s="218" t="s">
        <v>206</v>
      </c>
      <c r="C3" s="220">
        <v>0</v>
      </c>
      <c r="D3" s="220">
        <v>0</v>
      </c>
      <c r="E3" s="220">
        <v>0</v>
      </c>
      <c r="F3" s="220">
        <v>0</v>
      </c>
      <c r="G3" s="220">
        <v>0</v>
      </c>
      <c r="H3" s="220">
        <v>0</v>
      </c>
      <c r="I3" s="220">
        <v>5</v>
      </c>
      <c r="J3" s="220">
        <v>0</v>
      </c>
      <c r="K3" s="220">
        <v>0</v>
      </c>
      <c r="L3" s="220">
        <v>0</v>
      </c>
      <c r="M3" s="220">
        <v>0</v>
      </c>
      <c r="N3" s="220">
        <v>0</v>
      </c>
      <c r="O3" s="220">
        <v>0</v>
      </c>
      <c r="P3" s="220">
        <v>0</v>
      </c>
      <c r="Q3" s="220">
        <v>0</v>
      </c>
      <c r="R3" s="220">
        <v>0</v>
      </c>
      <c r="S3" s="220">
        <v>0</v>
      </c>
      <c r="T3" s="220">
        <v>0</v>
      </c>
      <c r="U3" s="220">
        <v>0</v>
      </c>
      <c r="V3" s="220">
        <v>0</v>
      </c>
      <c r="W3" s="220">
        <v>0</v>
      </c>
      <c r="X3" s="220">
        <v>0</v>
      </c>
      <c r="Y3" s="220">
        <v>158</v>
      </c>
      <c r="Z3" s="220">
        <v>158</v>
      </c>
      <c r="AA3" s="220">
        <v>158</v>
      </c>
      <c r="AB3" s="220">
        <v>0</v>
      </c>
      <c r="AC3" s="220">
        <v>0</v>
      </c>
      <c r="AD3" s="295">
        <v>0</v>
      </c>
    </row>
    <row r="4" spans="1:30" ht="11.25">
      <c r="A4" s="220" t="s">
        <v>343</v>
      </c>
      <c r="B4" s="218" t="s">
        <v>379</v>
      </c>
      <c r="C4" s="220">
        <v>0</v>
      </c>
      <c r="D4" s="220">
        <v>0</v>
      </c>
      <c r="E4" s="220">
        <v>0</v>
      </c>
      <c r="F4" s="220">
        <v>0</v>
      </c>
      <c r="G4" s="220">
        <v>0</v>
      </c>
      <c r="H4" s="220">
        <v>0</v>
      </c>
      <c r="I4" s="220">
        <v>0</v>
      </c>
      <c r="J4" s="220">
        <v>1</v>
      </c>
      <c r="K4" s="220">
        <v>0</v>
      </c>
      <c r="L4" s="220">
        <v>0</v>
      </c>
      <c r="M4" s="220">
        <v>0</v>
      </c>
      <c r="N4" s="220">
        <v>0</v>
      </c>
      <c r="O4" s="220">
        <v>0</v>
      </c>
      <c r="P4" s="220">
        <v>0</v>
      </c>
      <c r="Q4" s="220">
        <v>0</v>
      </c>
      <c r="R4" s="220">
        <v>0</v>
      </c>
      <c r="S4" s="220">
        <v>0</v>
      </c>
      <c r="T4" s="220">
        <v>0</v>
      </c>
      <c r="U4" s="220">
        <v>0</v>
      </c>
      <c r="V4" s="220">
        <v>0</v>
      </c>
      <c r="W4" s="220">
        <v>0</v>
      </c>
      <c r="X4" s="220">
        <v>0</v>
      </c>
      <c r="Y4" s="220">
        <v>127</v>
      </c>
      <c r="Z4" s="220">
        <v>127</v>
      </c>
      <c r="AA4" s="220">
        <v>127</v>
      </c>
      <c r="AB4" s="220">
        <v>0</v>
      </c>
      <c r="AC4" s="220">
        <v>0</v>
      </c>
      <c r="AD4" s="295">
        <v>0</v>
      </c>
    </row>
    <row r="5" spans="1:30" ht="11.25">
      <c r="A5" s="220" t="s">
        <v>344</v>
      </c>
      <c r="B5" s="218" t="s">
        <v>379</v>
      </c>
      <c r="C5" s="220">
        <v>0</v>
      </c>
      <c r="D5" s="220">
        <v>0</v>
      </c>
      <c r="E5" s="220">
        <v>0</v>
      </c>
      <c r="F5" s="220">
        <v>0</v>
      </c>
      <c r="G5" s="220">
        <v>0</v>
      </c>
      <c r="H5" s="220">
        <v>0</v>
      </c>
      <c r="I5" s="220">
        <v>1</v>
      </c>
      <c r="J5" s="220">
        <v>0</v>
      </c>
      <c r="K5" s="220">
        <v>0</v>
      </c>
      <c r="L5" s="220">
        <v>0</v>
      </c>
      <c r="M5" s="220">
        <v>0</v>
      </c>
      <c r="N5" s="220">
        <v>0</v>
      </c>
      <c r="O5" s="220">
        <v>0</v>
      </c>
      <c r="P5" s="220">
        <v>0</v>
      </c>
      <c r="Q5" s="220">
        <v>0</v>
      </c>
      <c r="R5" s="220">
        <v>0</v>
      </c>
      <c r="S5" s="220">
        <v>0</v>
      </c>
      <c r="T5" s="220">
        <v>0</v>
      </c>
      <c r="U5" s="220">
        <v>0</v>
      </c>
      <c r="V5" s="220">
        <v>0</v>
      </c>
      <c r="W5" s="220">
        <v>0</v>
      </c>
      <c r="X5" s="220">
        <v>0</v>
      </c>
      <c r="Y5" s="220">
        <v>102</v>
      </c>
      <c r="Z5" s="220">
        <v>102</v>
      </c>
      <c r="AA5" s="220">
        <v>102</v>
      </c>
      <c r="AB5" s="220">
        <v>0</v>
      </c>
      <c r="AC5" s="220">
        <v>0</v>
      </c>
      <c r="AD5" s="295">
        <v>0</v>
      </c>
    </row>
    <row r="6" spans="1:30" ht="11.25">
      <c r="A6" s="219" t="s">
        <v>345</v>
      </c>
      <c r="B6" s="218" t="s">
        <v>265</v>
      </c>
      <c r="C6" s="220">
        <v>0</v>
      </c>
      <c r="D6" s="220">
        <v>0</v>
      </c>
      <c r="E6" s="220">
        <v>0</v>
      </c>
      <c r="F6" s="220">
        <v>0</v>
      </c>
      <c r="G6" s="220">
        <v>0</v>
      </c>
      <c r="H6" s="220">
        <v>0</v>
      </c>
      <c r="I6" s="220">
        <v>0</v>
      </c>
      <c r="J6" s="220">
        <v>0</v>
      </c>
      <c r="K6" s="220">
        <v>0</v>
      </c>
      <c r="L6" s="220">
        <v>0</v>
      </c>
      <c r="M6" s="220">
        <v>0</v>
      </c>
      <c r="N6" s="220">
        <v>0</v>
      </c>
      <c r="O6" s="220">
        <v>0</v>
      </c>
      <c r="P6" s="220">
        <v>0</v>
      </c>
      <c r="Q6" s="220">
        <v>0</v>
      </c>
      <c r="R6" s="220">
        <v>0</v>
      </c>
      <c r="S6" s="220">
        <v>0</v>
      </c>
      <c r="T6" s="220">
        <v>0</v>
      </c>
      <c r="U6" s="220">
        <v>0</v>
      </c>
      <c r="V6" s="220">
        <v>0</v>
      </c>
      <c r="W6" s="220">
        <v>0</v>
      </c>
      <c r="X6" s="220">
        <v>0</v>
      </c>
      <c r="Y6" s="220">
        <v>42</v>
      </c>
      <c r="Z6" s="220">
        <v>42</v>
      </c>
      <c r="AA6" s="220">
        <v>42</v>
      </c>
      <c r="AB6" s="220">
        <v>0</v>
      </c>
      <c r="AC6" s="220">
        <v>0</v>
      </c>
      <c r="AD6" s="295">
        <v>0</v>
      </c>
    </row>
    <row r="7" spans="1:30" ht="11.25">
      <c r="A7" s="219" t="s">
        <v>208</v>
      </c>
      <c r="B7" s="218" t="s">
        <v>96</v>
      </c>
      <c r="C7" s="220">
        <v>3</v>
      </c>
      <c r="D7" s="220">
        <v>0</v>
      </c>
      <c r="E7" s="220">
        <v>0</v>
      </c>
      <c r="F7" s="220">
        <v>0</v>
      </c>
      <c r="G7" s="220">
        <v>0</v>
      </c>
      <c r="H7" s="220">
        <v>1</v>
      </c>
      <c r="I7" s="220">
        <v>9</v>
      </c>
      <c r="J7" s="220">
        <v>0</v>
      </c>
      <c r="K7" s="220">
        <v>0</v>
      </c>
      <c r="L7" s="220">
        <v>0</v>
      </c>
      <c r="M7" s="220">
        <v>0</v>
      </c>
      <c r="N7" s="220">
        <v>0</v>
      </c>
      <c r="O7" s="220">
        <v>0</v>
      </c>
      <c r="P7" s="220">
        <v>0</v>
      </c>
      <c r="Q7" s="220">
        <v>0</v>
      </c>
      <c r="R7" s="220">
        <v>0</v>
      </c>
      <c r="S7" s="220">
        <v>17</v>
      </c>
      <c r="T7" s="220">
        <v>0</v>
      </c>
      <c r="U7" s="220">
        <v>0</v>
      </c>
      <c r="V7" s="220">
        <v>0</v>
      </c>
      <c r="W7" s="220">
        <v>0</v>
      </c>
      <c r="X7" s="220">
        <v>9</v>
      </c>
      <c r="Y7" s="220">
        <v>51</v>
      </c>
      <c r="Z7" s="220">
        <v>77</v>
      </c>
      <c r="AA7" s="220">
        <v>68.5</v>
      </c>
      <c r="AB7" s="220">
        <v>0</v>
      </c>
      <c r="AC7" s="220">
        <v>0</v>
      </c>
      <c r="AD7" s="295">
        <v>0</v>
      </c>
    </row>
    <row r="8" spans="1:30" ht="11.25">
      <c r="A8" s="220" t="s">
        <v>209</v>
      </c>
      <c r="B8" s="218" t="s">
        <v>134</v>
      </c>
      <c r="C8" s="220">
        <v>1</v>
      </c>
      <c r="D8" s="220">
        <v>0</v>
      </c>
      <c r="E8" s="220">
        <v>0</v>
      </c>
      <c r="F8" s="220">
        <v>0</v>
      </c>
      <c r="G8" s="220">
        <v>0</v>
      </c>
      <c r="H8" s="220">
        <v>4</v>
      </c>
      <c r="I8" s="220">
        <v>14</v>
      </c>
      <c r="J8" s="220">
        <v>0</v>
      </c>
      <c r="K8" s="220">
        <v>0</v>
      </c>
      <c r="L8" s="220">
        <v>0</v>
      </c>
      <c r="M8" s="220">
        <v>0</v>
      </c>
      <c r="N8" s="220">
        <v>0</v>
      </c>
      <c r="O8" s="220">
        <v>0</v>
      </c>
      <c r="P8" s="220">
        <v>0</v>
      </c>
      <c r="Q8" s="220">
        <v>2</v>
      </c>
      <c r="R8" s="220">
        <v>0</v>
      </c>
      <c r="S8" s="220">
        <v>15</v>
      </c>
      <c r="T8" s="220">
        <v>0</v>
      </c>
      <c r="U8" s="220">
        <v>4</v>
      </c>
      <c r="V8" s="220">
        <v>0</v>
      </c>
      <c r="W8" s="220">
        <v>0</v>
      </c>
      <c r="X8" s="220">
        <v>27</v>
      </c>
      <c r="Y8" s="220">
        <v>237</v>
      </c>
      <c r="Z8" s="220">
        <v>283</v>
      </c>
      <c r="AA8" s="220">
        <v>273.5</v>
      </c>
      <c r="AB8" s="220">
        <v>0</v>
      </c>
      <c r="AC8" s="220">
        <v>0</v>
      </c>
      <c r="AD8" s="295">
        <v>0</v>
      </c>
    </row>
    <row r="9" spans="1:30" ht="11.25">
      <c r="A9" s="220" t="s">
        <v>210</v>
      </c>
      <c r="B9" s="218" t="s">
        <v>206</v>
      </c>
      <c r="C9" s="220">
        <v>0</v>
      </c>
      <c r="D9" s="220">
        <v>0</v>
      </c>
      <c r="E9" s="220">
        <v>0</v>
      </c>
      <c r="F9" s="220">
        <v>0</v>
      </c>
      <c r="G9" s="220">
        <v>0</v>
      </c>
      <c r="H9" s="220">
        <v>0</v>
      </c>
      <c r="I9" s="220">
        <v>5</v>
      </c>
      <c r="J9" s="220">
        <v>0</v>
      </c>
      <c r="K9" s="220">
        <v>0</v>
      </c>
      <c r="L9" s="220">
        <v>0</v>
      </c>
      <c r="M9" s="220">
        <v>0</v>
      </c>
      <c r="N9" s="220">
        <v>0</v>
      </c>
      <c r="O9" s="220">
        <v>0</v>
      </c>
      <c r="P9" s="220">
        <v>0</v>
      </c>
      <c r="Q9" s="220">
        <v>0</v>
      </c>
      <c r="R9" s="220">
        <v>0</v>
      </c>
      <c r="S9" s="220">
        <v>0</v>
      </c>
      <c r="T9" s="220">
        <v>0</v>
      </c>
      <c r="U9" s="220">
        <v>0</v>
      </c>
      <c r="V9" s="220">
        <v>0</v>
      </c>
      <c r="W9" s="220">
        <v>0</v>
      </c>
      <c r="X9" s="220">
        <v>0</v>
      </c>
      <c r="Y9" s="220">
        <v>198</v>
      </c>
      <c r="Z9" s="220">
        <v>198</v>
      </c>
      <c r="AA9" s="220">
        <v>198</v>
      </c>
      <c r="AB9" s="220">
        <v>0</v>
      </c>
      <c r="AC9" s="220">
        <v>0</v>
      </c>
      <c r="AD9" s="295">
        <v>0</v>
      </c>
    </row>
    <row r="10" spans="1:30" ht="11.25">
      <c r="A10" s="218" t="s">
        <v>211</v>
      </c>
      <c r="B10" s="218" t="s">
        <v>206</v>
      </c>
      <c r="C10" s="220">
        <v>0</v>
      </c>
      <c r="D10" s="220">
        <v>0</v>
      </c>
      <c r="E10" s="220">
        <v>0</v>
      </c>
      <c r="F10" s="220">
        <v>0</v>
      </c>
      <c r="G10" s="220">
        <v>0</v>
      </c>
      <c r="H10" s="220">
        <v>2</v>
      </c>
      <c r="I10" s="220">
        <v>1</v>
      </c>
      <c r="J10" s="220">
        <v>0</v>
      </c>
      <c r="K10" s="220">
        <v>0</v>
      </c>
      <c r="L10" s="220">
        <v>0</v>
      </c>
      <c r="M10" s="220">
        <v>0</v>
      </c>
      <c r="N10" s="220">
        <v>0</v>
      </c>
      <c r="O10" s="220">
        <v>0</v>
      </c>
      <c r="P10" s="220">
        <v>0</v>
      </c>
      <c r="Q10" s="220">
        <v>0</v>
      </c>
      <c r="R10" s="220">
        <v>0</v>
      </c>
      <c r="S10" s="220">
        <v>25</v>
      </c>
      <c r="T10" s="220">
        <v>0</v>
      </c>
      <c r="U10" s="220">
        <v>0</v>
      </c>
      <c r="V10" s="220">
        <v>0</v>
      </c>
      <c r="W10" s="220">
        <v>0</v>
      </c>
      <c r="X10" s="220">
        <v>42</v>
      </c>
      <c r="Y10" s="220">
        <v>73</v>
      </c>
      <c r="Z10" s="220">
        <v>140</v>
      </c>
      <c r="AA10" s="220">
        <v>127.5</v>
      </c>
      <c r="AB10" s="220">
        <v>0</v>
      </c>
      <c r="AC10" s="220">
        <v>0</v>
      </c>
      <c r="AD10" s="295">
        <v>0</v>
      </c>
    </row>
    <row r="11" spans="1:30" ht="11.25">
      <c r="A11" s="218" t="s">
        <v>212</v>
      </c>
      <c r="B11" s="218" t="s">
        <v>213</v>
      </c>
      <c r="C11" s="220">
        <v>0</v>
      </c>
      <c r="D11" s="220">
        <v>0</v>
      </c>
      <c r="E11" s="220">
        <v>0</v>
      </c>
      <c r="F11" s="220">
        <v>1</v>
      </c>
      <c r="G11" s="220">
        <v>0</v>
      </c>
      <c r="H11" s="220">
        <v>0</v>
      </c>
      <c r="I11" s="220">
        <v>17</v>
      </c>
      <c r="J11" s="220">
        <v>5</v>
      </c>
      <c r="K11" s="220">
        <v>0</v>
      </c>
      <c r="L11" s="220">
        <v>0</v>
      </c>
      <c r="M11" s="220">
        <v>0</v>
      </c>
      <c r="N11" s="220">
        <v>0</v>
      </c>
      <c r="O11" s="220">
        <v>0</v>
      </c>
      <c r="P11" s="220">
        <v>0</v>
      </c>
      <c r="Q11" s="220">
        <v>1</v>
      </c>
      <c r="R11" s="220">
        <v>0</v>
      </c>
      <c r="S11" s="220">
        <v>0</v>
      </c>
      <c r="T11" s="220">
        <v>0</v>
      </c>
      <c r="U11" s="220">
        <v>0</v>
      </c>
      <c r="V11" s="220">
        <v>22</v>
      </c>
      <c r="W11" s="220">
        <v>0</v>
      </c>
      <c r="X11" s="220">
        <v>0</v>
      </c>
      <c r="Y11" s="220">
        <v>300</v>
      </c>
      <c r="Z11" s="220">
        <v>322</v>
      </c>
      <c r="AA11" s="220">
        <v>313.2</v>
      </c>
      <c r="AB11" s="220">
        <v>0</v>
      </c>
      <c r="AC11" s="220">
        <v>0</v>
      </c>
      <c r="AD11" s="295">
        <v>0</v>
      </c>
    </row>
    <row r="12" spans="1:30" ht="11.25">
      <c r="A12" s="220" t="s">
        <v>346</v>
      </c>
      <c r="B12" s="218" t="s">
        <v>58</v>
      </c>
      <c r="C12" s="220">
        <v>0</v>
      </c>
      <c r="D12" s="220">
        <v>0</v>
      </c>
      <c r="E12" s="220">
        <v>0</v>
      </c>
      <c r="F12" s="220">
        <v>0</v>
      </c>
      <c r="G12" s="220">
        <v>0</v>
      </c>
      <c r="H12" s="220">
        <v>0</v>
      </c>
      <c r="I12" s="220">
        <v>0</v>
      </c>
      <c r="J12" s="220">
        <v>0</v>
      </c>
      <c r="K12" s="220">
        <v>0</v>
      </c>
      <c r="L12" s="220">
        <v>0</v>
      </c>
      <c r="M12" s="220">
        <v>0</v>
      </c>
      <c r="N12" s="220">
        <v>0</v>
      </c>
      <c r="O12" s="220">
        <v>0</v>
      </c>
      <c r="P12" s="220">
        <v>0</v>
      </c>
      <c r="Q12" s="220">
        <v>0</v>
      </c>
      <c r="R12" s="220">
        <v>0</v>
      </c>
      <c r="S12" s="220">
        <v>0</v>
      </c>
      <c r="T12" s="220">
        <v>0</v>
      </c>
      <c r="U12" s="220">
        <v>0</v>
      </c>
      <c r="V12" s="220">
        <v>0</v>
      </c>
      <c r="W12" s="220">
        <v>0</v>
      </c>
      <c r="X12" s="220">
        <v>0</v>
      </c>
      <c r="Y12" s="220">
        <v>32</v>
      </c>
      <c r="Z12" s="220">
        <v>32</v>
      </c>
      <c r="AA12" s="220">
        <v>32</v>
      </c>
      <c r="AB12" s="220">
        <v>0</v>
      </c>
      <c r="AC12" s="220">
        <v>0</v>
      </c>
      <c r="AD12" s="295">
        <v>0</v>
      </c>
    </row>
    <row r="13" spans="1:30" ht="11.25">
      <c r="A13" s="219" t="s">
        <v>214</v>
      </c>
      <c r="B13" s="218" t="s">
        <v>58</v>
      </c>
      <c r="C13" s="220">
        <v>0</v>
      </c>
      <c r="D13" s="220">
        <v>0</v>
      </c>
      <c r="E13" s="220">
        <v>0</v>
      </c>
      <c r="F13" s="220">
        <v>0</v>
      </c>
      <c r="G13" s="220">
        <v>0</v>
      </c>
      <c r="H13" s="220">
        <v>0</v>
      </c>
      <c r="I13" s="220">
        <v>3</v>
      </c>
      <c r="J13" s="220">
        <v>0</v>
      </c>
      <c r="K13" s="220">
        <v>0</v>
      </c>
      <c r="L13" s="220">
        <v>0</v>
      </c>
      <c r="M13" s="220">
        <v>0</v>
      </c>
      <c r="N13" s="220">
        <v>0</v>
      </c>
      <c r="O13" s="220">
        <v>0</v>
      </c>
      <c r="P13" s="220">
        <v>0</v>
      </c>
      <c r="Q13" s="220">
        <v>0</v>
      </c>
      <c r="R13" s="220">
        <v>0</v>
      </c>
      <c r="S13" s="220">
        <v>19</v>
      </c>
      <c r="T13" s="220">
        <v>0</v>
      </c>
      <c r="U13" s="220">
        <v>0</v>
      </c>
      <c r="V13" s="220">
        <v>0</v>
      </c>
      <c r="W13" s="220">
        <v>0</v>
      </c>
      <c r="X13" s="220">
        <v>18</v>
      </c>
      <c r="Y13" s="220">
        <v>184</v>
      </c>
      <c r="Z13" s="220">
        <v>221</v>
      </c>
      <c r="AA13" s="220">
        <v>211.5</v>
      </c>
      <c r="AB13" s="220">
        <v>0</v>
      </c>
      <c r="AC13" s="220">
        <v>0</v>
      </c>
      <c r="AD13" s="295">
        <v>0</v>
      </c>
    </row>
    <row r="14" spans="1:30" ht="11.25">
      <c r="A14" s="218" t="s">
        <v>59</v>
      </c>
      <c r="B14" s="218" t="s">
        <v>83</v>
      </c>
      <c r="C14" s="220">
        <v>3</v>
      </c>
      <c r="D14" s="220">
        <v>0</v>
      </c>
      <c r="E14" s="220">
        <v>0</v>
      </c>
      <c r="F14" s="220">
        <v>0</v>
      </c>
      <c r="G14" s="220">
        <v>0</v>
      </c>
      <c r="H14" s="220">
        <v>1</v>
      </c>
      <c r="I14" s="220">
        <v>17</v>
      </c>
      <c r="J14" s="220">
        <v>0</v>
      </c>
      <c r="K14" s="220">
        <v>0</v>
      </c>
      <c r="L14" s="220">
        <v>0</v>
      </c>
      <c r="M14" s="220">
        <v>0</v>
      </c>
      <c r="N14" s="220">
        <v>0</v>
      </c>
      <c r="O14" s="220">
        <v>0</v>
      </c>
      <c r="P14" s="220">
        <v>0</v>
      </c>
      <c r="Q14" s="220">
        <v>3</v>
      </c>
      <c r="R14" s="220">
        <v>0</v>
      </c>
      <c r="S14" s="220">
        <v>24</v>
      </c>
      <c r="T14" s="220">
        <v>0</v>
      </c>
      <c r="U14" s="220">
        <v>0</v>
      </c>
      <c r="V14" s="220">
        <v>0</v>
      </c>
      <c r="W14" s="220">
        <v>0</v>
      </c>
      <c r="X14" s="220">
        <v>25</v>
      </c>
      <c r="Y14" s="220">
        <v>185</v>
      </c>
      <c r="Z14" s="220">
        <v>234</v>
      </c>
      <c r="AA14" s="220">
        <v>222</v>
      </c>
      <c r="AB14" s="220">
        <v>0</v>
      </c>
      <c r="AC14" s="220">
        <v>0</v>
      </c>
      <c r="AD14" s="295">
        <v>0</v>
      </c>
    </row>
    <row r="15" spans="1:30" ht="11.25">
      <c r="A15" s="220" t="s">
        <v>215</v>
      </c>
      <c r="B15" s="218" t="s">
        <v>58</v>
      </c>
      <c r="C15" s="220">
        <v>0</v>
      </c>
      <c r="D15" s="220">
        <v>0</v>
      </c>
      <c r="E15" s="220">
        <v>0</v>
      </c>
      <c r="F15" s="220">
        <v>0</v>
      </c>
      <c r="G15" s="220">
        <v>0</v>
      </c>
      <c r="H15" s="220">
        <v>1</v>
      </c>
      <c r="I15" s="220">
        <v>10</v>
      </c>
      <c r="J15" s="220">
        <v>6</v>
      </c>
      <c r="K15" s="220">
        <v>0</v>
      </c>
      <c r="L15" s="220">
        <v>0</v>
      </c>
      <c r="M15" s="220">
        <v>0</v>
      </c>
      <c r="N15" s="220">
        <v>0</v>
      </c>
      <c r="O15" s="220">
        <v>0</v>
      </c>
      <c r="P15" s="220">
        <v>0</v>
      </c>
      <c r="Q15" s="220">
        <v>0</v>
      </c>
      <c r="R15" s="220">
        <v>0</v>
      </c>
      <c r="S15" s="220">
        <v>0</v>
      </c>
      <c r="T15" s="220">
        <v>19</v>
      </c>
      <c r="U15" s="220">
        <v>0</v>
      </c>
      <c r="V15" s="220">
        <v>0</v>
      </c>
      <c r="W15" s="220">
        <v>0</v>
      </c>
      <c r="X15" s="220">
        <v>31</v>
      </c>
      <c r="Y15" s="220">
        <v>317</v>
      </c>
      <c r="Z15" s="220">
        <v>367</v>
      </c>
      <c r="AA15" s="220">
        <v>359.4</v>
      </c>
      <c r="AB15" s="220">
        <v>0</v>
      </c>
      <c r="AC15" s="220">
        <v>0</v>
      </c>
      <c r="AD15" s="295">
        <v>0</v>
      </c>
    </row>
    <row r="16" spans="1:30" ht="11.25">
      <c r="A16" s="221" t="s">
        <v>347</v>
      </c>
      <c r="B16" s="218" t="s">
        <v>216</v>
      </c>
      <c r="C16" s="220">
        <v>3</v>
      </c>
      <c r="D16" s="220">
        <v>0</v>
      </c>
      <c r="E16" s="220">
        <v>0</v>
      </c>
      <c r="F16" s="220">
        <v>0</v>
      </c>
      <c r="G16" s="220">
        <v>0</v>
      </c>
      <c r="H16" s="220">
        <v>1</v>
      </c>
      <c r="I16" s="220">
        <v>10</v>
      </c>
      <c r="J16" s="220">
        <v>0</v>
      </c>
      <c r="K16" s="220">
        <v>1</v>
      </c>
      <c r="L16" s="220">
        <v>0</v>
      </c>
      <c r="M16" s="220">
        <v>0</v>
      </c>
      <c r="N16" s="220">
        <v>0</v>
      </c>
      <c r="O16" s="220">
        <v>0</v>
      </c>
      <c r="P16" s="220">
        <v>0</v>
      </c>
      <c r="Q16" s="220">
        <v>0</v>
      </c>
      <c r="R16" s="220">
        <v>0</v>
      </c>
      <c r="S16" s="220">
        <v>20</v>
      </c>
      <c r="T16" s="220">
        <v>0</v>
      </c>
      <c r="U16" s="220">
        <v>0</v>
      </c>
      <c r="V16" s="220">
        <v>0</v>
      </c>
      <c r="W16" s="220">
        <v>0</v>
      </c>
      <c r="X16" s="220">
        <v>13</v>
      </c>
      <c r="Y16" s="220">
        <v>81</v>
      </c>
      <c r="Z16" s="220">
        <v>114</v>
      </c>
      <c r="AA16" s="220">
        <v>104</v>
      </c>
      <c r="AB16" s="220">
        <v>0</v>
      </c>
      <c r="AC16" s="220">
        <v>0</v>
      </c>
      <c r="AD16" s="295">
        <v>0</v>
      </c>
    </row>
    <row r="17" spans="1:30" ht="11.25">
      <c r="A17" s="218" t="s">
        <v>84</v>
      </c>
      <c r="B17" s="218" t="s">
        <v>85</v>
      </c>
      <c r="C17" s="220">
        <v>2</v>
      </c>
      <c r="D17" s="220">
        <v>0</v>
      </c>
      <c r="E17" s="220">
        <v>0</v>
      </c>
      <c r="F17" s="220">
        <v>0</v>
      </c>
      <c r="G17" s="220">
        <v>0</v>
      </c>
      <c r="H17" s="220">
        <v>0</v>
      </c>
      <c r="I17" s="220">
        <v>9</v>
      </c>
      <c r="J17" s="220">
        <v>0</v>
      </c>
      <c r="K17" s="220">
        <v>0</v>
      </c>
      <c r="L17" s="220">
        <v>0</v>
      </c>
      <c r="M17" s="220">
        <v>0</v>
      </c>
      <c r="N17" s="220">
        <v>0</v>
      </c>
      <c r="O17" s="220">
        <v>0</v>
      </c>
      <c r="P17" s="220">
        <v>0</v>
      </c>
      <c r="Q17" s="220">
        <v>5</v>
      </c>
      <c r="R17" s="220">
        <v>0</v>
      </c>
      <c r="S17" s="220">
        <v>37</v>
      </c>
      <c r="T17" s="220">
        <v>0</v>
      </c>
      <c r="U17" s="220">
        <v>0</v>
      </c>
      <c r="V17" s="220">
        <v>0</v>
      </c>
      <c r="W17" s="220">
        <v>0</v>
      </c>
      <c r="X17" s="220">
        <v>19</v>
      </c>
      <c r="Y17" s="220">
        <v>227</v>
      </c>
      <c r="Z17" s="220">
        <v>283</v>
      </c>
      <c r="AA17" s="220">
        <v>264.5</v>
      </c>
      <c r="AB17" s="220">
        <v>0</v>
      </c>
      <c r="AC17" s="220">
        <v>0</v>
      </c>
      <c r="AD17" s="295">
        <v>0</v>
      </c>
    </row>
    <row r="18" spans="1:30" ht="11.25">
      <c r="A18" s="218" t="s">
        <v>217</v>
      </c>
      <c r="B18" s="218" t="s">
        <v>218</v>
      </c>
      <c r="C18" s="220">
        <v>0</v>
      </c>
      <c r="D18" s="220">
        <v>0</v>
      </c>
      <c r="E18" s="220">
        <v>0</v>
      </c>
      <c r="F18" s="220">
        <v>0</v>
      </c>
      <c r="G18" s="220">
        <v>0</v>
      </c>
      <c r="H18" s="220">
        <v>0</v>
      </c>
      <c r="I18" s="220">
        <v>4</v>
      </c>
      <c r="J18" s="220">
        <v>0</v>
      </c>
      <c r="K18" s="220">
        <v>0</v>
      </c>
      <c r="L18" s="220">
        <v>0</v>
      </c>
      <c r="M18" s="220">
        <v>0</v>
      </c>
      <c r="N18" s="220">
        <v>0</v>
      </c>
      <c r="O18" s="220">
        <v>0</v>
      </c>
      <c r="P18" s="220">
        <v>0</v>
      </c>
      <c r="Q18" s="220">
        <v>0</v>
      </c>
      <c r="R18" s="220">
        <v>0</v>
      </c>
      <c r="S18" s="220">
        <v>10</v>
      </c>
      <c r="T18" s="220">
        <v>0</v>
      </c>
      <c r="U18" s="220">
        <v>0</v>
      </c>
      <c r="V18" s="220">
        <v>0</v>
      </c>
      <c r="W18" s="220">
        <v>0</v>
      </c>
      <c r="X18" s="220">
        <v>10</v>
      </c>
      <c r="Y18" s="220">
        <v>59</v>
      </c>
      <c r="Z18" s="220">
        <v>79</v>
      </c>
      <c r="AA18" s="220">
        <v>74</v>
      </c>
      <c r="AB18" s="220">
        <v>0</v>
      </c>
      <c r="AC18" s="220">
        <v>0</v>
      </c>
      <c r="AD18" s="295">
        <v>0</v>
      </c>
    </row>
    <row r="19" spans="1:30" ht="11.25">
      <c r="A19" s="220" t="s">
        <v>348</v>
      </c>
      <c r="B19" s="218" t="s">
        <v>58</v>
      </c>
      <c r="C19" s="220">
        <v>0</v>
      </c>
      <c r="D19" s="220">
        <v>0</v>
      </c>
      <c r="E19" s="220">
        <v>0</v>
      </c>
      <c r="F19" s="220">
        <v>0</v>
      </c>
      <c r="G19" s="220">
        <v>0</v>
      </c>
      <c r="H19" s="220">
        <v>0</v>
      </c>
      <c r="I19" s="220">
        <v>0</v>
      </c>
      <c r="J19" s="220">
        <v>28</v>
      </c>
      <c r="K19" s="220">
        <v>0</v>
      </c>
      <c r="L19" s="220">
        <v>0</v>
      </c>
      <c r="M19" s="220">
        <v>0</v>
      </c>
      <c r="N19" s="220">
        <v>0</v>
      </c>
      <c r="O19" s="220">
        <v>0</v>
      </c>
      <c r="P19" s="220">
        <v>0</v>
      </c>
      <c r="Q19" s="220">
        <v>0</v>
      </c>
      <c r="R19" s="220">
        <v>0</v>
      </c>
      <c r="S19" s="220">
        <v>0</v>
      </c>
      <c r="T19" s="220">
        <v>0</v>
      </c>
      <c r="U19" s="220">
        <v>0</v>
      </c>
      <c r="V19" s="220">
        <v>0</v>
      </c>
      <c r="W19" s="220">
        <v>0</v>
      </c>
      <c r="X19" s="220">
        <v>0</v>
      </c>
      <c r="Y19" s="220">
        <v>112</v>
      </c>
      <c r="Z19" s="220">
        <v>112</v>
      </c>
      <c r="AA19" s="220">
        <v>112</v>
      </c>
      <c r="AB19" s="220">
        <v>0</v>
      </c>
      <c r="AC19" s="220">
        <v>0</v>
      </c>
      <c r="AD19" s="295">
        <v>0</v>
      </c>
    </row>
    <row r="20" spans="1:30" ht="11.25">
      <c r="A20" s="221" t="s">
        <v>219</v>
      </c>
      <c r="B20" s="218" t="s">
        <v>220</v>
      </c>
      <c r="C20" s="220">
        <v>0</v>
      </c>
      <c r="D20" s="220">
        <v>0</v>
      </c>
      <c r="E20" s="220">
        <v>1</v>
      </c>
      <c r="F20" s="220">
        <v>0</v>
      </c>
      <c r="G20" s="220">
        <v>0</v>
      </c>
      <c r="H20" s="220">
        <v>2</v>
      </c>
      <c r="I20" s="220">
        <v>3</v>
      </c>
      <c r="J20" s="220">
        <v>0</v>
      </c>
      <c r="K20" s="220">
        <v>0</v>
      </c>
      <c r="L20" s="220">
        <v>0</v>
      </c>
      <c r="M20" s="220">
        <v>0</v>
      </c>
      <c r="N20" s="220">
        <v>0</v>
      </c>
      <c r="O20" s="220">
        <v>0</v>
      </c>
      <c r="P20" s="220">
        <v>0</v>
      </c>
      <c r="Q20" s="220">
        <v>0</v>
      </c>
      <c r="R20" s="220">
        <v>0</v>
      </c>
      <c r="S20" s="220">
        <v>22</v>
      </c>
      <c r="T20" s="220">
        <v>0</v>
      </c>
      <c r="U20" s="220">
        <v>1</v>
      </c>
      <c r="V20" s="220">
        <v>0</v>
      </c>
      <c r="W20" s="220">
        <v>0</v>
      </c>
      <c r="X20" s="220">
        <v>24</v>
      </c>
      <c r="Y20" s="220">
        <v>186</v>
      </c>
      <c r="Z20" s="220">
        <v>233</v>
      </c>
      <c r="AA20" s="220">
        <v>221.5</v>
      </c>
      <c r="AB20" s="220">
        <v>0</v>
      </c>
      <c r="AC20" s="220">
        <v>0</v>
      </c>
      <c r="AD20" s="295">
        <v>0</v>
      </c>
    </row>
    <row r="21" spans="1:30" ht="11.25">
      <c r="A21" s="218" t="s">
        <v>66</v>
      </c>
      <c r="B21" s="218" t="s">
        <v>58</v>
      </c>
      <c r="C21" s="220">
        <v>0</v>
      </c>
      <c r="D21" s="220">
        <v>0</v>
      </c>
      <c r="E21" s="220">
        <v>0</v>
      </c>
      <c r="F21" s="220">
        <v>0</v>
      </c>
      <c r="G21" s="220">
        <v>0</v>
      </c>
      <c r="H21" s="220">
        <v>0</v>
      </c>
      <c r="I21" s="220">
        <v>6</v>
      </c>
      <c r="J21" s="220">
        <v>0</v>
      </c>
      <c r="K21" s="220">
        <v>0</v>
      </c>
      <c r="L21" s="220">
        <v>0</v>
      </c>
      <c r="M21" s="220">
        <v>0</v>
      </c>
      <c r="N21" s="220">
        <v>0</v>
      </c>
      <c r="O21" s="220">
        <v>0</v>
      </c>
      <c r="P21" s="220">
        <v>0</v>
      </c>
      <c r="Q21" s="220">
        <v>0</v>
      </c>
      <c r="R21" s="220">
        <v>0</v>
      </c>
      <c r="S21" s="220">
        <v>0</v>
      </c>
      <c r="T21" s="220">
        <v>25</v>
      </c>
      <c r="U21" s="220">
        <v>0</v>
      </c>
      <c r="V21" s="220">
        <v>0</v>
      </c>
      <c r="W21" s="220">
        <v>0</v>
      </c>
      <c r="X21" s="220">
        <v>21</v>
      </c>
      <c r="Y21" s="220">
        <v>222</v>
      </c>
      <c r="Z21" s="220">
        <v>268</v>
      </c>
      <c r="AA21" s="220">
        <v>258</v>
      </c>
      <c r="AB21" s="220">
        <v>0</v>
      </c>
      <c r="AC21" s="220">
        <v>0</v>
      </c>
      <c r="AD21" s="295">
        <v>0</v>
      </c>
    </row>
    <row r="22" spans="1:30" ht="11.25">
      <c r="A22" s="219" t="s">
        <v>61</v>
      </c>
      <c r="B22" s="218" t="s">
        <v>86</v>
      </c>
      <c r="C22" s="220">
        <v>0</v>
      </c>
      <c r="D22" s="220">
        <v>0</v>
      </c>
      <c r="E22" s="220">
        <v>0</v>
      </c>
      <c r="F22" s="220">
        <v>0</v>
      </c>
      <c r="G22" s="220">
        <v>0</v>
      </c>
      <c r="H22" s="220">
        <v>1</v>
      </c>
      <c r="I22" s="220">
        <v>5</v>
      </c>
      <c r="J22" s="220">
        <v>8</v>
      </c>
      <c r="K22" s="220">
        <v>0</v>
      </c>
      <c r="L22" s="220">
        <v>0</v>
      </c>
      <c r="M22" s="220">
        <v>0</v>
      </c>
      <c r="N22" s="220">
        <v>0</v>
      </c>
      <c r="O22" s="220">
        <v>0</v>
      </c>
      <c r="P22" s="220">
        <v>0</v>
      </c>
      <c r="Q22" s="220">
        <v>1</v>
      </c>
      <c r="R22" s="220">
        <v>0</v>
      </c>
      <c r="S22" s="220">
        <v>0</v>
      </c>
      <c r="T22" s="220">
        <v>0</v>
      </c>
      <c r="U22" s="220">
        <v>0</v>
      </c>
      <c r="V22" s="220">
        <v>0</v>
      </c>
      <c r="W22" s="220">
        <v>0</v>
      </c>
      <c r="X22" s="220">
        <v>29</v>
      </c>
      <c r="Y22" s="220">
        <v>523</v>
      </c>
      <c r="Z22" s="220">
        <v>552</v>
      </c>
      <c r="AA22" s="220">
        <v>552</v>
      </c>
      <c r="AB22" s="220">
        <v>0</v>
      </c>
      <c r="AC22" s="220">
        <v>1</v>
      </c>
      <c r="AD22" s="295">
        <v>387.7</v>
      </c>
    </row>
    <row r="23" spans="1:30" ht="11.25">
      <c r="A23" s="218" t="s">
        <v>221</v>
      </c>
      <c r="B23" s="218" t="s">
        <v>92</v>
      </c>
      <c r="C23" s="220">
        <v>0</v>
      </c>
      <c r="D23" s="220">
        <v>2</v>
      </c>
      <c r="E23" s="220">
        <v>0</v>
      </c>
      <c r="F23" s="220">
        <v>0</v>
      </c>
      <c r="G23" s="220">
        <v>0</v>
      </c>
      <c r="H23" s="220">
        <v>2</v>
      </c>
      <c r="I23" s="220">
        <v>9</v>
      </c>
      <c r="J23" s="220">
        <v>0</v>
      </c>
      <c r="K23" s="220">
        <v>0</v>
      </c>
      <c r="L23" s="220">
        <v>0</v>
      </c>
      <c r="M23" s="220">
        <v>0</v>
      </c>
      <c r="N23" s="220">
        <v>0</v>
      </c>
      <c r="O23" s="220">
        <v>0</v>
      </c>
      <c r="P23" s="220">
        <v>0</v>
      </c>
      <c r="Q23" s="220">
        <v>0</v>
      </c>
      <c r="R23" s="220">
        <v>0</v>
      </c>
      <c r="S23" s="220">
        <v>0</v>
      </c>
      <c r="T23" s="220">
        <v>24</v>
      </c>
      <c r="U23" s="220">
        <v>0</v>
      </c>
      <c r="V23" s="220">
        <v>0</v>
      </c>
      <c r="W23" s="220">
        <v>0</v>
      </c>
      <c r="X23" s="220">
        <v>24</v>
      </c>
      <c r="Y23" s="220">
        <v>194</v>
      </c>
      <c r="Z23" s="220">
        <v>242</v>
      </c>
      <c r="AA23" s="220">
        <v>232.4</v>
      </c>
      <c r="AB23" s="220">
        <v>0</v>
      </c>
      <c r="AC23" s="220">
        <v>0</v>
      </c>
      <c r="AD23" s="295">
        <v>0</v>
      </c>
    </row>
    <row r="24" spans="1:30" ht="11.25">
      <c r="A24" s="218" t="s">
        <v>222</v>
      </c>
      <c r="B24" s="218" t="s">
        <v>58</v>
      </c>
      <c r="C24" s="220">
        <v>0</v>
      </c>
      <c r="D24" s="220">
        <v>0</v>
      </c>
      <c r="E24" s="220">
        <v>0</v>
      </c>
      <c r="F24" s="220">
        <v>0</v>
      </c>
      <c r="G24" s="220">
        <v>0</v>
      </c>
      <c r="H24" s="220">
        <v>0</v>
      </c>
      <c r="I24" s="220">
        <v>9</v>
      </c>
      <c r="J24" s="220">
        <v>0</v>
      </c>
      <c r="K24" s="220">
        <v>0</v>
      </c>
      <c r="L24" s="220">
        <v>0</v>
      </c>
      <c r="M24" s="220">
        <v>0</v>
      </c>
      <c r="N24" s="220">
        <v>0</v>
      </c>
      <c r="O24" s="220">
        <v>0</v>
      </c>
      <c r="P24" s="220">
        <v>0</v>
      </c>
      <c r="Q24" s="220">
        <v>0</v>
      </c>
      <c r="R24" s="220">
        <v>0</v>
      </c>
      <c r="S24" s="220">
        <v>0</v>
      </c>
      <c r="T24" s="220">
        <v>0</v>
      </c>
      <c r="U24" s="220">
        <v>0</v>
      </c>
      <c r="V24" s="220">
        <v>0</v>
      </c>
      <c r="W24" s="220">
        <v>0</v>
      </c>
      <c r="X24" s="220">
        <v>17</v>
      </c>
      <c r="Y24" s="220">
        <v>134</v>
      </c>
      <c r="Z24" s="220">
        <v>151</v>
      </c>
      <c r="AA24" s="220">
        <v>151</v>
      </c>
      <c r="AB24" s="220">
        <v>0</v>
      </c>
      <c r="AC24" s="220">
        <v>0</v>
      </c>
      <c r="AD24" s="295">
        <v>0</v>
      </c>
    </row>
    <row r="25" spans="1:30" ht="11.25">
      <c r="A25" s="220" t="s">
        <v>87</v>
      </c>
      <c r="B25" s="218" t="s">
        <v>88</v>
      </c>
      <c r="C25" s="220">
        <v>0</v>
      </c>
      <c r="D25" s="220">
        <v>0</v>
      </c>
      <c r="E25" s="220">
        <v>0</v>
      </c>
      <c r="F25" s="220">
        <v>0</v>
      </c>
      <c r="G25" s="220">
        <v>0</v>
      </c>
      <c r="H25" s="220">
        <v>0</v>
      </c>
      <c r="I25" s="220">
        <v>7</v>
      </c>
      <c r="J25" s="220">
        <v>0</v>
      </c>
      <c r="K25" s="220">
        <v>0</v>
      </c>
      <c r="L25" s="220">
        <v>0</v>
      </c>
      <c r="M25" s="220">
        <v>0</v>
      </c>
      <c r="N25" s="220">
        <v>0</v>
      </c>
      <c r="O25" s="220">
        <v>0</v>
      </c>
      <c r="P25" s="220">
        <v>0</v>
      </c>
      <c r="Q25" s="220">
        <v>0</v>
      </c>
      <c r="R25" s="220">
        <v>0</v>
      </c>
      <c r="S25" s="220">
        <v>0</v>
      </c>
      <c r="T25" s="220">
        <v>12</v>
      </c>
      <c r="U25" s="220">
        <v>0</v>
      </c>
      <c r="V25" s="220">
        <v>0</v>
      </c>
      <c r="W25" s="220">
        <v>0</v>
      </c>
      <c r="X25" s="220">
        <v>19</v>
      </c>
      <c r="Y25" s="220">
        <v>131</v>
      </c>
      <c r="Z25" s="220">
        <v>162</v>
      </c>
      <c r="AA25" s="220">
        <v>157.2</v>
      </c>
      <c r="AB25" s="220">
        <v>0</v>
      </c>
      <c r="AC25" s="220">
        <v>0</v>
      </c>
      <c r="AD25" s="295">
        <v>0</v>
      </c>
    </row>
    <row r="26" spans="1:30" ht="11.25">
      <c r="A26" s="218" t="s">
        <v>223</v>
      </c>
      <c r="B26" s="218" t="s">
        <v>224</v>
      </c>
      <c r="C26" s="220">
        <v>0</v>
      </c>
      <c r="D26" s="220">
        <v>0</v>
      </c>
      <c r="E26" s="220">
        <v>0</v>
      </c>
      <c r="F26" s="220">
        <v>0</v>
      </c>
      <c r="G26" s="220">
        <v>0</v>
      </c>
      <c r="H26" s="220">
        <v>0</v>
      </c>
      <c r="I26" s="220">
        <v>4</v>
      </c>
      <c r="J26" s="220">
        <v>0</v>
      </c>
      <c r="K26" s="220">
        <v>0</v>
      </c>
      <c r="L26" s="220">
        <v>0</v>
      </c>
      <c r="M26" s="220">
        <v>0</v>
      </c>
      <c r="N26" s="220">
        <v>0</v>
      </c>
      <c r="O26" s="220">
        <v>0</v>
      </c>
      <c r="P26" s="220">
        <v>0</v>
      </c>
      <c r="Q26" s="220">
        <v>0</v>
      </c>
      <c r="R26" s="220">
        <v>0</v>
      </c>
      <c r="S26" s="220">
        <v>0</v>
      </c>
      <c r="T26" s="220">
        <v>0</v>
      </c>
      <c r="U26" s="220">
        <v>0</v>
      </c>
      <c r="V26" s="220">
        <v>0</v>
      </c>
      <c r="W26" s="220">
        <v>0</v>
      </c>
      <c r="X26" s="220">
        <v>0</v>
      </c>
      <c r="Y26" s="220">
        <v>82</v>
      </c>
      <c r="Z26" s="220">
        <v>82</v>
      </c>
      <c r="AA26" s="220">
        <v>82</v>
      </c>
      <c r="AB26" s="220">
        <v>0</v>
      </c>
      <c r="AC26" s="220">
        <v>0</v>
      </c>
      <c r="AD26" s="295">
        <v>0</v>
      </c>
    </row>
    <row r="27" spans="1:30" ht="11.25">
      <c r="A27" s="218" t="s">
        <v>225</v>
      </c>
      <c r="B27" s="218" t="s">
        <v>89</v>
      </c>
      <c r="C27" s="220">
        <v>2</v>
      </c>
      <c r="D27" s="220">
        <v>0</v>
      </c>
      <c r="E27" s="220">
        <v>0</v>
      </c>
      <c r="F27" s="220">
        <v>0</v>
      </c>
      <c r="G27" s="220">
        <v>0</v>
      </c>
      <c r="H27" s="220">
        <v>2</v>
      </c>
      <c r="I27" s="220">
        <v>1</v>
      </c>
      <c r="J27" s="220">
        <v>0</v>
      </c>
      <c r="K27" s="220">
        <v>0</v>
      </c>
      <c r="L27" s="220">
        <v>0</v>
      </c>
      <c r="M27" s="220">
        <v>0</v>
      </c>
      <c r="N27" s="220">
        <v>0</v>
      </c>
      <c r="O27" s="220">
        <v>0</v>
      </c>
      <c r="P27" s="220">
        <v>0</v>
      </c>
      <c r="Q27" s="220">
        <v>0</v>
      </c>
      <c r="R27" s="220">
        <v>0</v>
      </c>
      <c r="S27" s="220">
        <v>19</v>
      </c>
      <c r="T27" s="220">
        <v>0</v>
      </c>
      <c r="U27" s="220">
        <v>0</v>
      </c>
      <c r="V27" s="220">
        <v>0</v>
      </c>
      <c r="W27" s="220">
        <v>0</v>
      </c>
      <c r="X27" s="220">
        <v>15</v>
      </c>
      <c r="Y27" s="220">
        <v>44</v>
      </c>
      <c r="Z27" s="220">
        <v>78</v>
      </c>
      <c r="AA27" s="220">
        <v>68.5</v>
      </c>
      <c r="AB27" s="220">
        <v>0</v>
      </c>
      <c r="AC27" s="220">
        <v>0</v>
      </c>
      <c r="AD27" s="295">
        <v>0</v>
      </c>
    </row>
    <row r="28" spans="1:30" ht="11.25">
      <c r="A28" s="218" t="s">
        <v>226</v>
      </c>
      <c r="B28" s="218" t="s">
        <v>90</v>
      </c>
      <c r="C28" s="220">
        <v>3</v>
      </c>
      <c r="D28" s="220">
        <v>0</v>
      </c>
      <c r="E28" s="220">
        <v>0</v>
      </c>
      <c r="F28" s="220">
        <v>0</v>
      </c>
      <c r="G28" s="220">
        <v>0</v>
      </c>
      <c r="H28" s="220">
        <v>5</v>
      </c>
      <c r="I28" s="220">
        <v>24</v>
      </c>
      <c r="J28" s="220">
        <v>0</v>
      </c>
      <c r="K28" s="220">
        <v>0</v>
      </c>
      <c r="L28" s="220">
        <v>0</v>
      </c>
      <c r="M28" s="220">
        <v>0</v>
      </c>
      <c r="N28" s="220">
        <v>0</v>
      </c>
      <c r="O28" s="220">
        <v>0</v>
      </c>
      <c r="P28" s="220">
        <v>0</v>
      </c>
      <c r="Q28" s="220">
        <v>1</v>
      </c>
      <c r="R28" s="220">
        <v>0</v>
      </c>
      <c r="S28" s="220">
        <v>50</v>
      </c>
      <c r="T28" s="220">
        <v>0</v>
      </c>
      <c r="U28" s="220">
        <v>0</v>
      </c>
      <c r="V28" s="220">
        <v>0</v>
      </c>
      <c r="W28" s="220">
        <v>0</v>
      </c>
      <c r="X28" s="220">
        <v>42</v>
      </c>
      <c r="Y28" s="220">
        <v>258</v>
      </c>
      <c r="Z28" s="220">
        <v>350</v>
      </c>
      <c r="AA28" s="220">
        <v>325</v>
      </c>
      <c r="AB28" s="220">
        <v>8</v>
      </c>
      <c r="AC28" s="220">
        <v>0</v>
      </c>
      <c r="AD28" s="295">
        <v>4309.41</v>
      </c>
    </row>
    <row r="29" spans="1:30" ht="11.25">
      <c r="A29" s="218" t="s">
        <v>349</v>
      </c>
      <c r="B29" s="218" t="s">
        <v>379</v>
      </c>
      <c r="C29" s="220">
        <v>0</v>
      </c>
      <c r="D29" s="220">
        <v>0</v>
      </c>
      <c r="E29" s="220">
        <v>0</v>
      </c>
      <c r="F29" s="220">
        <v>0</v>
      </c>
      <c r="G29" s="220">
        <v>0</v>
      </c>
      <c r="H29" s="220">
        <v>1</v>
      </c>
      <c r="I29" s="220">
        <v>4</v>
      </c>
      <c r="J29" s="220">
        <v>0</v>
      </c>
      <c r="K29" s="220">
        <v>0</v>
      </c>
      <c r="L29" s="220">
        <v>0</v>
      </c>
      <c r="M29" s="220">
        <v>0</v>
      </c>
      <c r="N29" s="220">
        <v>0</v>
      </c>
      <c r="O29" s="220">
        <v>0</v>
      </c>
      <c r="P29" s="220">
        <v>0</v>
      </c>
      <c r="Q29" s="220">
        <v>0</v>
      </c>
      <c r="R29" s="220">
        <v>0</v>
      </c>
      <c r="S29" s="220">
        <v>22</v>
      </c>
      <c r="T29" s="220">
        <v>0</v>
      </c>
      <c r="U29" s="220">
        <v>0</v>
      </c>
      <c r="V29" s="220">
        <v>0</v>
      </c>
      <c r="W29" s="220">
        <v>0</v>
      </c>
      <c r="X29" s="220">
        <v>24</v>
      </c>
      <c r="Y29" s="220">
        <v>135</v>
      </c>
      <c r="Z29" s="220">
        <v>181</v>
      </c>
      <c r="AA29" s="220">
        <v>170</v>
      </c>
      <c r="AB29" s="220">
        <v>0</v>
      </c>
      <c r="AC29" s="220">
        <v>0</v>
      </c>
      <c r="AD29" s="295">
        <v>0</v>
      </c>
    </row>
    <row r="30" spans="1:30" ht="11.25">
      <c r="A30" s="220" t="s">
        <v>227</v>
      </c>
      <c r="B30" s="218" t="s">
        <v>228</v>
      </c>
      <c r="C30" s="220">
        <v>0</v>
      </c>
      <c r="D30" s="220">
        <v>0</v>
      </c>
      <c r="E30" s="220">
        <v>0</v>
      </c>
      <c r="F30" s="220">
        <v>0</v>
      </c>
      <c r="G30" s="220">
        <v>0</v>
      </c>
      <c r="H30" s="220">
        <v>0</v>
      </c>
      <c r="I30" s="220">
        <v>0</v>
      </c>
      <c r="J30" s="220">
        <v>16</v>
      </c>
      <c r="K30" s="220">
        <v>0</v>
      </c>
      <c r="L30" s="220">
        <v>0</v>
      </c>
      <c r="M30" s="220">
        <v>0</v>
      </c>
      <c r="N30" s="220">
        <v>0</v>
      </c>
      <c r="O30" s="220">
        <v>0</v>
      </c>
      <c r="P30" s="220">
        <v>0</v>
      </c>
      <c r="Q30" s="220">
        <v>0</v>
      </c>
      <c r="R30" s="220">
        <v>0</v>
      </c>
      <c r="S30" s="220">
        <v>0</v>
      </c>
      <c r="T30" s="220">
        <v>0</v>
      </c>
      <c r="U30" s="220">
        <v>0</v>
      </c>
      <c r="V30" s="220">
        <v>0</v>
      </c>
      <c r="W30" s="220">
        <v>0</v>
      </c>
      <c r="X30" s="220">
        <v>0</v>
      </c>
      <c r="Y30" s="220">
        <v>508</v>
      </c>
      <c r="Z30" s="220">
        <v>508</v>
      </c>
      <c r="AA30" s="220">
        <v>508</v>
      </c>
      <c r="AB30" s="220">
        <v>0</v>
      </c>
      <c r="AC30" s="220">
        <v>0</v>
      </c>
      <c r="AD30" s="295">
        <v>0</v>
      </c>
    </row>
    <row r="31" spans="1:30" ht="11.25">
      <c r="A31" s="220" t="s">
        <v>91</v>
      </c>
      <c r="B31" s="218" t="s">
        <v>85</v>
      </c>
      <c r="C31" s="220">
        <v>0</v>
      </c>
      <c r="D31" s="220">
        <v>0</v>
      </c>
      <c r="E31" s="220">
        <v>0</v>
      </c>
      <c r="F31" s="220">
        <v>0</v>
      </c>
      <c r="G31" s="220">
        <v>0</v>
      </c>
      <c r="H31" s="220">
        <v>0</v>
      </c>
      <c r="I31" s="220">
        <v>0</v>
      </c>
      <c r="J31" s="220">
        <v>13</v>
      </c>
      <c r="K31" s="220">
        <v>0</v>
      </c>
      <c r="L31" s="220">
        <v>0</v>
      </c>
      <c r="M31" s="220">
        <v>0</v>
      </c>
      <c r="N31" s="220">
        <v>0</v>
      </c>
      <c r="O31" s="220">
        <v>0</v>
      </c>
      <c r="P31" s="220">
        <v>0</v>
      </c>
      <c r="Q31" s="220">
        <v>0</v>
      </c>
      <c r="R31" s="220">
        <v>1</v>
      </c>
      <c r="S31" s="220">
        <v>0</v>
      </c>
      <c r="T31" s="220">
        <v>0</v>
      </c>
      <c r="U31" s="220">
        <v>0</v>
      </c>
      <c r="V31" s="220">
        <v>0</v>
      </c>
      <c r="W31" s="220">
        <v>0</v>
      </c>
      <c r="X31" s="220">
        <v>0</v>
      </c>
      <c r="Y31" s="220">
        <v>387</v>
      </c>
      <c r="Z31" s="220">
        <v>387</v>
      </c>
      <c r="AA31" s="220">
        <v>387</v>
      </c>
      <c r="AB31" s="220">
        <v>0</v>
      </c>
      <c r="AC31" s="220">
        <v>0</v>
      </c>
      <c r="AD31" s="295">
        <v>0</v>
      </c>
    </row>
    <row r="32" spans="1:30" ht="11.25">
      <c r="A32" s="218" t="s">
        <v>62</v>
      </c>
      <c r="B32" s="218" t="s">
        <v>92</v>
      </c>
      <c r="C32" s="220">
        <v>0</v>
      </c>
      <c r="D32" s="220">
        <v>1</v>
      </c>
      <c r="E32" s="220">
        <v>0</v>
      </c>
      <c r="F32" s="220">
        <v>0</v>
      </c>
      <c r="G32" s="220">
        <v>0</v>
      </c>
      <c r="H32" s="220">
        <v>2</v>
      </c>
      <c r="I32" s="220">
        <v>11</v>
      </c>
      <c r="J32" s="220">
        <v>0</v>
      </c>
      <c r="K32" s="220">
        <v>0</v>
      </c>
      <c r="L32" s="220">
        <v>0</v>
      </c>
      <c r="M32" s="220">
        <v>0</v>
      </c>
      <c r="N32" s="220">
        <v>0</v>
      </c>
      <c r="O32" s="220">
        <v>0</v>
      </c>
      <c r="P32" s="220">
        <v>0</v>
      </c>
      <c r="Q32" s="220">
        <v>5</v>
      </c>
      <c r="R32" s="220">
        <v>0</v>
      </c>
      <c r="S32" s="220">
        <v>0</v>
      </c>
      <c r="T32" s="220">
        <v>31</v>
      </c>
      <c r="U32" s="220">
        <v>0</v>
      </c>
      <c r="V32" s="220">
        <v>0</v>
      </c>
      <c r="W32" s="220">
        <v>0</v>
      </c>
      <c r="X32" s="220">
        <v>25</v>
      </c>
      <c r="Y32" s="220">
        <v>143</v>
      </c>
      <c r="Z32" s="220">
        <v>199</v>
      </c>
      <c r="AA32" s="220">
        <v>186.6</v>
      </c>
      <c r="AB32" s="220">
        <v>9</v>
      </c>
      <c r="AC32" s="220">
        <v>1</v>
      </c>
      <c r="AD32" s="295">
        <v>4697.11</v>
      </c>
    </row>
    <row r="33" spans="1:30" ht="11.25">
      <c r="A33" s="218" t="s">
        <v>350</v>
      </c>
      <c r="B33" s="218" t="s">
        <v>228</v>
      </c>
      <c r="C33" s="221">
        <v>0</v>
      </c>
      <c r="D33" s="220">
        <v>0</v>
      </c>
      <c r="E33" s="220">
        <v>0</v>
      </c>
      <c r="F33" s="220">
        <v>0</v>
      </c>
      <c r="G33" s="220">
        <v>0</v>
      </c>
      <c r="H33" s="220">
        <v>0</v>
      </c>
      <c r="I33" s="220">
        <v>0</v>
      </c>
      <c r="J33" s="220">
        <v>4</v>
      </c>
      <c r="K33" s="220">
        <v>0</v>
      </c>
      <c r="L33" s="220">
        <v>0</v>
      </c>
      <c r="M33" s="220">
        <v>0</v>
      </c>
      <c r="N33" s="220">
        <v>0</v>
      </c>
      <c r="O33" s="220">
        <v>0</v>
      </c>
      <c r="P33" s="220">
        <v>0</v>
      </c>
      <c r="Q33" s="220">
        <v>0</v>
      </c>
      <c r="R33" s="220">
        <v>0</v>
      </c>
      <c r="S33" s="220">
        <v>0</v>
      </c>
      <c r="T33" s="220">
        <v>0</v>
      </c>
      <c r="U33" s="220">
        <v>0</v>
      </c>
      <c r="V33" s="220">
        <v>0</v>
      </c>
      <c r="W33" s="220">
        <v>0</v>
      </c>
      <c r="X33" s="220">
        <v>0</v>
      </c>
      <c r="Y33" s="220">
        <v>219</v>
      </c>
      <c r="Z33" s="220">
        <v>219</v>
      </c>
      <c r="AA33" s="220">
        <v>219</v>
      </c>
      <c r="AB33" s="220">
        <v>0</v>
      </c>
      <c r="AC33" s="220">
        <v>0</v>
      </c>
      <c r="AD33" s="295">
        <v>0</v>
      </c>
    </row>
    <row r="34" spans="1:30" ht="11.25">
      <c r="A34" s="218" t="s">
        <v>93</v>
      </c>
      <c r="B34" s="218" t="s">
        <v>131</v>
      </c>
      <c r="C34" s="171">
        <v>0</v>
      </c>
      <c r="D34" s="171">
        <v>0</v>
      </c>
      <c r="E34" s="171">
        <v>0</v>
      </c>
      <c r="F34" s="171">
        <v>0</v>
      </c>
      <c r="G34" s="171">
        <v>0</v>
      </c>
      <c r="H34" s="171">
        <v>0</v>
      </c>
      <c r="I34" s="171">
        <v>32</v>
      </c>
      <c r="J34" s="171">
        <v>16</v>
      </c>
      <c r="K34" s="220">
        <v>0</v>
      </c>
      <c r="L34" s="220">
        <v>0</v>
      </c>
      <c r="M34" s="220">
        <v>0</v>
      </c>
      <c r="N34" s="220">
        <v>0</v>
      </c>
      <c r="O34" s="220">
        <v>0</v>
      </c>
      <c r="P34" s="220">
        <v>0</v>
      </c>
      <c r="Q34" s="220">
        <v>0</v>
      </c>
      <c r="R34" s="220">
        <v>0</v>
      </c>
      <c r="S34" s="220">
        <v>0</v>
      </c>
      <c r="T34" s="220">
        <v>0</v>
      </c>
      <c r="U34" s="220">
        <v>0</v>
      </c>
      <c r="V34" s="220">
        <v>0</v>
      </c>
      <c r="W34" s="220">
        <v>0</v>
      </c>
      <c r="X34" s="220">
        <v>0</v>
      </c>
      <c r="Y34" s="220">
        <v>67</v>
      </c>
      <c r="Z34" s="220">
        <v>67</v>
      </c>
      <c r="AA34" s="220">
        <v>67</v>
      </c>
      <c r="AB34" s="220">
        <v>0</v>
      </c>
      <c r="AC34" s="220">
        <v>0</v>
      </c>
      <c r="AD34" s="295">
        <v>0</v>
      </c>
    </row>
    <row r="35" spans="1:30" ht="11.25">
      <c r="A35" s="218" t="s">
        <v>326</v>
      </c>
      <c r="B35" s="218" t="s">
        <v>94</v>
      </c>
      <c r="C35" s="221">
        <v>0</v>
      </c>
      <c r="D35" s="220">
        <v>0</v>
      </c>
      <c r="E35" s="220">
        <v>0</v>
      </c>
      <c r="F35" s="220">
        <v>0</v>
      </c>
      <c r="G35" s="220">
        <v>0</v>
      </c>
      <c r="H35" s="220">
        <v>0</v>
      </c>
      <c r="I35" s="220">
        <v>0</v>
      </c>
      <c r="J35" s="220">
        <v>12</v>
      </c>
      <c r="K35" s="220">
        <v>0</v>
      </c>
      <c r="L35" s="220">
        <v>0</v>
      </c>
      <c r="M35" s="220">
        <v>0</v>
      </c>
      <c r="N35" s="220">
        <v>0</v>
      </c>
      <c r="O35" s="220">
        <v>0</v>
      </c>
      <c r="P35" s="220">
        <v>0</v>
      </c>
      <c r="Q35" s="220">
        <v>0</v>
      </c>
      <c r="R35" s="220">
        <v>0</v>
      </c>
      <c r="S35" s="220">
        <v>0</v>
      </c>
      <c r="T35" s="220">
        <v>0</v>
      </c>
      <c r="U35" s="220">
        <v>0</v>
      </c>
      <c r="V35" s="220">
        <v>0</v>
      </c>
      <c r="W35" s="220">
        <v>0</v>
      </c>
      <c r="X35" s="220">
        <v>0</v>
      </c>
      <c r="Y35" s="220">
        <v>575</v>
      </c>
      <c r="Z35" s="220">
        <v>575</v>
      </c>
      <c r="AA35" s="220">
        <v>575</v>
      </c>
      <c r="AB35" s="220">
        <v>0</v>
      </c>
      <c r="AC35" s="220">
        <v>0</v>
      </c>
      <c r="AD35" s="295">
        <v>0</v>
      </c>
    </row>
    <row r="36" spans="1:30" ht="11.25">
      <c r="A36" s="218" t="s">
        <v>229</v>
      </c>
      <c r="B36" s="218" t="s">
        <v>230</v>
      </c>
      <c r="C36" s="221">
        <v>0</v>
      </c>
      <c r="D36" s="220">
        <v>0</v>
      </c>
      <c r="E36" s="220">
        <v>0</v>
      </c>
      <c r="F36" s="220">
        <v>0</v>
      </c>
      <c r="G36" s="220">
        <v>0</v>
      </c>
      <c r="H36" s="220">
        <v>0</v>
      </c>
      <c r="I36" s="220">
        <v>2</v>
      </c>
      <c r="J36" s="220">
        <v>0</v>
      </c>
      <c r="K36" s="220">
        <v>0</v>
      </c>
      <c r="L36" s="220">
        <v>0</v>
      </c>
      <c r="M36" s="220">
        <v>0</v>
      </c>
      <c r="N36" s="220">
        <v>0</v>
      </c>
      <c r="O36" s="220">
        <v>0</v>
      </c>
      <c r="P36" s="220">
        <v>0</v>
      </c>
      <c r="Q36" s="220">
        <v>0</v>
      </c>
      <c r="R36" s="220">
        <v>0</v>
      </c>
      <c r="S36" s="220">
        <v>0</v>
      </c>
      <c r="T36" s="220">
        <v>23</v>
      </c>
      <c r="U36" s="220">
        <v>0</v>
      </c>
      <c r="V36" s="220">
        <v>0</v>
      </c>
      <c r="W36" s="220">
        <v>0</v>
      </c>
      <c r="X36" s="220">
        <v>23</v>
      </c>
      <c r="Y36" s="220">
        <v>153</v>
      </c>
      <c r="Z36" s="220">
        <v>199</v>
      </c>
      <c r="AA36" s="220">
        <v>189.8</v>
      </c>
      <c r="AB36" s="220">
        <v>0</v>
      </c>
      <c r="AC36" s="220">
        <v>0</v>
      </c>
      <c r="AD36" s="295">
        <v>0</v>
      </c>
    </row>
    <row r="37" spans="1:30" ht="11.25">
      <c r="A37" s="218" t="s">
        <v>351</v>
      </c>
      <c r="B37" s="218" t="s">
        <v>224</v>
      </c>
      <c r="C37" s="221">
        <v>0</v>
      </c>
      <c r="D37" s="220">
        <v>0</v>
      </c>
      <c r="E37" s="220">
        <v>0</v>
      </c>
      <c r="F37" s="220">
        <v>0</v>
      </c>
      <c r="G37" s="220">
        <v>0</v>
      </c>
      <c r="H37" s="220">
        <v>0</v>
      </c>
      <c r="I37" s="220">
        <v>0</v>
      </c>
      <c r="J37" s="220">
        <v>4</v>
      </c>
      <c r="K37" s="220">
        <v>0</v>
      </c>
      <c r="L37" s="220">
        <v>0</v>
      </c>
      <c r="M37" s="220">
        <v>0</v>
      </c>
      <c r="N37" s="220">
        <v>0</v>
      </c>
      <c r="O37" s="220">
        <v>0</v>
      </c>
      <c r="P37" s="220">
        <v>0</v>
      </c>
      <c r="Q37" s="220">
        <v>0</v>
      </c>
      <c r="R37" s="220">
        <v>0</v>
      </c>
      <c r="S37" s="220">
        <v>0</v>
      </c>
      <c r="T37" s="220">
        <v>0</v>
      </c>
      <c r="U37" s="220">
        <v>0</v>
      </c>
      <c r="V37" s="220">
        <v>0</v>
      </c>
      <c r="W37" s="220">
        <v>0</v>
      </c>
      <c r="X37" s="220">
        <v>0</v>
      </c>
      <c r="Y37" s="220">
        <v>150</v>
      </c>
      <c r="Z37" s="220">
        <v>150</v>
      </c>
      <c r="AA37" s="220">
        <v>150</v>
      </c>
      <c r="AB37" s="220">
        <v>0</v>
      </c>
      <c r="AC37" s="220">
        <v>0</v>
      </c>
      <c r="AD37" s="295">
        <v>0</v>
      </c>
    </row>
    <row r="38" spans="1:30" ht="11.25">
      <c r="A38" s="219" t="s">
        <v>231</v>
      </c>
      <c r="B38" s="218" t="s">
        <v>58</v>
      </c>
      <c r="C38" s="221">
        <v>0</v>
      </c>
      <c r="D38" s="220">
        <v>0</v>
      </c>
      <c r="E38" s="220">
        <v>0</v>
      </c>
      <c r="F38" s="220">
        <v>0</v>
      </c>
      <c r="G38" s="220">
        <v>0</v>
      </c>
      <c r="H38" s="220">
        <v>0</v>
      </c>
      <c r="I38" s="220">
        <v>1</v>
      </c>
      <c r="J38" s="220">
        <v>5</v>
      </c>
      <c r="K38" s="220">
        <v>0</v>
      </c>
      <c r="L38" s="220">
        <v>0</v>
      </c>
      <c r="M38" s="220">
        <v>0</v>
      </c>
      <c r="N38" s="220">
        <v>0</v>
      </c>
      <c r="O38" s="220">
        <v>0</v>
      </c>
      <c r="P38" s="220">
        <v>0</v>
      </c>
      <c r="Q38" s="220">
        <v>0</v>
      </c>
      <c r="R38" s="220">
        <v>0</v>
      </c>
      <c r="S38" s="220">
        <v>0</v>
      </c>
      <c r="T38" s="220">
        <v>54</v>
      </c>
      <c r="U38" s="220">
        <v>0</v>
      </c>
      <c r="V38" s="220">
        <v>0</v>
      </c>
      <c r="W38" s="220">
        <v>0</v>
      </c>
      <c r="X38" s="220">
        <v>85</v>
      </c>
      <c r="Y38" s="220">
        <v>1217</v>
      </c>
      <c r="Z38" s="220">
        <v>1356</v>
      </c>
      <c r="AA38" s="220">
        <v>1334.4</v>
      </c>
      <c r="AB38" s="220">
        <v>0</v>
      </c>
      <c r="AC38" s="220">
        <v>0</v>
      </c>
      <c r="AD38" s="295">
        <v>0</v>
      </c>
    </row>
    <row r="39" spans="1:30" ht="11.25">
      <c r="A39" s="220" t="s">
        <v>67</v>
      </c>
      <c r="B39" s="218" t="s">
        <v>58</v>
      </c>
      <c r="C39" s="220">
        <v>0</v>
      </c>
      <c r="D39" s="220">
        <v>0</v>
      </c>
      <c r="E39" s="220">
        <v>0</v>
      </c>
      <c r="F39" s="220">
        <v>0</v>
      </c>
      <c r="G39" s="220">
        <v>0</v>
      </c>
      <c r="H39" s="220">
        <v>0</v>
      </c>
      <c r="I39" s="220">
        <v>0</v>
      </c>
      <c r="J39" s="220">
        <v>31</v>
      </c>
      <c r="K39" s="220">
        <v>0</v>
      </c>
      <c r="L39" s="220">
        <v>0</v>
      </c>
      <c r="M39" s="220">
        <v>0</v>
      </c>
      <c r="N39" s="220">
        <v>0</v>
      </c>
      <c r="O39" s="220">
        <v>0</v>
      </c>
      <c r="P39" s="220">
        <v>0</v>
      </c>
      <c r="Q39" s="220">
        <v>0</v>
      </c>
      <c r="R39" s="220">
        <v>2</v>
      </c>
      <c r="S39" s="220">
        <v>0</v>
      </c>
      <c r="T39" s="220">
        <v>0</v>
      </c>
      <c r="U39" s="220">
        <v>0</v>
      </c>
      <c r="V39" s="220">
        <v>0</v>
      </c>
      <c r="W39" s="220">
        <v>0</v>
      </c>
      <c r="X39" s="220">
        <v>0</v>
      </c>
      <c r="Y39" s="220">
        <v>845</v>
      </c>
      <c r="Z39" s="220">
        <v>845</v>
      </c>
      <c r="AA39" s="220">
        <v>845</v>
      </c>
      <c r="AB39" s="220">
        <v>1</v>
      </c>
      <c r="AC39" s="220">
        <v>0</v>
      </c>
      <c r="AD39" s="295">
        <v>621.55</v>
      </c>
    </row>
    <row r="40" spans="1:30" ht="11.25">
      <c r="A40" s="218" t="s">
        <v>95</v>
      </c>
      <c r="B40" s="218" t="s">
        <v>96</v>
      </c>
      <c r="C40" s="221">
        <v>0</v>
      </c>
      <c r="D40" s="220">
        <v>3</v>
      </c>
      <c r="E40" s="220">
        <v>0</v>
      </c>
      <c r="F40" s="220">
        <v>0</v>
      </c>
      <c r="G40" s="220">
        <v>0</v>
      </c>
      <c r="H40" s="220">
        <v>2</v>
      </c>
      <c r="I40" s="220">
        <v>5</v>
      </c>
      <c r="J40" s="220">
        <v>0</v>
      </c>
      <c r="K40" s="220">
        <v>0</v>
      </c>
      <c r="L40" s="220">
        <v>0</v>
      </c>
      <c r="M40" s="220">
        <v>0</v>
      </c>
      <c r="N40" s="220">
        <v>0</v>
      </c>
      <c r="O40" s="220">
        <v>0</v>
      </c>
      <c r="P40" s="220">
        <v>0</v>
      </c>
      <c r="Q40" s="220">
        <v>1</v>
      </c>
      <c r="R40" s="220">
        <v>0</v>
      </c>
      <c r="S40" s="220">
        <v>0</v>
      </c>
      <c r="T40" s="220">
        <v>8</v>
      </c>
      <c r="U40" s="220">
        <v>0</v>
      </c>
      <c r="V40" s="220">
        <v>0</v>
      </c>
      <c r="W40" s="220">
        <v>0</v>
      </c>
      <c r="X40" s="220">
        <v>3</v>
      </c>
      <c r="Y40" s="220">
        <v>6</v>
      </c>
      <c r="Z40" s="220">
        <v>17</v>
      </c>
      <c r="AA40" s="220">
        <v>13.8</v>
      </c>
      <c r="AB40" s="220">
        <v>8</v>
      </c>
      <c r="AC40" s="220">
        <v>0</v>
      </c>
      <c r="AD40" s="295">
        <v>4226.54</v>
      </c>
    </row>
    <row r="41" spans="1:30" ht="11.25">
      <c r="A41" s="220" t="s">
        <v>232</v>
      </c>
      <c r="B41" s="218" t="s">
        <v>233</v>
      </c>
      <c r="C41" s="221">
        <v>0</v>
      </c>
      <c r="D41" s="220">
        <v>0</v>
      </c>
      <c r="E41" s="220">
        <v>0</v>
      </c>
      <c r="F41" s="220">
        <v>0</v>
      </c>
      <c r="G41" s="220">
        <v>0</v>
      </c>
      <c r="H41" s="220">
        <v>0</v>
      </c>
      <c r="I41" s="220">
        <v>2</v>
      </c>
      <c r="J41" s="220">
        <v>0</v>
      </c>
      <c r="K41" s="220">
        <v>0</v>
      </c>
      <c r="L41" s="220">
        <v>0</v>
      </c>
      <c r="M41" s="220">
        <v>0</v>
      </c>
      <c r="N41" s="220">
        <v>0</v>
      </c>
      <c r="O41" s="220">
        <v>0</v>
      </c>
      <c r="P41" s="220">
        <v>0</v>
      </c>
      <c r="Q41" s="220">
        <v>0</v>
      </c>
      <c r="R41" s="220">
        <v>0</v>
      </c>
      <c r="S41" s="220">
        <v>0</v>
      </c>
      <c r="T41" s="220">
        <v>0</v>
      </c>
      <c r="U41" s="220">
        <v>0</v>
      </c>
      <c r="V41" s="220">
        <v>0</v>
      </c>
      <c r="W41" s="220">
        <v>0</v>
      </c>
      <c r="X41" s="220">
        <v>17</v>
      </c>
      <c r="Y41" s="220">
        <v>74</v>
      </c>
      <c r="Z41" s="220">
        <v>91</v>
      </c>
      <c r="AA41" s="220">
        <v>91</v>
      </c>
      <c r="AB41" s="220">
        <v>0</v>
      </c>
      <c r="AC41" s="220">
        <v>0</v>
      </c>
      <c r="AD41" s="295">
        <v>0</v>
      </c>
    </row>
    <row r="42" spans="1:30" ht="11.25">
      <c r="A42" s="221" t="s">
        <v>234</v>
      </c>
      <c r="B42" s="218" t="s">
        <v>233</v>
      </c>
      <c r="C42" s="220">
        <v>0</v>
      </c>
      <c r="D42" s="220">
        <v>0</v>
      </c>
      <c r="E42" s="220">
        <v>0</v>
      </c>
      <c r="F42" s="220">
        <v>0</v>
      </c>
      <c r="G42" s="220">
        <v>0</v>
      </c>
      <c r="H42" s="220">
        <v>0</v>
      </c>
      <c r="I42" s="220">
        <v>3</v>
      </c>
      <c r="J42" s="220">
        <v>0</v>
      </c>
      <c r="K42" s="220">
        <v>0</v>
      </c>
      <c r="L42" s="220">
        <v>0</v>
      </c>
      <c r="M42" s="220">
        <v>0</v>
      </c>
      <c r="N42" s="220">
        <v>0</v>
      </c>
      <c r="O42" s="220">
        <v>0</v>
      </c>
      <c r="P42" s="220">
        <v>0</v>
      </c>
      <c r="Q42" s="220">
        <v>0</v>
      </c>
      <c r="R42" s="220">
        <v>0</v>
      </c>
      <c r="S42" s="220">
        <v>0</v>
      </c>
      <c r="T42" s="220">
        <v>0</v>
      </c>
      <c r="U42" s="220">
        <v>0</v>
      </c>
      <c r="V42" s="220">
        <v>0</v>
      </c>
      <c r="W42" s="220">
        <v>0</v>
      </c>
      <c r="X42" s="220">
        <v>27</v>
      </c>
      <c r="Y42" s="220">
        <v>147</v>
      </c>
      <c r="Z42" s="220">
        <v>174</v>
      </c>
      <c r="AA42" s="220">
        <v>174</v>
      </c>
      <c r="AB42" s="220">
        <v>0</v>
      </c>
      <c r="AC42" s="220">
        <v>0</v>
      </c>
      <c r="AD42" s="295">
        <v>0</v>
      </c>
    </row>
    <row r="43" spans="1:30" ht="11.25">
      <c r="A43" s="220" t="s">
        <v>235</v>
      </c>
      <c r="B43" s="218" t="s">
        <v>233</v>
      </c>
      <c r="C43" s="220">
        <v>0</v>
      </c>
      <c r="D43" s="220">
        <v>0</v>
      </c>
      <c r="E43" s="220">
        <v>0</v>
      </c>
      <c r="F43" s="220">
        <v>0</v>
      </c>
      <c r="G43" s="220">
        <v>0</v>
      </c>
      <c r="H43" s="220">
        <v>0</v>
      </c>
      <c r="I43" s="220">
        <v>0</v>
      </c>
      <c r="J43" s="220">
        <v>5</v>
      </c>
      <c r="K43" s="220">
        <v>0</v>
      </c>
      <c r="L43" s="220">
        <v>0</v>
      </c>
      <c r="M43" s="220">
        <v>0</v>
      </c>
      <c r="N43" s="220">
        <v>0</v>
      </c>
      <c r="O43" s="220">
        <v>0</v>
      </c>
      <c r="P43" s="220">
        <v>0</v>
      </c>
      <c r="Q43" s="220">
        <v>0</v>
      </c>
      <c r="R43" s="220">
        <v>0</v>
      </c>
      <c r="S43" s="220">
        <v>0</v>
      </c>
      <c r="T43" s="220">
        <v>0</v>
      </c>
      <c r="U43" s="220">
        <v>0</v>
      </c>
      <c r="V43" s="220">
        <v>0</v>
      </c>
      <c r="W43" s="220">
        <v>0</v>
      </c>
      <c r="X43" s="220">
        <v>0</v>
      </c>
      <c r="Y43" s="220">
        <v>143</v>
      </c>
      <c r="Z43" s="220">
        <v>143</v>
      </c>
      <c r="AA43" s="220">
        <v>143</v>
      </c>
      <c r="AB43" s="220">
        <v>0</v>
      </c>
      <c r="AC43" s="220">
        <v>0</v>
      </c>
      <c r="AD43" s="295">
        <v>0</v>
      </c>
    </row>
    <row r="44" spans="1:30" ht="11.25">
      <c r="A44" s="218" t="s">
        <v>236</v>
      </c>
      <c r="B44" s="218" t="s">
        <v>233</v>
      </c>
      <c r="C44" s="220">
        <v>0</v>
      </c>
      <c r="D44" s="220">
        <v>0</v>
      </c>
      <c r="E44" s="220">
        <v>0</v>
      </c>
      <c r="F44" s="220">
        <v>0</v>
      </c>
      <c r="G44" s="220">
        <v>0</v>
      </c>
      <c r="H44" s="220">
        <v>0</v>
      </c>
      <c r="I44" s="220">
        <v>2</v>
      </c>
      <c r="J44" s="220">
        <v>0</v>
      </c>
      <c r="K44" s="220">
        <v>0</v>
      </c>
      <c r="L44" s="220">
        <v>0</v>
      </c>
      <c r="M44" s="220">
        <v>0</v>
      </c>
      <c r="N44" s="220">
        <v>0</v>
      </c>
      <c r="O44" s="220">
        <v>0</v>
      </c>
      <c r="P44" s="220">
        <v>0</v>
      </c>
      <c r="Q44" s="220">
        <v>0</v>
      </c>
      <c r="R44" s="220">
        <v>0</v>
      </c>
      <c r="S44" s="220">
        <v>0</v>
      </c>
      <c r="T44" s="220">
        <v>0</v>
      </c>
      <c r="U44" s="220">
        <v>0</v>
      </c>
      <c r="V44" s="220">
        <v>0</v>
      </c>
      <c r="W44" s="220">
        <v>0</v>
      </c>
      <c r="X44" s="220">
        <v>0</v>
      </c>
      <c r="Y44" s="220">
        <v>142</v>
      </c>
      <c r="Z44" s="220">
        <v>142</v>
      </c>
      <c r="AA44" s="220">
        <v>142</v>
      </c>
      <c r="AB44" s="220">
        <v>0</v>
      </c>
      <c r="AC44" s="220">
        <v>0</v>
      </c>
      <c r="AD44" s="295">
        <v>0</v>
      </c>
    </row>
    <row r="45" spans="1:30" ht="11.25">
      <c r="A45" s="218" t="s">
        <v>352</v>
      </c>
      <c r="B45" s="218" t="s">
        <v>239</v>
      </c>
      <c r="C45" s="220">
        <v>0</v>
      </c>
      <c r="D45" s="220">
        <v>0</v>
      </c>
      <c r="E45" s="220">
        <v>0</v>
      </c>
      <c r="F45" s="220">
        <v>0</v>
      </c>
      <c r="G45" s="220">
        <v>0</v>
      </c>
      <c r="H45" s="220">
        <v>0</v>
      </c>
      <c r="I45" s="220">
        <v>0</v>
      </c>
      <c r="J45" s="220">
        <v>0</v>
      </c>
      <c r="K45" s="220">
        <v>0</v>
      </c>
      <c r="L45" s="220">
        <v>0</v>
      </c>
      <c r="M45" s="220">
        <v>0</v>
      </c>
      <c r="N45" s="220">
        <v>0</v>
      </c>
      <c r="O45" s="220">
        <v>0</v>
      </c>
      <c r="P45" s="220">
        <v>0</v>
      </c>
      <c r="Q45" s="220">
        <v>0</v>
      </c>
      <c r="R45" s="220">
        <v>0</v>
      </c>
      <c r="S45" s="220">
        <v>0</v>
      </c>
      <c r="T45" s="220">
        <v>0</v>
      </c>
      <c r="U45" s="220">
        <v>0</v>
      </c>
      <c r="V45" s="220">
        <v>0</v>
      </c>
      <c r="W45" s="220">
        <v>0</v>
      </c>
      <c r="X45" s="220">
        <v>0</v>
      </c>
      <c r="Y45" s="220">
        <v>135</v>
      </c>
      <c r="Z45" s="220">
        <v>135</v>
      </c>
      <c r="AA45" s="220">
        <v>135</v>
      </c>
      <c r="AB45" s="220">
        <v>0</v>
      </c>
      <c r="AC45" s="220">
        <v>0</v>
      </c>
      <c r="AD45" s="295">
        <v>0</v>
      </c>
    </row>
    <row r="46" spans="1:30" ht="11.25">
      <c r="A46" s="220" t="s">
        <v>237</v>
      </c>
      <c r="B46" s="218" t="s">
        <v>58</v>
      </c>
      <c r="C46" s="220">
        <v>0</v>
      </c>
      <c r="D46" s="220">
        <v>0</v>
      </c>
      <c r="E46" s="220">
        <v>0</v>
      </c>
      <c r="F46" s="220">
        <v>0</v>
      </c>
      <c r="G46" s="220">
        <v>0</v>
      </c>
      <c r="H46" s="220">
        <v>1</v>
      </c>
      <c r="I46" s="220">
        <v>3</v>
      </c>
      <c r="J46" s="220">
        <v>0</v>
      </c>
      <c r="K46" s="220">
        <v>0</v>
      </c>
      <c r="L46" s="220">
        <v>0</v>
      </c>
      <c r="M46" s="220">
        <v>0</v>
      </c>
      <c r="N46" s="220">
        <v>0</v>
      </c>
      <c r="O46" s="220">
        <v>0</v>
      </c>
      <c r="P46" s="220">
        <v>0</v>
      </c>
      <c r="Q46" s="220">
        <v>0</v>
      </c>
      <c r="R46" s="220">
        <v>0</v>
      </c>
      <c r="S46" s="220">
        <v>0</v>
      </c>
      <c r="T46" s="220">
        <v>11</v>
      </c>
      <c r="U46" s="220">
        <v>0</v>
      </c>
      <c r="V46" s="220">
        <v>0</v>
      </c>
      <c r="W46" s="220">
        <v>0</v>
      </c>
      <c r="X46" s="220">
        <v>14</v>
      </c>
      <c r="Y46" s="220">
        <v>146</v>
      </c>
      <c r="Z46" s="220">
        <v>171</v>
      </c>
      <c r="AA46" s="220">
        <v>166.6</v>
      </c>
      <c r="AB46" s="220">
        <v>0</v>
      </c>
      <c r="AC46" s="220">
        <v>0</v>
      </c>
      <c r="AD46" s="295">
        <v>0</v>
      </c>
    </row>
    <row r="47" spans="1:30" ht="11.25">
      <c r="A47" s="220" t="s">
        <v>97</v>
      </c>
      <c r="B47" s="218" t="s">
        <v>58</v>
      </c>
      <c r="C47" s="220">
        <v>0</v>
      </c>
      <c r="D47" s="220">
        <v>0</v>
      </c>
      <c r="E47" s="220">
        <v>0</v>
      </c>
      <c r="F47" s="220">
        <v>0</v>
      </c>
      <c r="G47" s="220">
        <v>0</v>
      </c>
      <c r="H47" s="220">
        <v>0</v>
      </c>
      <c r="I47" s="220">
        <v>7</v>
      </c>
      <c r="J47" s="220">
        <v>0</v>
      </c>
      <c r="K47" s="220">
        <v>0</v>
      </c>
      <c r="L47" s="220">
        <v>0</v>
      </c>
      <c r="M47" s="220">
        <v>0</v>
      </c>
      <c r="N47" s="220">
        <v>0</v>
      </c>
      <c r="O47" s="220">
        <v>0</v>
      </c>
      <c r="P47" s="220">
        <v>0</v>
      </c>
      <c r="Q47" s="220">
        <v>0</v>
      </c>
      <c r="R47" s="220">
        <v>0</v>
      </c>
      <c r="S47" s="220">
        <v>0</v>
      </c>
      <c r="T47" s="220">
        <v>23</v>
      </c>
      <c r="U47" s="220">
        <v>0</v>
      </c>
      <c r="V47" s="220">
        <v>0</v>
      </c>
      <c r="W47" s="220">
        <v>0</v>
      </c>
      <c r="X47" s="220">
        <v>21</v>
      </c>
      <c r="Y47" s="220">
        <v>198</v>
      </c>
      <c r="Z47" s="220">
        <v>242</v>
      </c>
      <c r="AA47" s="220">
        <v>232.8</v>
      </c>
      <c r="AB47" s="220">
        <v>2</v>
      </c>
      <c r="AC47" s="220">
        <v>0</v>
      </c>
      <c r="AD47" s="295">
        <v>1243.1</v>
      </c>
    </row>
    <row r="48" spans="1:30" ht="11.25">
      <c r="A48" s="218" t="s">
        <v>238</v>
      </c>
      <c r="B48" s="218" t="s">
        <v>239</v>
      </c>
      <c r="C48" s="220">
        <v>0</v>
      </c>
      <c r="D48" s="220">
        <v>0</v>
      </c>
      <c r="E48" s="220">
        <v>0</v>
      </c>
      <c r="F48" s="220">
        <v>0</v>
      </c>
      <c r="G48" s="220">
        <v>0</v>
      </c>
      <c r="H48" s="220">
        <v>0</v>
      </c>
      <c r="I48" s="220">
        <v>0</v>
      </c>
      <c r="J48" s="220">
        <v>13</v>
      </c>
      <c r="K48" s="220">
        <v>0</v>
      </c>
      <c r="L48" s="220">
        <v>0</v>
      </c>
      <c r="M48" s="220">
        <v>0</v>
      </c>
      <c r="N48" s="220">
        <v>0</v>
      </c>
      <c r="O48" s="220">
        <v>0</v>
      </c>
      <c r="P48" s="220">
        <v>0</v>
      </c>
      <c r="Q48" s="220">
        <v>0</v>
      </c>
      <c r="R48" s="220">
        <v>0</v>
      </c>
      <c r="S48" s="220">
        <v>0</v>
      </c>
      <c r="T48" s="220">
        <v>0</v>
      </c>
      <c r="U48" s="220">
        <v>0</v>
      </c>
      <c r="V48" s="220">
        <v>0</v>
      </c>
      <c r="W48" s="220">
        <v>0</v>
      </c>
      <c r="X48" s="220">
        <v>0</v>
      </c>
      <c r="Y48" s="220">
        <v>784</v>
      </c>
      <c r="Z48" s="220">
        <v>784</v>
      </c>
      <c r="AA48" s="220">
        <v>784</v>
      </c>
      <c r="AB48" s="220">
        <v>0</v>
      </c>
      <c r="AC48" s="220">
        <v>0</v>
      </c>
      <c r="AD48" s="295">
        <v>0</v>
      </c>
    </row>
    <row r="49" spans="1:30" ht="11.25">
      <c r="A49" s="220" t="s">
        <v>353</v>
      </c>
      <c r="B49" s="218" t="s">
        <v>224</v>
      </c>
      <c r="C49" s="220">
        <v>0</v>
      </c>
      <c r="D49" s="220">
        <v>0</v>
      </c>
      <c r="E49" s="220">
        <v>0</v>
      </c>
      <c r="F49" s="220">
        <v>0</v>
      </c>
      <c r="G49" s="220">
        <v>0</v>
      </c>
      <c r="H49" s="220">
        <v>0</v>
      </c>
      <c r="I49" s="220">
        <v>4</v>
      </c>
      <c r="J49" s="220">
        <v>0</v>
      </c>
      <c r="K49" s="220">
        <v>0</v>
      </c>
      <c r="L49" s="220">
        <v>0</v>
      </c>
      <c r="M49" s="220">
        <v>0</v>
      </c>
      <c r="N49" s="220">
        <v>0</v>
      </c>
      <c r="O49" s="220">
        <v>0</v>
      </c>
      <c r="P49" s="220">
        <v>0</v>
      </c>
      <c r="Q49" s="220">
        <v>0</v>
      </c>
      <c r="R49" s="220">
        <v>0</v>
      </c>
      <c r="S49" s="220">
        <v>0</v>
      </c>
      <c r="T49" s="220">
        <v>0</v>
      </c>
      <c r="U49" s="220">
        <v>0</v>
      </c>
      <c r="V49" s="220">
        <v>0</v>
      </c>
      <c r="W49" s="220">
        <v>0</v>
      </c>
      <c r="X49" s="220">
        <v>0</v>
      </c>
      <c r="Y49" s="220">
        <v>95</v>
      </c>
      <c r="Z49" s="220">
        <v>95</v>
      </c>
      <c r="AA49" s="220">
        <v>95</v>
      </c>
      <c r="AB49" s="220">
        <v>0</v>
      </c>
      <c r="AC49" s="220">
        <v>0</v>
      </c>
      <c r="AD49" s="295">
        <v>0</v>
      </c>
    </row>
    <row r="50" spans="1:30" ht="11.25">
      <c r="A50" s="219" t="s">
        <v>240</v>
      </c>
      <c r="B50" s="218" t="s">
        <v>58</v>
      </c>
      <c r="C50" s="220">
        <v>0</v>
      </c>
      <c r="D50" s="220">
        <v>1</v>
      </c>
      <c r="E50" s="220">
        <v>0</v>
      </c>
      <c r="F50" s="220">
        <v>0</v>
      </c>
      <c r="G50" s="220">
        <v>0</v>
      </c>
      <c r="H50" s="220">
        <v>0</v>
      </c>
      <c r="I50" s="220">
        <v>7</v>
      </c>
      <c r="J50" s="220">
        <v>0</v>
      </c>
      <c r="K50" s="220">
        <v>0</v>
      </c>
      <c r="L50" s="220">
        <v>0</v>
      </c>
      <c r="M50" s="220">
        <v>0</v>
      </c>
      <c r="N50" s="220">
        <v>0</v>
      </c>
      <c r="O50" s="220">
        <v>0</v>
      </c>
      <c r="P50" s="220">
        <v>0</v>
      </c>
      <c r="Q50" s="220">
        <v>0</v>
      </c>
      <c r="R50" s="220">
        <v>0</v>
      </c>
      <c r="S50" s="220">
        <v>0</v>
      </c>
      <c r="T50" s="220">
        <v>48</v>
      </c>
      <c r="U50" s="220">
        <v>0</v>
      </c>
      <c r="V50" s="220">
        <v>0</v>
      </c>
      <c r="W50" s="220">
        <v>0</v>
      </c>
      <c r="X50" s="220">
        <v>38</v>
      </c>
      <c r="Y50" s="220">
        <v>445</v>
      </c>
      <c r="Z50" s="220">
        <v>531</v>
      </c>
      <c r="AA50" s="220">
        <v>511.8</v>
      </c>
      <c r="AB50" s="220">
        <v>0</v>
      </c>
      <c r="AC50" s="220">
        <v>0</v>
      </c>
      <c r="AD50" s="295">
        <v>0</v>
      </c>
    </row>
    <row r="51" spans="1:30" ht="11.25">
      <c r="A51" s="220" t="s">
        <v>354</v>
      </c>
      <c r="B51" s="218" t="s">
        <v>251</v>
      </c>
      <c r="C51" s="220">
        <v>0</v>
      </c>
      <c r="D51" s="220">
        <v>0</v>
      </c>
      <c r="E51" s="220">
        <v>0</v>
      </c>
      <c r="F51" s="220">
        <v>0</v>
      </c>
      <c r="G51" s="220">
        <v>0</v>
      </c>
      <c r="H51" s="220">
        <v>0</v>
      </c>
      <c r="I51" s="220">
        <v>16</v>
      </c>
      <c r="J51" s="220">
        <v>0</v>
      </c>
      <c r="K51" s="220">
        <v>0</v>
      </c>
      <c r="L51" s="220">
        <v>0</v>
      </c>
      <c r="M51" s="220">
        <v>0</v>
      </c>
      <c r="N51" s="220">
        <v>0</v>
      </c>
      <c r="O51" s="220">
        <v>0</v>
      </c>
      <c r="P51" s="220">
        <v>0</v>
      </c>
      <c r="Q51" s="220">
        <v>0</v>
      </c>
      <c r="R51" s="220">
        <v>0</v>
      </c>
      <c r="S51" s="220">
        <v>0</v>
      </c>
      <c r="T51" s="220">
        <v>0</v>
      </c>
      <c r="U51" s="220">
        <v>0</v>
      </c>
      <c r="V51" s="220">
        <v>0</v>
      </c>
      <c r="W51" s="220">
        <v>0</v>
      </c>
      <c r="X51" s="220">
        <v>2</v>
      </c>
      <c r="Y51" s="220">
        <v>24</v>
      </c>
      <c r="Z51" s="220">
        <v>26</v>
      </c>
      <c r="AA51" s="220">
        <v>26</v>
      </c>
      <c r="AB51" s="220">
        <v>0</v>
      </c>
      <c r="AC51" s="220">
        <v>0</v>
      </c>
      <c r="AD51" s="295">
        <v>0</v>
      </c>
    </row>
    <row r="52" spans="1:30" ht="11.25">
      <c r="A52" s="220" t="s">
        <v>355</v>
      </c>
      <c r="B52" s="218" t="s">
        <v>380</v>
      </c>
      <c r="C52" s="220">
        <v>2</v>
      </c>
      <c r="D52" s="220">
        <v>0</v>
      </c>
      <c r="E52" s="220">
        <v>0</v>
      </c>
      <c r="F52" s="220">
        <v>0</v>
      </c>
      <c r="G52" s="220">
        <v>0</v>
      </c>
      <c r="H52" s="220">
        <v>1</v>
      </c>
      <c r="I52" s="220">
        <v>12</v>
      </c>
      <c r="J52" s="220">
        <v>0</v>
      </c>
      <c r="K52" s="220">
        <v>0</v>
      </c>
      <c r="L52" s="220">
        <v>0</v>
      </c>
      <c r="M52" s="220">
        <v>0</v>
      </c>
      <c r="N52" s="220">
        <v>0</v>
      </c>
      <c r="O52" s="220">
        <v>0</v>
      </c>
      <c r="P52" s="220">
        <v>0</v>
      </c>
      <c r="Q52" s="220">
        <v>0</v>
      </c>
      <c r="R52" s="220">
        <v>0</v>
      </c>
      <c r="S52" s="220">
        <v>21</v>
      </c>
      <c r="T52" s="220">
        <v>0</v>
      </c>
      <c r="U52" s="220">
        <v>0</v>
      </c>
      <c r="V52" s="220">
        <v>0</v>
      </c>
      <c r="W52" s="220">
        <v>0</v>
      </c>
      <c r="X52" s="220">
        <v>14</v>
      </c>
      <c r="Y52" s="220">
        <v>82</v>
      </c>
      <c r="Z52" s="220">
        <v>117</v>
      </c>
      <c r="AA52" s="220">
        <v>106.5</v>
      </c>
      <c r="AB52" s="220">
        <v>0</v>
      </c>
      <c r="AC52" s="220">
        <v>0</v>
      </c>
      <c r="AD52" s="295">
        <v>0</v>
      </c>
    </row>
    <row r="53" spans="1:30" ht="11.25">
      <c r="A53" s="218" t="s">
        <v>356</v>
      </c>
      <c r="B53" s="218" t="s">
        <v>379</v>
      </c>
      <c r="C53" s="220">
        <v>0</v>
      </c>
      <c r="D53" s="220">
        <v>0</v>
      </c>
      <c r="E53" s="220">
        <v>0</v>
      </c>
      <c r="F53" s="220">
        <v>0</v>
      </c>
      <c r="G53" s="220">
        <v>0</v>
      </c>
      <c r="H53" s="220">
        <v>1</v>
      </c>
      <c r="I53" s="220">
        <v>2</v>
      </c>
      <c r="J53" s="220">
        <v>0</v>
      </c>
      <c r="K53" s="220">
        <v>0</v>
      </c>
      <c r="L53" s="220">
        <v>0</v>
      </c>
      <c r="M53" s="220">
        <v>0</v>
      </c>
      <c r="N53" s="220">
        <v>0</v>
      </c>
      <c r="O53" s="220">
        <v>0</v>
      </c>
      <c r="P53" s="220">
        <v>0</v>
      </c>
      <c r="Q53" s="220">
        <v>0</v>
      </c>
      <c r="R53" s="220">
        <v>0</v>
      </c>
      <c r="S53" s="220">
        <v>0</v>
      </c>
      <c r="T53" s="220">
        <v>0</v>
      </c>
      <c r="U53" s="220">
        <v>1</v>
      </c>
      <c r="V53" s="220">
        <v>0</v>
      </c>
      <c r="W53" s="220">
        <v>0</v>
      </c>
      <c r="X53" s="220">
        <v>22</v>
      </c>
      <c r="Y53" s="220">
        <v>51</v>
      </c>
      <c r="Z53" s="220">
        <v>74</v>
      </c>
      <c r="AA53" s="220">
        <v>73.5</v>
      </c>
      <c r="AB53" s="220">
        <v>0</v>
      </c>
      <c r="AC53" s="220">
        <v>0</v>
      </c>
      <c r="AD53" s="295">
        <v>0</v>
      </c>
    </row>
    <row r="54" spans="1:30" ht="11.25">
      <c r="A54" s="220" t="s">
        <v>357</v>
      </c>
      <c r="B54" s="218" t="s">
        <v>381</v>
      </c>
      <c r="C54" s="220">
        <v>0</v>
      </c>
      <c r="D54" s="220">
        <v>0</v>
      </c>
      <c r="E54" s="220">
        <v>0</v>
      </c>
      <c r="F54" s="220">
        <v>0</v>
      </c>
      <c r="G54" s="220">
        <v>0</v>
      </c>
      <c r="H54" s="220">
        <v>1</v>
      </c>
      <c r="I54" s="220">
        <v>1</v>
      </c>
      <c r="J54" s="220">
        <v>0</v>
      </c>
      <c r="K54" s="220">
        <v>0</v>
      </c>
      <c r="L54" s="220">
        <v>0</v>
      </c>
      <c r="M54" s="220">
        <v>0</v>
      </c>
      <c r="N54" s="220">
        <v>0</v>
      </c>
      <c r="O54" s="220">
        <v>0</v>
      </c>
      <c r="P54" s="220">
        <v>0</v>
      </c>
      <c r="Q54" s="220">
        <v>0</v>
      </c>
      <c r="R54" s="220">
        <v>0</v>
      </c>
      <c r="S54" s="220">
        <v>0</v>
      </c>
      <c r="T54" s="220">
        <v>0</v>
      </c>
      <c r="U54" s="220">
        <v>0</v>
      </c>
      <c r="V54" s="220">
        <v>0</v>
      </c>
      <c r="W54" s="220">
        <v>0</v>
      </c>
      <c r="X54" s="220">
        <v>34</v>
      </c>
      <c r="Y54" s="220">
        <v>158</v>
      </c>
      <c r="Z54" s="220">
        <v>192</v>
      </c>
      <c r="AA54" s="220">
        <v>192</v>
      </c>
      <c r="AB54" s="220">
        <v>0</v>
      </c>
      <c r="AC54" s="220">
        <v>0</v>
      </c>
      <c r="AD54" s="295">
        <v>0</v>
      </c>
    </row>
    <row r="55" spans="1:30" ht="11.25">
      <c r="A55" s="220" t="s">
        <v>241</v>
      </c>
      <c r="B55" s="218" t="s">
        <v>143</v>
      </c>
      <c r="C55" s="220">
        <v>0</v>
      </c>
      <c r="D55" s="220">
        <v>0</v>
      </c>
      <c r="E55" s="220">
        <v>0</v>
      </c>
      <c r="F55" s="220">
        <v>0</v>
      </c>
      <c r="G55" s="220">
        <v>0</v>
      </c>
      <c r="H55" s="220">
        <v>0</v>
      </c>
      <c r="I55" s="220">
        <v>1</v>
      </c>
      <c r="J55" s="220">
        <v>0</v>
      </c>
      <c r="K55" s="220">
        <v>0</v>
      </c>
      <c r="L55" s="220">
        <v>0</v>
      </c>
      <c r="M55" s="220">
        <v>0</v>
      </c>
      <c r="N55" s="220">
        <v>0</v>
      </c>
      <c r="O55" s="220">
        <v>0</v>
      </c>
      <c r="P55" s="220">
        <v>0</v>
      </c>
      <c r="Q55" s="220">
        <v>0</v>
      </c>
      <c r="R55" s="220">
        <v>0</v>
      </c>
      <c r="S55" s="220">
        <v>0</v>
      </c>
      <c r="T55" s="220">
        <v>17</v>
      </c>
      <c r="U55" s="220">
        <v>0</v>
      </c>
      <c r="V55" s="220">
        <v>0</v>
      </c>
      <c r="W55" s="220">
        <v>0</v>
      </c>
      <c r="X55" s="220">
        <v>23</v>
      </c>
      <c r="Y55" s="220">
        <v>198</v>
      </c>
      <c r="Z55" s="220">
        <v>238</v>
      </c>
      <c r="AA55" s="220">
        <v>231.2</v>
      </c>
      <c r="AB55" s="220">
        <v>1</v>
      </c>
      <c r="AC55" s="220">
        <v>0</v>
      </c>
      <c r="AD55" s="295">
        <v>621.55</v>
      </c>
    </row>
    <row r="56" spans="1:30" ht="11.25">
      <c r="A56" s="220" t="s">
        <v>98</v>
      </c>
      <c r="B56" s="218" t="s">
        <v>58</v>
      </c>
      <c r="C56" s="220">
        <v>0</v>
      </c>
      <c r="D56" s="220">
        <v>0</v>
      </c>
      <c r="E56" s="220">
        <v>0</v>
      </c>
      <c r="F56" s="220">
        <v>0</v>
      </c>
      <c r="G56" s="220">
        <v>0</v>
      </c>
      <c r="H56" s="220">
        <v>0</v>
      </c>
      <c r="I56" s="220">
        <v>0</v>
      </c>
      <c r="J56" s="220">
        <v>15</v>
      </c>
      <c r="K56" s="220">
        <v>0</v>
      </c>
      <c r="L56" s="220">
        <v>0</v>
      </c>
      <c r="M56" s="220">
        <v>0</v>
      </c>
      <c r="N56" s="220">
        <v>0</v>
      </c>
      <c r="O56" s="220">
        <v>0</v>
      </c>
      <c r="P56" s="220">
        <v>0</v>
      </c>
      <c r="Q56" s="220">
        <v>0</v>
      </c>
      <c r="R56" s="220">
        <v>2</v>
      </c>
      <c r="S56" s="220">
        <v>0</v>
      </c>
      <c r="T56" s="220">
        <v>0</v>
      </c>
      <c r="U56" s="220">
        <v>0</v>
      </c>
      <c r="V56" s="220">
        <v>0</v>
      </c>
      <c r="W56" s="220">
        <v>0</v>
      </c>
      <c r="X56" s="220">
        <v>0</v>
      </c>
      <c r="Y56" s="220">
        <v>738</v>
      </c>
      <c r="Z56" s="220">
        <v>738</v>
      </c>
      <c r="AA56" s="220">
        <v>738</v>
      </c>
      <c r="AB56" s="220">
        <v>0</v>
      </c>
      <c r="AC56" s="220">
        <v>0</v>
      </c>
      <c r="AD56" s="295">
        <v>0</v>
      </c>
    </row>
    <row r="57" spans="1:30" ht="11.25">
      <c r="A57" s="220" t="s">
        <v>242</v>
      </c>
      <c r="B57" s="218" t="s">
        <v>58</v>
      </c>
      <c r="C57" s="220">
        <v>0</v>
      </c>
      <c r="D57" s="220">
        <v>1</v>
      </c>
      <c r="E57" s="220">
        <v>0</v>
      </c>
      <c r="F57" s="220">
        <v>0</v>
      </c>
      <c r="G57" s="220">
        <v>0</v>
      </c>
      <c r="H57" s="220">
        <v>0</v>
      </c>
      <c r="I57" s="220">
        <v>1</v>
      </c>
      <c r="J57" s="220">
        <v>0</v>
      </c>
      <c r="K57" s="220">
        <v>0</v>
      </c>
      <c r="L57" s="220">
        <v>0</v>
      </c>
      <c r="M57" s="220">
        <v>0</v>
      </c>
      <c r="N57" s="220">
        <v>0</v>
      </c>
      <c r="O57" s="220">
        <v>0</v>
      </c>
      <c r="P57" s="220">
        <v>0</v>
      </c>
      <c r="Q57" s="220">
        <v>0</v>
      </c>
      <c r="R57" s="220">
        <v>0</v>
      </c>
      <c r="S57" s="220">
        <v>0</v>
      </c>
      <c r="T57" s="220">
        <v>32</v>
      </c>
      <c r="U57" s="220">
        <v>0</v>
      </c>
      <c r="V57" s="220">
        <v>0</v>
      </c>
      <c r="W57" s="220">
        <v>0</v>
      </c>
      <c r="X57" s="220">
        <v>31</v>
      </c>
      <c r="Y57" s="220">
        <v>351</v>
      </c>
      <c r="Z57" s="220">
        <v>414</v>
      </c>
      <c r="AA57" s="220">
        <v>401.2</v>
      </c>
      <c r="AB57" s="220">
        <v>0</v>
      </c>
      <c r="AC57" s="220">
        <v>0</v>
      </c>
      <c r="AD57" s="295">
        <v>0</v>
      </c>
    </row>
    <row r="58" spans="1:30" ht="11.25">
      <c r="A58" s="218" t="s">
        <v>243</v>
      </c>
      <c r="B58" s="218" t="s">
        <v>244</v>
      </c>
      <c r="C58" s="220">
        <v>1</v>
      </c>
      <c r="D58" s="220">
        <v>0</v>
      </c>
      <c r="E58" s="220">
        <v>0</v>
      </c>
      <c r="F58" s="220">
        <v>0</v>
      </c>
      <c r="G58" s="220">
        <v>0</v>
      </c>
      <c r="H58" s="220">
        <v>0</v>
      </c>
      <c r="I58" s="220">
        <v>5</v>
      </c>
      <c r="J58" s="220">
        <v>0</v>
      </c>
      <c r="K58" s="220">
        <v>0</v>
      </c>
      <c r="L58" s="220">
        <v>0</v>
      </c>
      <c r="M58" s="220">
        <v>0</v>
      </c>
      <c r="N58" s="220">
        <v>0</v>
      </c>
      <c r="O58" s="220">
        <v>0</v>
      </c>
      <c r="P58" s="220">
        <v>0</v>
      </c>
      <c r="Q58" s="220">
        <v>1</v>
      </c>
      <c r="R58" s="220">
        <v>0</v>
      </c>
      <c r="S58" s="220">
        <v>7</v>
      </c>
      <c r="T58" s="220">
        <v>0</v>
      </c>
      <c r="U58" s="220">
        <v>0</v>
      </c>
      <c r="V58" s="220">
        <v>0</v>
      </c>
      <c r="W58" s="220">
        <v>0</v>
      </c>
      <c r="X58" s="220">
        <v>3</v>
      </c>
      <c r="Y58" s="220">
        <v>49</v>
      </c>
      <c r="Z58" s="220">
        <v>59</v>
      </c>
      <c r="AA58" s="220">
        <v>55.5</v>
      </c>
      <c r="AB58" s="220">
        <v>0</v>
      </c>
      <c r="AC58" s="220">
        <v>0</v>
      </c>
      <c r="AD58" s="295">
        <v>0</v>
      </c>
    </row>
    <row r="59" spans="1:30" ht="11.25">
      <c r="A59" s="220" t="s">
        <v>358</v>
      </c>
      <c r="B59" s="218" t="s">
        <v>60</v>
      </c>
      <c r="C59" s="220">
        <v>0</v>
      </c>
      <c r="D59" s="220">
        <v>0</v>
      </c>
      <c r="E59" s="220">
        <v>0</v>
      </c>
      <c r="F59" s="220">
        <v>0</v>
      </c>
      <c r="G59" s="220">
        <v>0</v>
      </c>
      <c r="H59" s="220">
        <v>0</v>
      </c>
      <c r="I59" s="220">
        <v>5</v>
      </c>
      <c r="J59" s="220">
        <v>0</v>
      </c>
      <c r="K59" s="220">
        <v>0</v>
      </c>
      <c r="L59" s="220">
        <v>0</v>
      </c>
      <c r="M59" s="220">
        <v>0</v>
      </c>
      <c r="N59" s="220">
        <v>0</v>
      </c>
      <c r="O59" s="220">
        <v>0</v>
      </c>
      <c r="P59" s="220">
        <v>0</v>
      </c>
      <c r="Q59" s="220">
        <v>0</v>
      </c>
      <c r="R59" s="220">
        <v>0</v>
      </c>
      <c r="S59" s="220">
        <v>0</v>
      </c>
      <c r="T59" s="220">
        <v>51</v>
      </c>
      <c r="U59" s="220">
        <v>0</v>
      </c>
      <c r="V59" s="220">
        <v>0</v>
      </c>
      <c r="W59" s="220">
        <v>0</v>
      </c>
      <c r="X59" s="220">
        <v>45</v>
      </c>
      <c r="Y59" s="220">
        <v>299</v>
      </c>
      <c r="Z59" s="220">
        <v>395</v>
      </c>
      <c r="AA59" s="220">
        <v>374.6</v>
      </c>
      <c r="AB59" s="220">
        <v>1</v>
      </c>
      <c r="AC59" s="220">
        <v>0</v>
      </c>
      <c r="AD59" s="295">
        <v>621.55</v>
      </c>
    </row>
    <row r="60" spans="1:30" ht="11.25">
      <c r="A60" s="218" t="s">
        <v>245</v>
      </c>
      <c r="B60" s="218" t="s">
        <v>246</v>
      </c>
      <c r="C60" s="220">
        <v>0</v>
      </c>
      <c r="D60" s="220">
        <v>0</v>
      </c>
      <c r="E60" s="220">
        <v>0</v>
      </c>
      <c r="F60" s="220">
        <v>0</v>
      </c>
      <c r="G60" s="220">
        <v>0</v>
      </c>
      <c r="H60" s="220">
        <v>0</v>
      </c>
      <c r="I60" s="220">
        <v>0</v>
      </c>
      <c r="J60" s="220">
        <v>4</v>
      </c>
      <c r="K60" s="220">
        <v>0</v>
      </c>
      <c r="L60" s="220">
        <v>0</v>
      </c>
      <c r="M60" s="220">
        <v>0</v>
      </c>
      <c r="N60" s="220">
        <v>0</v>
      </c>
      <c r="O60" s="220">
        <v>0</v>
      </c>
      <c r="P60" s="220">
        <v>0</v>
      </c>
      <c r="Q60" s="220">
        <v>0</v>
      </c>
      <c r="R60" s="220">
        <v>0</v>
      </c>
      <c r="S60" s="220">
        <v>0</v>
      </c>
      <c r="T60" s="220">
        <v>0</v>
      </c>
      <c r="U60" s="220">
        <v>0</v>
      </c>
      <c r="V60" s="220">
        <v>0</v>
      </c>
      <c r="W60" s="220">
        <v>0</v>
      </c>
      <c r="X60" s="220">
        <v>0</v>
      </c>
      <c r="Y60" s="220">
        <v>229</v>
      </c>
      <c r="Z60" s="220">
        <v>229</v>
      </c>
      <c r="AA60" s="220">
        <v>229</v>
      </c>
      <c r="AB60" s="220">
        <v>0</v>
      </c>
      <c r="AC60" s="220">
        <v>0</v>
      </c>
      <c r="AD60" s="295">
        <v>0</v>
      </c>
    </row>
    <row r="61" spans="1:30" ht="11.25">
      <c r="A61" s="219" t="s">
        <v>359</v>
      </c>
      <c r="B61" s="218" t="s">
        <v>58</v>
      </c>
      <c r="C61" s="220">
        <v>0</v>
      </c>
      <c r="D61" s="220">
        <v>4</v>
      </c>
      <c r="E61" s="220">
        <v>0</v>
      </c>
      <c r="F61" s="220">
        <v>0</v>
      </c>
      <c r="G61" s="220">
        <v>0</v>
      </c>
      <c r="H61" s="220">
        <v>6</v>
      </c>
      <c r="I61" s="220">
        <v>15</v>
      </c>
      <c r="J61" s="220">
        <v>0</v>
      </c>
      <c r="K61" s="220">
        <v>0</v>
      </c>
      <c r="L61" s="220">
        <v>0</v>
      </c>
      <c r="M61" s="220">
        <v>0</v>
      </c>
      <c r="N61" s="220">
        <v>0</v>
      </c>
      <c r="O61" s="220">
        <v>0</v>
      </c>
      <c r="P61" s="220">
        <v>0</v>
      </c>
      <c r="Q61" s="220">
        <v>0</v>
      </c>
      <c r="R61" s="220">
        <v>0</v>
      </c>
      <c r="S61" s="220">
        <v>0</v>
      </c>
      <c r="T61" s="220">
        <v>92</v>
      </c>
      <c r="U61" s="220">
        <v>0</v>
      </c>
      <c r="V61" s="220">
        <v>0</v>
      </c>
      <c r="W61" s="220">
        <v>0</v>
      </c>
      <c r="X61" s="220">
        <v>94</v>
      </c>
      <c r="Y61" s="220">
        <v>1424</v>
      </c>
      <c r="Z61" s="220">
        <v>1610</v>
      </c>
      <c r="AA61" s="220">
        <v>1573.2</v>
      </c>
      <c r="AB61" s="220">
        <v>0</v>
      </c>
      <c r="AC61" s="220">
        <v>0</v>
      </c>
      <c r="AD61" s="295">
        <v>0</v>
      </c>
    </row>
    <row r="62" spans="1:30" ht="11.25">
      <c r="A62" s="218" t="s">
        <v>247</v>
      </c>
      <c r="B62" s="218" t="s">
        <v>58</v>
      </c>
      <c r="C62" s="220">
        <v>0</v>
      </c>
      <c r="D62" s="220">
        <v>6</v>
      </c>
      <c r="E62" s="220">
        <v>0</v>
      </c>
      <c r="F62" s="220">
        <v>0</v>
      </c>
      <c r="G62" s="220">
        <v>0</v>
      </c>
      <c r="H62" s="220">
        <v>8</v>
      </c>
      <c r="I62" s="220">
        <v>65</v>
      </c>
      <c r="J62" s="220">
        <v>23</v>
      </c>
      <c r="K62" s="220">
        <v>0</v>
      </c>
      <c r="L62" s="220">
        <v>0</v>
      </c>
      <c r="M62" s="220">
        <v>0</v>
      </c>
      <c r="N62" s="220">
        <v>0</v>
      </c>
      <c r="O62" s="220">
        <v>0</v>
      </c>
      <c r="P62" s="220">
        <v>0</v>
      </c>
      <c r="Q62" s="220">
        <v>0</v>
      </c>
      <c r="R62" s="220">
        <v>0</v>
      </c>
      <c r="S62" s="220">
        <v>0</v>
      </c>
      <c r="T62" s="220">
        <v>68</v>
      </c>
      <c r="U62" s="220">
        <v>0</v>
      </c>
      <c r="V62" s="220">
        <v>0</v>
      </c>
      <c r="W62" s="220">
        <v>0</v>
      </c>
      <c r="X62" s="220">
        <v>74</v>
      </c>
      <c r="Y62" s="220">
        <v>1166</v>
      </c>
      <c r="Z62" s="220">
        <v>1308</v>
      </c>
      <c r="AA62" s="220">
        <v>1280.8</v>
      </c>
      <c r="AB62" s="220">
        <v>0</v>
      </c>
      <c r="AC62" s="220">
        <v>0</v>
      </c>
      <c r="AD62" s="295">
        <v>0</v>
      </c>
    </row>
    <row r="63" spans="1:30" ht="11.25">
      <c r="A63" s="222" t="s">
        <v>360</v>
      </c>
      <c r="B63" s="218" t="s">
        <v>58</v>
      </c>
      <c r="C63" s="220">
        <v>0</v>
      </c>
      <c r="D63" s="220">
        <v>0</v>
      </c>
      <c r="E63" s="220">
        <v>0</v>
      </c>
      <c r="F63" s="220">
        <v>0</v>
      </c>
      <c r="G63" s="220">
        <v>0</v>
      </c>
      <c r="H63" s="220">
        <v>0</v>
      </c>
      <c r="I63" s="220">
        <v>3</v>
      </c>
      <c r="J63" s="220">
        <v>0</v>
      </c>
      <c r="K63" s="220">
        <v>0</v>
      </c>
      <c r="L63" s="220">
        <v>0</v>
      </c>
      <c r="M63" s="220">
        <v>0</v>
      </c>
      <c r="N63" s="220">
        <v>0</v>
      </c>
      <c r="O63" s="220">
        <v>0</v>
      </c>
      <c r="P63" s="220">
        <v>0</v>
      </c>
      <c r="Q63" s="220">
        <v>0</v>
      </c>
      <c r="R63" s="220">
        <v>0</v>
      </c>
      <c r="S63" s="220">
        <v>0</v>
      </c>
      <c r="T63" s="220">
        <v>22</v>
      </c>
      <c r="U63" s="220">
        <v>0</v>
      </c>
      <c r="V63" s="220">
        <v>0</v>
      </c>
      <c r="W63" s="220">
        <v>0</v>
      </c>
      <c r="X63" s="220">
        <v>27</v>
      </c>
      <c r="Y63" s="220">
        <v>171</v>
      </c>
      <c r="Z63" s="220">
        <v>220</v>
      </c>
      <c r="AA63" s="220">
        <v>211.2</v>
      </c>
      <c r="AB63" s="220">
        <v>0</v>
      </c>
      <c r="AC63" s="220">
        <v>0</v>
      </c>
      <c r="AD63" s="295">
        <v>0</v>
      </c>
    </row>
    <row r="64" spans="1:30" ht="11.25">
      <c r="A64" s="218" t="s">
        <v>361</v>
      </c>
      <c r="B64" s="218" t="s">
        <v>224</v>
      </c>
      <c r="C64" s="220">
        <v>0</v>
      </c>
      <c r="D64" s="220">
        <v>0</v>
      </c>
      <c r="E64" s="220">
        <v>0</v>
      </c>
      <c r="F64" s="220">
        <v>0</v>
      </c>
      <c r="G64" s="220">
        <v>0</v>
      </c>
      <c r="H64" s="220">
        <v>0</v>
      </c>
      <c r="I64" s="220">
        <v>4</v>
      </c>
      <c r="J64" s="220">
        <v>0</v>
      </c>
      <c r="K64" s="220">
        <v>0</v>
      </c>
      <c r="L64" s="220">
        <v>0</v>
      </c>
      <c r="M64" s="220">
        <v>0</v>
      </c>
      <c r="N64" s="220">
        <v>0</v>
      </c>
      <c r="O64" s="220">
        <v>0</v>
      </c>
      <c r="P64" s="220">
        <v>0</v>
      </c>
      <c r="Q64" s="220">
        <v>0</v>
      </c>
      <c r="R64" s="220">
        <v>0</v>
      </c>
      <c r="S64" s="220">
        <v>0</v>
      </c>
      <c r="T64" s="220">
        <v>0</v>
      </c>
      <c r="U64" s="220">
        <v>0</v>
      </c>
      <c r="V64" s="220">
        <v>0</v>
      </c>
      <c r="W64" s="220">
        <v>0</v>
      </c>
      <c r="X64" s="220">
        <v>41</v>
      </c>
      <c r="Y64" s="220">
        <v>66</v>
      </c>
      <c r="Z64" s="220">
        <v>107</v>
      </c>
      <c r="AA64" s="220">
        <v>107</v>
      </c>
      <c r="AB64" s="220">
        <v>0</v>
      </c>
      <c r="AC64" s="220">
        <v>0</v>
      </c>
      <c r="AD64" s="295">
        <v>0</v>
      </c>
    </row>
    <row r="65" spans="1:30" ht="11.25">
      <c r="A65" s="221" t="s">
        <v>99</v>
      </c>
      <c r="B65" s="218" t="s">
        <v>58</v>
      </c>
      <c r="C65" s="220">
        <v>0</v>
      </c>
      <c r="D65" s="220">
        <v>0</v>
      </c>
      <c r="E65" s="220">
        <v>0</v>
      </c>
      <c r="F65" s="220">
        <v>0</v>
      </c>
      <c r="G65" s="220">
        <v>0</v>
      </c>
      <c r="H65" s="220">
        <v>0</v>
      </c>
      <c r="I65" s="220">
        <v>18</v>
      </c>
      <c r="J65" s="220">
        <v>13</v>
      </c>
      <c r="K65" s="220">
        <v>0</v>
      </c>
      <c r="L65" s="220">
        <v>0</v>
      </c>
      <c r="M65" s="220">
        <v>0</v>
      </c>
      <c r="N65" s="220">
        <v>0</v>
      </c>
      <c r="O65" s="220">
        <v>0</v>
      </c>
      <c r="P65" s="220">
        <v>0</v>
      </c>
      <c r="Q65" s="220">
        <v>0</v>
      </c>
      <c r="R65" s="220">
        <v>0</v>
      </c>
      <c r="S65" s="220">
        <v>0</v>
      </c>
      <c r="T65" s="220">
        <v>0</v>
      </c>
      <c r="U65" s="220">
        <v>0</v>
      </c>
      <c r="V65" s="220">
        <v>0</v>
      </c>
      <c r="W65" s="220">
        <v>0</v>
      </c>
      <c r="X65" s="220">
        <v>0</v>
      </c>
      <c r="Y65" s="220">
        <v>31</v>
      </c>
      <c r="Z65" s="220">
        <v>31</v>
      </c>
      <c r="AA65" s="220">
        <v>31</v>
      </c>
      <c r="AB65" s="220">
        <v>0</v>
      </c>
      <c r="AC65" s="220">
        <v>0</v>
      </c>
      <c r="AD65" s="295">
        <v>0</v>
      </c>
    </row>
    <row r="66" spans="1:30" ht="11.25">
      <c r="A66" s="220" t="s">
        <v>362</v>
      </c>
      <c r="B66" s="218" t="s">
        <v>382</v>
      </c>
      <c r="C66" s="220">
        <v>0</v>
      </c>
      <c r="D66" s="220">
        <v>0</v>
      </c>
      <c r="E66" s="220">
        <v>0</v>
      </c>
      <c r="F66" s="220">
        <v>0</v>
      </c>
      <c r="G66" s="220">
        <v>0</v>
      </c>
      <c r="H66" s="220">
        <v>0</v>
      </c>
      <c r="I66" s="220">
        <v>9</v>
      </c>
      <c r="J66" s="220">
        <v>0</v>
      </c>
      <c r="K66" s="220">
        <v>0</v>
      </c>
      <c r="L66" s="220">
        <v>0</v>
      </c>
      <c r="M66" s="220">
        <v>0</v>
      </c>
      <c r="N66" s="220">
        <v>0</v>
      </c>
      <c r="O66" s="220">
        <v>0</v>
      </c>
      <c r="P66" s="220">
        <v>0</v>
      </c>
      <c r="Q66" s="220">
        <v>0</v>
      </c>
      <c r="R66" s="220">
        <v>0</v>
      </c>
      <c r="S66" s="220">
        <v>76</v>
      </c>
      <c r="T66" s="220">
        <v>0</v>
      </c>
      <c r="U66" s="220">
        <v>0</v>
      </c>
      <c r="V66" s="220">
        <v>0</v>
      </c>
      <c r="W66" s="220">
        <v>0</v>
      </c>
      <c r="X66" s="220">
        <v>69</v>
      </c>
      <c r="Y66" s="220">
        <v>1291</v>
      </c>
      <c r="Z66" s="220">
        <v>1436</v>
      </c>
      <c r="AA66" s="220">
        <v>1398</v>
      </c>
      <c r="AB66" s="220">
        <v>0</v>
      </c>
      <c r="AC66" s="220">
        <v>0</v>
      </c>
      <c r="AD66" s="295">
        <v>0</v>
      </c>
    </row>
    <row r="67" spans="1:30" ht="11.25">
      <c r="A67" s="220" t="s">
        <v>363</v>
      </c>
      <c r="B67" s="218" t="s">
        <v>383</v>
      </c>
      <c r="C67" s="220">
        <v>0</v>
      </c>
      <c r="D67" s="220">
        <v>0</v>
      </c>
      <c r="E67" s="220">
        <v>0</v>
      </c>
      <c r="F67" s="220">
        <v>0</v>
      </c>
      <c r="G67" s="220">
        <v>0</v>
      </c>
      <c r="H67" s="220">
        <v>1</v>
      </c>
      <c r="I67" s="220">
        <v>6</v>
      </c>
      <c r="J67" s="220">
        <v>0</v>
      </c>
      <c r="K67" s="220">
        <v>0</v>
      </c>
      <c r="L67" s="220">
        <v>0</v>
      </c>
      <c r="M67" s="220">
        <v>0</v>
      </c>
      <c r="N67" s="220">
        <v>0</v>
      </c>
      <c r="O67" s="220">
        <v>0</v>
      </c>
      <c r="P67" s="220">
        <v>0</v>
      </c>
      <c r="Q67" s="220">
        <v>0</v>
      </c>
      <c r="R67" s="220">
        <v>0</v>
      </c>
      <c r="S67" s="220">
        <v>0</v>
      </c>
      <c r="T67" s="220">
        <v>0</v>
      </c>
      <c r="U67" s="220">
        <v>0</v>
      </c>
      <c r="V67" s="220">
        <v>0</v>
      </c>
      <c r="W67" s="220">
        <v>0</v>
      </c>
      <c r="X67" s="220">
        <v>23</v>
      </c>
      <c r="Y67" s="220">
        <v>167</v>
      </c>
      <c r="Z67" s="220">
        <v>190</v>
      </c>
      <c r="AA67" s="220">
        <v>190</v>
      </c>
      <c r="AB67" s="220">
        <v>0</v>
      </c>
      <c r="AC67" s="220">
        <v>0</v>
      </c>
      <c r="AD67" s="295">
        <v>0</v>
      </c>
    </row>
    <row r="68" spans="1:30" ht="11.25">
      <c r="A68" s="220" t="s">
        <v>248</v>
      </c>
      <c r="B68" s="218" t="s">
        <v>249</v>
      </c>
      <c r="C68" s="220">
        <v>0</v>
      </c>
      <c r="D68" s="220">
        <v>0</v>
      </c>
      <c r="E68" s="220">
        <v>0</v>
      </c>
      <c r="F68" s="220">
        <v>0</v>
      </c>
      <c r="G68" s="220">
        <v>0</v>
      </c>
      <c r="H68" s="220">
        <v>1</v>
      </c>
      <c r="I68" s="220">
        <v>14</v>
      </c>
      <c r="J68" s="220">
        <v>0</v>
      </c>
      <c r="K68" s="220">
        <v>0</v>
      </c>
      <c r="L68" s="220">
        <v>0</v>
      </c>
      <c r="M68" s="220">
        <v>0</v>
      </c>
      <c r="N68" s="220">
        <v>0</v>
      </c>
      <c r="O68" s="220">
        <v>0</v>
      </c>
      <c r="P68" s="220">
        <v>0</v>
      </c>
      <c r="Q68" s="220">
        <v>1</v>
      </c>
      <c r="R68" s="220">
        <v>0</v>
      </c>
      <c r="S68" s="220">
        <v>0</v>
      </c>
      <c r="T68" s="220">
        <v>0</v>
      </c>
      <c r="U68" s="220">
        <v>0</v>
      </c>
      <c r="V68" s="220">
        <v>0</v>
      </c>
      <c r="W68" s="220">
        <v>0</v>
      </c>
      <c r="X68" s="220">
        <v>9</v>
      </c>
      <c r="Y68" s="220">
        <v>111</v>
      </c>
      <c r="Z68" s="220">
        <v>120</v>
      </c>
      <c r="AA68" s="220">
        <v>120</v>
      </c>
      <c r="AB68" s="220">
        <v>0</v>
      </c>
      <c r="AC68" s="220">
        <v>0</v>
      </c>
      <c r="AD68" s="295">
        <v>0</v>
      </c>
    </row>
    <row r="69" spans="1:30" ht="11.25">
      <c r="A69" s="220" t="s">
        <v>364</v>
      </c>
      <c r="B69" s="218" t="s">
        <v>384</v>
      </c>
      <c r="C69" s="220">
        <v>2</v>
      </c>
      <c r="D69" s="220">
        <v>0</v>
      </c>
      <c r="E69" s="220">
        <v>0</v>
      </c>
      <c r="F69" s="220">
        <v>0</v>
      </c>
      <c r="G69" s="220">
        <v>0</v>
      </c>
      <c r="H69" s="220">
        <v>0</v>
      </c>
      <c r="I69" s="220">
        <v>8</v>
      </c>
      <c r="J69" s="220">
        <v>0</v>
      </c>
      <c r="K69" s="220">
        <v>0</v>
      </c>
      <c r="L69" s="220">
        <v>0</v>
      </c>
      <c r="M69" s="220">
        <v>0</v>
      </c>
      <c r="N69" s="220">
        <v>0</v>
      </c>
      <c r="O69" s="220">
        <v>0</v>
      </c>
      <c r="P69" s="220">
        <v>0</v>
      </c>
      <c r="Q69" s="220">
        <v>0</v>
      </c>
      <c r="R69" s="220">
        <v>0</v>
      </c>
      <c r="S69" s="220">
        <v>17</v>
      </c>
      <c r="T69" s="220">
        <v>0</v>
      </c>
      <c r="U69" s="220">
        <v>0</v>
      </c>
      <c r="V69" s="220">
        <v>0</v>
      </c>
      <c r="W69" s="220">
        <v>0</v>
      </c>
      <c r="X69" s="220">
        <v>3</v>
      </c>
      <c r="Y69" s="220">
        <v>61</v>
      </c>
      <c r="Z69" s="220">
        <v>81</v>
      </c>
      <c r="AA69" s="220">
        <v>72.5</v>
      </c>
      <c r="AB69" s="220">
        <v>0</v>
      </c>
      <c r="AC69" s="220">
        <v>0</v>
      </c>
      <c r="AD69" s="295">
        <v>0</v>
      </c>
    </row>
    <row r="70" spans="1:30" ht="11.25">
      <c r="A70" s="220" t="s">
        <v>365</v>
      </c>
      <c r="B70" s="218" t="s">
        <v>385</v>
      </c>
      <c r="C70" s="220">
        <v>2</v>
      </c>
      <c r="D70" s="220">
        <v>0</v>
      </c>
      <c r="E70" s="220">
        <v>0</v>
      </c>
      <c r="F70" s="220">
        <v>0</v>
      </c>
      <c r="G70" s="220">
        <v>0</v>
      </c>
      <c r="H70" s="220">
        <v>0</v>
      </c>
      <c r="I70" s="220">
        <v>1</v>
      </c>
      <c r="J70" s="220">
        <v>0</v>
      </c>
      <c r="K70" s="220">
        <v>0</v>
      </c>
      <c r="L70" s="220">
        <v>0</v>
      </c>
      <c r="M70" s="220">
        <v>0</v>
      </c>
      <c r="N70" s="220">
        <v>0</v>
      </c>
      <c r="O70" s="220">
        <v>0</v>
      </c>
      <c r="P70" s="220">
        <v>0</v>
      </c>
      <c r="Q70" s="220">
        <v>0</v>
      </c>
      <c r="R70" s="220">
        <v>0</v>
      </c>
      <c r="S70" s="220">
        <v>13</v>
      </c>
      <c r="T70" s="220">
        <v>0</v>
      </c>
      <c r="U70" s="220">
        <v>0</v>
      </c>
      <c r="V70" s="220">
        <v>0</v>
      </c>
      <c r="W70" s="220">
        <v>0</v>
      </c>
      <c r="X70" s="220">
        <v>11</v>
      </c>
      <c r="Y70" s="220">
        <v>74</v>
      </c>
      <c r="Z70" s="220">
        <v>98</v>
      </c>
      <c r="AA70" s="220">
        <v>91.5</v>
      </c>
      <c r="AB70" s="220">
        <v>0</v>
      </c>
      <c r="AC70" s="220">
        <v>0</v>
      </c>
      <c r="AD70" s="295">
        <v>0</v>
      </c>
    </row>
    <row r="71" spans="1:30" ht="11.25">
      <c r="A71" s="220" t="s">
        <v>366</v>
      </c>
      <c r="B71" s="218" t="s">
        <v>386</v>
      </c>
      <c r="C71" s="220">
        <v>0</v>
      </c>
      <c r="D71" s="220">
        <v>0</v>
      </c>
      <c r="E71" s="220">
        <v>0</v>
      </c>
      <c r="F71" s="220">
        <v>0</v>
      </c>
      <c r="G71" s="220">
        <v>0</v>
      </c>
      <c r="H71" s="220">
        <v>0</v>
      </c>
      <c r="I71" s="220">
        <v>1</v>
      </c>
      <c r="J71" s="220">
        <v>0</v>
      </c>
      <c r="K71" s="220">
        <v>0</v>
      </c>
      <c r="L71" s="220">
        <v>0</v>
      </c>
      <c r="M71" s="220">
        <v>0</v>
      </c>
      <c r="N71" s="220">
        <v>0</v>
      </c>
      <c r="O71" s="220">
        <v>0</v>
      </c>
      <c r="P71" s="220">
        <v>0</v>
      </c>
      <c r="Q71" s="220">
        <v>0</v>
      </c>
      <c r="R71" s="220">
        <v>0</v>
      </c>
      <c r="S71" s="220">
        <v>3</v>
      </c>
      <c r="T71" s="220">
        <v>0</v>
      </c>
      <c r="U71" s="220">
        <v>0</v>
      </c>
      <c r="V71" s="220">
        <v>0</v>
      </c>
      <c r="W71" s="220">
        <v>0</v>
      </c>
      <c r="X71" s="220">
        <v>8</v>
      </c>
      <c r="Y71" s="220">
        <v>52</v>
      </c>
      <c r="Z71" s="220">
        <v>63</v>
      </c>
      <c r="AA71" s="220">
        <v>61.5</v>
      </c>
      <c r="AB71" s="220">
        <v>0</v>
      </c>
      <c r="AC71" s="220">
        <v>0</v>
      </c>
      <c r="AD71" s="295">
        <v>0</v>
      </c>
    </row>
    <row r="72" spans="1:30" ht="11.25">
      <c r="A72" s="218" t="s">
        <v>250</v>
      </c>
      <c r="B72" s="218" t="s">
        <v>251</v>
      </c>
      <c r="C72" s="220">
        <v>0</v>
      </c>
      <c r="D72" s="220">
        <v>0</v>
      </c>
      <c r="E72" s="220">
        <v>0</v>
      </c>
      <c r="F72" s="220">
        <v>0</v>
      </c>
      <c r="G72" s="220">
        <v>0</v>
      </c>
      <c r="H72" s="220">
        <v>0</v>
      </c>
      <c r="I72" s="220">
        <v>10</v>
      </c>
      <c r="J72" s="220">
        <v>5</v>
      </c>
      <c r="K72" s="220">
        <v>0</v>
      </c>
      <c r="L72" s="220">
        <v>0</v>
      </c>
      <c r="M72" s="220">
        <v>0</v>
      </c>
      <c r="N72" s="220">
        <v>0</v>
      </c>
      <c r="O72" s="220">
        <v>0</v>
      </c>
      <c r="P72" s="220">
        <v>0</v>
      </c>
      <c r="Q72" s="220">
        <v>0</v>
      </c>
      <c r="R72" s="220">
        <v>0</v>
      </c>
      <c r="S72" s="220">
        <v>40</v>
      </c>
      <c r="T72" s="220">
        <v>0</v>
      </c>
      <c r="U72" s="220">
        <v>0</v>
      </c>
      <c r="V72" s="220">
        <v>0</v>
      </c>
      <c r="W72" s="220">
        <v>0</v>
      </c>
      <c r="X72" s="220">
        <v>42</v>
      </c>
      <c r="Y72" s="220">
        <v>665</v>
      </c>
      <c r="Z72" s="220">
        <v>747</v>
      </c>
      <c r="AA72" s="220">
        <v>727</v>
      </c>
      <c r="AB72" s="220">
        <v>0</v>
      </c>
      <c r="AC72" s="220">
        <v>0</v>
      </c>
      <c r="AD72" s="295">
        <v>0</v>
      </c>
    </row>
    <row r="73" spans="1:30" ht="11.25">
      <c r="A73" s="220" t="s">
        <v>367</v>
      </c>
      <c r="B73" s="218" t="s">
        <v>387</v>
      </c>
      <c r="C73" s="220">
        <v>0</v>
      </c>
      <c r="D73" s="220">
        <v>0</v>
      </c>
      <c r="E73" s="220">
        <v>0</v>
      </c>
      <c r="F73" s="220">
        <v>0</v>
      </c>
      <c r="G73" s="220">
        <v>0</v>
      </c>
      <c r="H73" s="220">
        <v>0</v>
      </c>
      <c r="I73" s="220">
        <v>3</v>
      </c>
      <c r="J73" s="220">
        <v>0</v>
      </c>
      <c r="K73" s="220">
        <v>0</v>
      </c>
      <c r="L73" s="220">
        <v>0</v>
      </c>
      <c r="M73" s="220">
        <v>0</v>
      </c>
      <c r="N73" s="220">
        <v>0</v>
      </c>
      <c r="O73" s="220">
        <v>0</v>
      </c>
      <c r="P73" s="220">
        <v>0</v>
      </c>
      <c r="Q73" s="220">
        <v>0</v>
      </c>
      <c r="R73" s="220">
        <v>0</v>
      </c>
      <c r="S73" s="220">
        <v>22</v>
      </c>
      <c r="T73" s="220">
        <v>0</v>
      </c>
      <c r="U73" s="220">
        <v>0</v>
      </c>
      <c r="V73" s="220">
        <v>0</v>
      </c>
      <c r="W73" s="220">
        <v>0</v>
      </c>
      <c r="X73" s="220">
        <v>10</v>
      </c>
      <c r="Y73" s="220">
        <v>82</v>
      </c>
      <c r="Z73" s="220">
        <v>114</v>
      </c>
      <c r="AA73" s="220">
        <v>103</v>
      </c>
      <c r="AB73" s="220">
        <v>0</v>
      </c>
      <c r="AC73" s="220">
        <v>0</v>
      </c>
      <c r="AD73" s="295">
        <v>0</v>
      </c>
    </row>
    <row r="74" spans="1:30" ht="11.25">
      <c r="A74" s="221" t="s">
        <v>252</v>
      </c>
      <c r="B74" s="218" t="s">
        <v>58</v>
      </c>
      <c r="C74" s="220">
        <v>0</v>
      </c>
      <c r="D74" s="220">
        <v>0</v>
      </c>
      <c r="E74" s="220">
        <v>0</v>
      </c>
      <c r="F74" s="220">
        <v>0</v>
      </c>
      <c r="G74" s="220">
        <v>0</v>
      </c>
      <c r="H74" s="220">
        <v>1</v>
      </c>
      <c r="I74" s="220">
        <v>3</v>
      </c>
      <c r="J74" s="220">
        <v>0</v>
      </c>
      <c r="K74" s="220">
        <v>0</v>
      </c>
      <c r="L74" s="220">
        <v>0</v>
      </c>
      <c r="M74" s="220">
        <v>0</v>
      </c>
      <c r="N74" s="220">
        <v>0</v>
      </c>
      <c r="O74" s="220">
        <v>0</v>
      </c>
      <c r="P74" s="220">
        <v>0</v>
      </c>
      <c r="Q74" s="220">
        <v>0</v>
      </c>
      <c r="R74" s="220">
        <v>0</v>
      </c>
      <c r="S74" s="220">
        <v>18</v>
      </c>
      <c r="T74" s="220">
        <v>0</v>
      </c>
      <c r="U74" s="220">
        <v>0</v>
      </c>
      <c r="V74" s="220">
        <v>0</v>
      </c>
      <c r="W74" s="220">
        <v>0</v>
      </c>
      <c r="X74" s="220">
        <v>25</v>
      </c>
      <c r="Y74" s="220">
        <v>128</v>
      </c>
      <c r="Z74" s="220">
        <v>171</v>
      </c>
      <c r="AA74" s="220">
        <v>162</v>
      </c>
      <c r="AB74" s="220">
        <v>0</v>
      </c>
      <c r="AC74" s="220">
        <v>0</v>
      </c>
      <c r="AD74" s="295">
        <v>0</v>
      </c>
    </row>
    <row r="75" spans="1:30" ht="11.25">
      <c r="A75" s="218" t="s">
        <v>63</v>
      </c>
      <c r="B75" s="218" t="s">
        <v>58</v>
      </c>
      <c r="C75" s="220">
        <v>0</v>
      </c>
      <c r="D75" s="220">
        <v>2</v>
      </c>
      <c r="E75" s="220">
        <v>0</v>
      </c>
      <c r="F75" s="220">
        <v>0</v>
      </c>
      <c r="G75" s="220">
        <v>0</v>
      </c>
      <c r="H75" s="220">
        <v>12</v>
      </c>
      <c r="I75" s="220">
        <v>67</v>
      </c>
      <c r="J75" s="220">
        <v>0</v>
      </c>
      <c r="K75" s="220">
        <v>0</v>
      </c>
      <c r="L75" s="220">
        <v>0</v>
      </c>
      <c r="M75" s="220">
        <v>0</v>
      </c>
      <c r="N75" s="220">
        <v>0</v>
      </c>
      <c r="O75" s="220">
        <v>0</v>
      </c>
      <c r="P75" s="220">
        <v>0</v>
      </c>
      <c r="Q75" s="220">
        <v>0</v>
      </c>
      <c r="R75" s="220">
        <v>0</v>
      </c>
      <c r="S75" s="220">
        <v>0</v>
      </c>
      <c r="T75" s="220">
        <v>96</v>
      </c>
      <c r="U75" s="220">
        <v>0</v>
      </c>
      <c r="V75" s="220">
        <v>0</v>
      </c>
      <c r="W75" s="220">
        <v>0</v>
      </c>
      <c r="X75" s="220">
        <v>96</v>
      </c>
      <c r="Y75" s="220">
        <v>664</v>
      </c>
      <c r="Z75" s="220">
        <v>856</v>
      </c>
      <c r="AA75" s="220">
        <v>817.6</v>
      </c>
      <c r="AB75" s="220">
        <v>15</v>
      </c>
      <c r="AC75" s="220">
        <v>0</v>
      </c>
      <c r="AD75" s="295">
        <v>7665.790000000001</v>
      </c>
    </row>
    <row r="76" spans="1:30" ht="11.25">
      <c r="A76" s="220" t="s">
        <v>368</v>
      </c>
      <c r="B76" s="218" t="s">
        <v>239</v>
      </c>
      <c r="C76" s="220">
        <v>0</v>
      </c>
      <c r="D76" s="220">
        <v>0</v>
      </c>
      <c r="E76" s="220">
        <v>0</v>
      </c>
      <c r="F76" s="220">
        <v>0</v>
      </c>
      <c r="G76" s="220">
        <v>0</v>
      </c>
      <c r="H76" s="220">
        <v>1</v>
      </c>
      <c r="I76" s="220">
        <v>6</v>
      </c>
      <c r="J76" s="220">
        <v>0</v>
      </c>
      <c r="K76" s="220">
        <v>0</v>
      </c>
      <c r="L76" s="220">
        <v>0</v>
      </c>
      <c r="M76" s="220">
        <v>0</v>
      </c>
      <c r="N76" s="220">
        <v>0</v>
      </c>
      <c r="O76" s="220">
        <v>0</v>
      </c>
      <c r="P76" s="220">
        <v>0</v>
      </c>
      <c r="Q76" s="220">
        <v>0</v>
      </c>
      <c r="R76" s="220">
        <v>0</v>
      </c>
      <c r="S76" s="220">
        <v>0</v>
      </c>
      <c r="T76" s="220">
        <v>0</v>
      </c>
      <c r="U76" s="220">
        <v>0</v>
      </c>
      <c r="V76" s="220">
        <v>0</v>
      </c>
      <c r="W76" s="220">
        <v>0</v>
      </c>
      <c r="X76" s="220">
        <v>16</v>
      </c>
      <c r="Y76" s="220">
        <v>165</v>
      </c>
      <c r="Z76" s="220">
        <v>181</v>
      </c>
      <c r="AA76" s="220">
        <v>181</v>
      </c>
      <c r="AB76" s="220">
        <v>0</v>
      </c>
      <c r="AC76" s="220">
        <v>0</v>
      </c>
      <c r="AD76" s="295">
        <v>0</v>
      </c>
    </row>
    <row r="77" spans="1:30" ht="11.25">
      <c r="A77" s="218" t="s">
        <v>100</v>
      </c>
      <c r="B77" s="218" t="s">
        <v>58</v>
      </c>
      <c r="C77" s="220">
        <v>0</v>
      </c>
      <c r="D77" s="220">
        <v>0</v>
      </c>
      <c r="E77" s="220">
        <v>0</v>
      </c>
      <c r="F77" s="220">
        <v>0</v>
      </c>
      <c r="G77" s="220">
        <v>0</v>
      </c>
      <c r="H77" s="220">
        <v>1</v>
      </c>
      <c r="I77" s="220">
        <v>3</v>
      </c>
      <c r="J77" s="220">
        <v>0</v>
      </c>
      <c r="K77" s="220">
        <v>0</v>
      </c>
      <c r="L77" s="220">
        <v>0</v>
      </c>
      <c r="M77" s="220">
        <v>0</v>
      </c>
      <c r="N77" s="220">
        <v>0</v>
      </c>
      <c r="O77" s="220">
        <v>0</v>
      </c>
      <c r="P77" s="220">
        <v>0</v>
      </c>
      <c r="Q77" s="220">
        <v>0</v>
      </c>
      <c r="R77" s="220">
        <v>0</v>
      </c>
      <c r="S77" s="220">
        <v>0</v>
      </c>
      <c r="T77" s="220">
        <v>13</v>
      </c>
      <c r="U77" s="220">
        <v>0</v>
      </c>
      <c r="V77" s="220">
        <v>0</v>
      </c>
      <c r="W77" s="220">
        <v>0</v>
      </c>
      <c r="X77" s="220">
        <v>20</v>
      </c>
      <c r="Y77" s="220">
        <v>155</v>
      </c>
      <c r="Z77" s="220">
        <v>188</v>
      </c>
      <c r="AA77" s="220">
        <v>182.8</v>
      </c>
      <c r="AB77" s="220">
        <v>1</v>
      </c>
      <c r="AC77" s="220">
        <v>0</v>
      </c>
      <c r="AD77" s="295">
        <v>621.55</v>
      </c>
    </row>
    <row r="78" spans="1:30" ht="11.25">
      <c r="A78" s="220" t="s">
        <v>369</v>
      </c>
      <c r="B78" s="218" t="s">
        <v>255</v>
      </c>
      <c r="C78" s="220">
        <v>0</v>
      </c>
      <c r="D78" s="220">
        <v>0</v>
      </c>
      <c r="E78" s="220">
        <v>0</v>
      </c>
      <c r="F78" s="220">
        <v>0</v>
      </c>
      <c r="G78" s="220">
        <v>0</v>
      </c>
      <c r="H78" s="220">
        <v>0</v>
      </c>
      <c r="I78" s="220">
        <v>2</v>
      </c>
      <c r="J78" s="220">
        <v>0</v>
      </c>
      <c r="K78" s="220">
        <v>0</v>
      </c>
      <c r="L78" s="219">
        <v>0</v>
      </c>
      <c r="M78" s="219">
        <v>0</v>
      </c>
      <c r="N78" s="219">
        <v>0</v>
      </c>
      <c r="O78" s="219">
        <v>0</v>
      </c>
      <c r="P78" s="219">
        <v>0</v>
      </c>
      <c r="Q78" s="219">
        <v>0</v>
      </c>
      <c r="R78" s="220">
        <v>0</v>
      </c>
      <c r="S78" s="219">
        <v>17</v>
      </c>
      <c r="T78" s="220">
        <v>0</v>
      </c>
      <c r="U78" s="220">
        <v>0</v>
      </c>
      <c r="V78" s="219">
        <v>0</v>
      </c>
      <c r="W78" s="219">
        <v>0</v>
      </c>
      <c r="X78" s="219">
        <v>14</v>
      </c>
      <c r="Y78" s="219">
        <v>47</v>
      </c>
      <c r="Z78" s="219">
        <v>78</v>
      </c>
      <c r="AA78" s="219">
        <v>69.5</v>
      </c>
      <c r="AB78" s="220">
        <v>0</v>
      </c>
      <c r="AC78" s="220">
        <v>0</v>
      </c>
      <c r="AD78" s="295">
        <v>0</v>
      </c>
    </row>
    <row r="79" spans="1:30" ht="11.25">
      <c r="A79" s="220" t="s">
        <v>132</v>
      </c>
      <c r="B79" s="218" t="s">
        <v>133</v>
      </c>
      <c r="C79" s="220">
        <v>3</v>
      </c>
      <c r="D79" s="220">
        <v>0</v>
      </c>
      <c r="E79" s="220">
        <v>0</v>
      </c>
      <c r="F79" s="220">
        <v>0</v>
      </c>
      <c r="G79" s="220">
        <v>0</v>
      </c>
      <c r="H79" s="220">
        <v>6</v>
      </c>
      <c r="I79" s="220">
        <v>25</v>
      </c>
      <c r="J79" s="220">
        <v>8</v>
      </c>
      <c r="K79" s="220">
        <v>0</v>
      </c>
      <c r="L79" s="219">
        <v>0</v>
      </c>
      <c r="M79" s="219">
        <v>0</v>
      </c>
      <c r="N79" s="219">
        <v>0</v>
      </c>
      <c r="O79" s="219">
        <v>0</v>
      </c>
      <c r="P79" s="219">
        <v>0</v>
      </c>
      <c r="Q79" s="219">
        <v>5</v>
      </c>
      <c r="R79" s="220">
        <v>0</v>
      </c>
      <c r="S79" s="219">
        <v>38</v>
      </c>
      <c r="T79" s="220">
        <v>0</v>
      </c>
      <c r="U79" s="220">
        <v>0</v>
      </c>
      <c r="V79" s="219">
        <v>0</v>
      </c>
      <c r="W79" s="219">
        <v>0</v>
      </c>
      <c r="X79" s="219">
        <v>65</v>
      </c>
      <c r="Y79" s="219">
        <v>772</v>
      </c>
      <c r="Z79" s="219">
        <v>875</v>
      </c>
      <c r="AA79" s="219">
        <v>856</v>
      </c>
      <c r="AB79" s="220">
        <v>0</v>
      </c>
      <c r="AC79" s="220">
        <v>0</v>
      </c>
      <c r="AD79" s="295">
        <v>0</v>
      </c>
    </row>
    <row r="80" spans="1:30" ht="11.25">
      <c r="A80" s="220" t="s">
        <v>253</v>
      </c>
      <c r="B80" s="218" t="s">
        <v>206</v>
      </c>
      <c r="C80" s="220">
        <v>0</v>
      </c>
      <c r="D80" s="220">
        <v>0</v>
      </c>
      <c r="E80" s="220">
        <v>0</v>
      </c>
      <c r="F80" s="220">
        <v>0</v>
      </c>
      <c r="G80" s="220">
        <v>0</v>
      </c>
      <c r="H80" s="220">
        <v>0</v>
      </c>
      <c r="I80" s="220">
        <v>6</v>
      </c>
      <c r="J80" s="220">
        <v>0</v>
      </c>
      <c r="K80" s="220">
        <v>0</v>
      </c>
      <c r="L80" s="219">
        <v>0</v>
      </c>
      <c r="M80" s="219">
        <v>0</v>
      </c>
      <c r="N80" s="219">
        <v>0</v>
      </c>
      <c r="O80" s="219">
        <v>0</v>
      </c>
      <c r="P80" s="219">
        <v>0</v>
      </c>
      <c r="Q80" s="219">
        <v>0</v>
      </c>
      <c r="R80" s="220">
        <v>0</v>
      </c>
      <c r="S80" s="219">
        <v>15</v>
      </c>
      <c r="T80" s="220">
        <v>0</v>
      </c>
      <c r="U80" s="220">
        <v>0</v>
      </c>
      <c r="V80" s="219">
        <v>0</v>
      </c>
      <c r="W80" s="219">
        <v>0</v>
      </c>
      <c r="X80" s="219">
        <v>17</v>
      </c>
      <c r="Y80" s="219">
        <v>133</v>
      </c>
      <c r="Z80" s="219">
        <v>165</v>
      </c>
      <c r="AA80" s="219">
        <v>157.5</v>
      </c>
      <c r="AB80" s="220">
        <v>0</v>
      </c>
      <c r="AC80" s="220">
        <v>0</v>
      </c>
      <c r="AD80" s="295">
        <v>0</v>
      </c>
    </row>
    <row r="81" spans="1:30" ht="11.25">
      <c r="A81" s="220" t="s">
        <v>370</v>
      </c>
      <c r="B81" s="218" t="s">
        <v>388</v>
      </c>
      <c r="C81" s="220">
        <v>3</v>
      </c>
      <c r="D81" s="220">
        <v>0</v>
      </c>
      <c r="E81" s="220">
        <v>0</v>
      </c>
      <c r="F81" s="220">
        <v>0</v>
      </c>
      <c r="G81" s="220">
        <v>0</v>
      </c>
      <c r="H81" s="220">
        <v>1</v>
      </c>
      <c r="I81" s="220">
        <v>5</v>
      </c>
      <c r="J81" s="220">
        <v>0</v>
      </c>
      <c r="K81" s="220">
        <v>0</v>
      </c>
      <c r="L81" s="219">
        <v>0</v>
      </c>
      <c r="M81" s="219">
        <v>0</v>
      </c>
      <c r="N81" s="219">
        <v>0</v>
      </c>
      <c r="O81" s="219">
        <v>0</v>
      </c>
      <c r="P81" s="219">
        <v>0</v>
      </c>
      <c r="Q81" s="219">
        <v>0</v>
      </c>
      <c r="R81" s="220">
        <v>0</v>
      </c>
      <c r="S81" s="219">
        <v>17</v>
      </c>
      <c r="T81" s="220">
        <v>0</v>
      </c>
      <c r="U81" s="220">
        <v>0</v>
      </c>
      <c r="V81" s="219">
        <v>0</v>
      </c>
      <c r="W81" s="219">
        <v>0</v>
      </c>
      <c r="X81" s="219">
        <v>23</v>
      </c>
      <c r="Y81" s="219">
        <v>155</v>
      </c>
      <c r="Z81" s="219">
        <v>195</v>
      </c>
      <c r="AA81" s="219">
        <v>186.5</v>
      </c>
      <c r="AB81" s="220">
        <v>0</v>
      </c>
      <c r="AC81" s="220">
        <v>0</v>
      </c>
      <c r="AD81" s="295">
        <v>0</v>
      </c>
    </row>
    <row r="82" spans="1:30" ht="11.25">
      <c r="A82" s="220" t="s">
        <v>371</v>
      </c>
      <c r="B82" s="218" t="s">
        <v>239</v>
      </c>
      <c r="C82" s="220">
        <v>0</v>
      </c>
      <c r="D82" s="220">
        <v>0</v>
      </c>
      <c r="E82" s="220">
        <v>0</v>
      </c>
      <c r="F82" s="220">
        <v>0</v>
      </c>
      <c r="G82" s="220">
        <v>0</v>
      </c>
      <c r="H82" s="220">
        <v>0</v>
      </c>
      <c r="I82" s="220">
        <v>7</v>
      </c>
      <c r="J82" s="220">
        <v>0</v>
      </c>
      <c r="K82" s="220">
        <v>0</v>
      </c>
      <c r="L82" s="219">
        <v>0</v>
      </c>
      <c r="M82" s="219">
        <v>0</v>
      </c>
      <c r="N82" s="219">
        <v>0</v>
      </c>
      <c r="O82" s="219">
        <v>0</v>
      </c>
      <c r="P82" s="219">
        <v>0</v>
      </c>
      <c r="Q82" s="219">
        <v>0</v>
      </c>
      <c r="R82" s="220">
        <v>0</v>
      </c>
      <c r="S82" s="219">
        <v>15</v>
      </c>
      <c r="T82" s="220">
        <v>0</v>
      </c>
      <c r="U82" s="220">
        <v>0</v>
      </c>
      <c r="V82" s="219">
        <v>0</v>
      </c>
      <c r="W82" s="219">
        <v>0</v>
      </c>
      <c r="X82" s="219">
        <v>12</v>
      </c>
      <c r="Y82" s="219">
        <v>86</v>
      </c>
      <c r="Z82" s="219">
        <v>113</v>
      </c>
      <c r="AA82" s="219">
        <v>105.5</v>
      </c>
      <c r="AB82" s="220">
        <v>0</v>
      </c>
      <c r="AC82" s="220">
        <v>0</v>
      </c>
      <c r="AD82" s="295">
        <v>0</v>
      </c>
    </row>
    <row r="83" spans="1:30" ht="11.25">
      <c r="A83" s="220" t="s">
        <v>254</v>
      </c>
      <c r="B83" s="218" t="s">
        <v>255</v>
      </c>
      <c r="C83" s="220">
        <v>0</v>
      </c>
      <c r="D83" s="220">
        <v>0</v>
      </c>
      <c r="E83" s="220">
        <v>0</v>
      </c>
      <c r="F83" s="220">
        <v>0</v>
      </c>
      <c r="G83" s="220">
        <v>0</v>
      </c>
      <c r="H83" s="220">
        <v>0</v>
      </c>
      <c r="I83" s="220">
        <v>2</v>
      </c>
      <c r="J83" s="220">
        <v>0</v>
      </c>
      <c r="K83" s="220">
        <v>0</v>
      </c>
      <c r="L83" s="219">
        <v>0</v>
      </c>
      <c r="M83" s="219">
        <v>0</v>
      </c>
      <c r="N83" s="219">
        <v>0</v>
      </c>
      <c r="O83" s="219">
        <v>0</v>
      </c>
      <c r="P83" s="219">
        <v>0</v>
      </c>
      <c r="Q83" s="219">
        <v>0</v>
      </c>
      <c r="R83" s="220">
        <v>0</v>
      </c>
      <c r="S83" s="219">
        <v>6</v>
      </c>
      <c r="T83" s="220">
        <v>0</v>
      </c>
      <c r="U83" s="220">
        <v>0</v>
      </c>
      <c r="V83" s="219">
        <v>0</v>
      </c>
      <c r="W83" s="219">
        <v>0</v>
      </c>
      <c r="X83" s="219">
        <v>12</v>
      </c>
      <c r="Y83" s="219">
        <v>49</v>
      </c>
      <c r="Z83" s="219">
        <v>67</v>
      </c>
      <c r="AA83" s="219">
        <v>64</v>
      </c>
      <c r="AB83" s="220">
        <v>0</v>
      </c>
      <c r="AC83" s="220">
        <v>0</v>
      </c>
      <c r="AD83" s="295">
        <v>0</v>
      </c>
    </row>
    <row r="84" spans="1:30" ht="11.25">
      <c r="A84" s="220" t="s">
        <v>256</v>
      </c>
      <c r="B84" s="218" t="s">
        <v>101</v>
      </c>
      <c r="C84" s="220">
        <v>0</v>
      </c>
      <c r="D84" s="220">
        <v>0</v>
      </c>
      <c r="E84" s="220">
        <v>0</v>
      </c>
      <c r="F84" s="220">
        <v>0</v>
      </c>
      <c r="G84" s="220">
        <v>0</v>
      </c>
      <c r="H84" s="220">
        <v>0</v>
      </c>
      <c r="I84" s="220">
        <v>3</v>
      </c>
      <c r="J84" s="220">
        <v>0</v>
      </c>
      <c r="K84" s="220">
        <v>0</v>
      </c>
      <c r="L84" s="219">
        <v>0</v>
      </c>
      <c r="M84" s="219">
        <v>0</v>
      </c>
      <c r="N84" s="219">
        <v>0</v>
      </c>
      <c r="O84" s="219">
        <v>0</v>
      </c>
      <c r="P84" s="219">
        <v>0</v>
      </c>
      <c r="Q84" s="219">
        <v>1</v>
      </c>
      <c r="R84" s="220">
        <v>0</v>
      </c>
      <c r="S84" s="219">
        <v>7</v>
      </c>
      <c r="T84" s="220">
        <v>0</v>
      </c>
      <c r="U84" s="220">
        <v>0</v>
      </c>
      <c r="V84" s="219">
        <v>0</v>
      </c>
      <c r="W84" s="219">
        <v>0</v>
      </c>
      <c r="X84" s="219">
        <v>6</v>
      </c>
      <c r="Y84" s="219">
        <v>49</v>
      </c>
      <c r="Z84" s="219">
        <v>62</v>
      </c>
      <c r="AA84" s="219">
        <v>58.5</v>
      </c>
      <c r="AB84" s="220">
        <v>0</v>
      </c>
      <c r="AC84" s="220">
        <v>0</v>
      </c>
      <c r="AD84" s="295">
        <v>0</v>
      </c>
    </row>
    <row r="85" spans="1:30" ht="11.25">
      <c r="A85" s="220" t="s">
        <v>257</v>
      </c>
      <c r="B85" s="218" t="s">
        <v>58</v>
      </c>
      <c r="C85" s="220">
        <v>0</v>
      </c>
      <c r="D85" s="220">
        <v>0</v>
      </c>
      <c r="E85" s="220">
        <v>0</v>
      </c>
      <c r="F85" s="220">
        <v>0</v>
      </c>
      <c r="G85" s="220">
        <v>0</v>
      </c>
      <c r="H85" s="220">
        <v>1</v>
      </c>
      <c r="I85" s="220">
        <v>6</v>
      </c>
      <c r="J85" s="220">
        <v>0</v>
      </c>
      <c r="K85" s="220">
        <v>0</v>
      </c>
      <c r="L85" s="219">
        <v>0</v>
      </c>
      <c r="M85" s="219">
        <v>0</v>
      </c>
      <c r="N85" s="219">
        <v>0</v>
      </c>
      <c r="O85" s="219">
        <v>0</v>
      </c>
      <c r="P85" s="219">
        <v>0</v>
      </c>
      <c r="Q85" s="219">
        <v>0</v>
      </c>
      <c r="R85" s="220">
        <v>0</v>
      </c>
      <c r="S85" s="219">
        <v>0</v>
      </c>
      <c r="T85" s="220">
        <v>35</v>
      </c>
      <c r="U85" s="220">
        <v>0</v>
      </c>
      <c r="V85" s="219">
        <v>0</v>
      </c>
      <c r="W85" s="219">
        <v>0</v>
      </c>
      <c r="X85" s="219">
        <v>25</v>
      </c>
      <c r="Y85" s="219">
        <v>288</v>
      </c>
      <c r="Z85" s="219">
        <v>348</v>
      </c>
      <c r="AA85" s="219">
        <v>334</v>
      </c>
      <c r="AB85" s="220">
        <v>0</v>
      </c>
      <c r="AC85" s="220">
        <v>0</v>
      </c>
      <c r="AD85" s="295">
        <v>0</v>
      </c>
    </row>
    <row r="86" spans="1:30" ht="11.25">
      <c r="A86" s="220" t="s">
        <v>372</v>
      </c>
      <c r="B86" s="218" t="s">
        <v>389</v>
      </c>
      <c r="C86" s="220">
        <v>0</v>
      </c>
      <c r="D86" s="220">
        <v>0</v>
      </c>
      <c r="E86" s="220">
        <v>0</v>
      </c>
      <c r="F86" s="220">
        <v>0</v>
      </c>
      <c r="G86" s="220">
        <v>0</v>
      </c>
      <c r="H86" s="220">
        <v>1</v>
      </c>
      <c r="I86" s="220">
        <v>4</v>
      </c>
      <c r="J86" s="220">
        <v>0</v>
      </c>
      <c r="K86" s="220">
        <v>0</v>
      </c>
      <c r="L86" s="219">
        <v>0</v>
      </c>
      <c r="M86" s="219">
        <v>0</v>
      </c>
      <c r="N86" s="219">
        <v>0</v>
      </c>
      <c r="O86" s="219">
        <v>0</v>
      </c>
      <c r="P86" s="219">
        <v>0</v>
      </c>
      <c r="Q86" s="219">
        <v>0</v>
      </c>
      <c r="R86" s="220">
        <v>0</v>
      </c>
      <c r="S86" s="219">
        <v>4</v>
      </c>
      <c r="T86" s="220">
        <v>11</v>
      </c>
      <c r="U86" s="220">
        <v>0</v>
      </c>
      <c r="V86" s="219">
        <v>0</v>
      </c>
      <c r="W86" s="219">
        <v>0</v>
      </c>
      <c r="X86" s="219">
        <v>26</v>
      </c>
      <c r="Y86" s="219">
        <v>224</v>
      </c>
      <c r="Z86" s="219">
        <v>265</v>
      </c>
      <c r="AA86" s="219">
        <v>258.6</v>
      </c>
      <c r="AB86" s="220">
        <v>0</v>
      </c>
      <c r="AC86" s="220">
        <v>0</v>
      </c>
      <c r="AD86" s="295">
        <v>0</v>
      </c>
    </row>
    <row r="87" spans="1:30" ht="11.25">
      <c r="A87" s="220" t="s">
        <v>258</v>
      </c>
      <c r="B87" s="218" t="s">
        <v>58</v>
      </c>
      <c r="C87" s="220">
        <v>0</v>
      </c>
      <c r="D87" s="220">
        <v>0</v>
      </c>
      <c r="E87" s="220">
        <v>0</v>
      </c>
      <c r="F87" s="220">
        <v>0</v>
      </c>
      <c r="G87" s="220">
        <v>0</v>
      </c>
      <c r="H87" s="220">
        <v>0</v>
      </c>
      <c r="I87" s="220">
        <v>0</v>
      </c>
      <c r="J87" s="220">
        <v>0</v>
      </c>
      <c r="K87" s="220">
        <v>0</v>
      </c>
      <c r="L87" s="219">
        <v>0</v>
      </c>
      <c r="M87" s="219">
        <v>0</v>
      </c>
      <c r="N87" s="219">
        <v>0</v>
      </c>
      <c r="O87" s="219">
        <v>0</v>
      </c>
      <c r="P87" s="219">
        <v>0</v>
      </c>
      <c r="Q87" s="219">
        <v>0</v>
      </c>
      <c r="R87" s="220">
        <v>0</v>
      </c>
      <c r="S87" s="219">
        <v>0</v>
      </c>
      <c r="T87" s="220">
        <v>21</v>
      </c>
      <c r="U87" s="220">
        <v>0</v>
      </c>
      <c r="V87" s="219">
        <v>0</v>
      </c>
      <c r="W87" s="219">
        <v>0</v>
      </c>
      <c r="X87" s="219">
        <v>24</v>
      </c>
      <c r="Y87" s="219">
        <v>171</v>
      </c>
      <c r="Z87" s="219">
        <v>216</v>
      </c>
      <c r="AA87" s="219">
        <v>207.6</v>
      </c>
      <c r="AB87" s="220">
        <v>0</v>
      </c>
      <c r="AC87" s="220">
        <v>0</v>
      </c>
      <c r="AD87" s="295">
        <v>0</v>
      </c>
    </row>
    <row r="88" spans="1:30" ht="11.25">
      <c r="A88" s="220" t="s">
        <v>373</v>
      </c>
      <c r="B88" s="218" t="s">
        <v>379</v>
      </c>
      <c r="C88" s="220">
        <v>0</v>
      </c>
      <c r="D88" s="220">
        <v>0</v>
      </c>
      <c r="E88" s="220">
        <v>0</v>
      </c>
      <c r="F88" s="220">
        <v>0</v>
      </c>
      <c r="G88" s="220">
        <v>0</v>
      </c>
      <c r="H88" s="220">
        <v>0</v>
      </c>
      <c r="I88" s="220">
        <v>0</v>
      </c>
      <c r="J88" s="220">
        <v>0</v>
      </c>
      <c r="K88" s="220">
        <v>0</v>
      </c>
      <c r="L88" s="219">
        <v>0</v>
      </c>
      <c r="M88" s="219">
        <v>0</v>
      </c>
      <c r="N88" s="219">
        <v>0</v>
      </c>
      <c r="O88" s="219">
        <v>0</v>
      </c>
      <c r="P88" s="219">
        <v>0</v>
      </c>
      <c r="Q88" s="219">
        <v>0</v>
      </c>
      <c r="R88" s="220">
        <v>0</v>
      </c>
      <c r="S88" s="219">
        <v>0</v>
      </c>
      <c r="T88" s="220">
        <v>0</v>
      </c>
      <c r="U88" s="220">
        <v>0</v>
      </c>
      <c r="V88" s="219">
        <v>0</v>
      </c>
      <c r="W88" s="219">
        <v>0</v>
      </c>
      <c r="X88" s="219">
        <v>0</v>
      </c>
      <c r="Y88" s="219">
        <v>87</v>
      </c>
      <c r="Z88" s="219">
        <v>87</v>
      </c>
      <c r="AA88" s="219">
        <v>87</v>
      </c>
      <c r="AB88" s="220">
        <v>0</v>
      </c>
      <c r="AC88" s="220">
        <v>0</v>
      </c>
      <c r="AD88" s="295">
        <v>0</v>
      </c>
    </row>
    <row r="89" spans="1:30" ht="11.25">
      <c r="A89" s="220" t="s">
        <v>259</v>
      </c>
      <c r="B89" s="218" t="s">
        <v>58</v>
      </c>
      <c r="C89" s="220">
        <v>0</v>
      </c>
      <c r="D89" s="220">
        <v>0</v>
      </c>
      <c r="E89" s="220">
        <v>0</v>
      </c>
      <c r="F89" s="220">
        <v>0</v>
      </c>
      <c r="G89" s="220">
        <v>0</v>
      </c>
      <c r="H89" s="220">
        <v>0</v>
      </c>
      <c r="I89" s="220">
        <v>0</v>
      </c>
      <c r="J89" s="220">
        <v>0</v>
      </c>
      <c r="K89" s="220">
        <v>0</v>
      </c>
      <c r="L89" s="219">
        <v>0</v>
      </c>
      <c r="M89" s="219">
        <v>0</v>
      </c>
      <c r="N89" s="219">
        <v>0</v>
      </c>
      <c r="O89" s="219">
        <v>0</v>
      </c>
      <c r="P89" s="219">
        <v>0</v>
      </c>
      <c r="Q89" s="219">
        <v>0</v>
      </c>
      <c r="R89" s="220">
        <v>0</v>
      </c>
      <c r="S89" s="219">
        <v>41</v>
      </c>
      <c r="T89" s="220">
        <v>0</v>
      </c>
      <c r="U89" s="220">
        <v>0</v>
      </c>
      <c r="V89" s="219">
        <v>0</v>
      </c>
      <c r="W89" s="219">
        <v>0</v>
      </c>
      <c r="X89" s="219">
        <v>43</v>
      </c>
      <c r="Y89" s="219">
        <v>346</v>
      </c>
      <c r="Z89" s="219">
        <v>430</v>
      </c>
      <c r="AA89" s="219">
        <v>409.5</v>
      </c>
      <c r="AB89" s="220">
        <v>0</v>
      </c>
      <c r="AC89" s="220">
        <v>0</v>
      </c>
      <c r="AD89" s="295">
        <v>0</v>
      </c>
    </row>
    <row r="90" spans="1:30" ht="11.25">
      <c r="A90" s="220" t="s">
        <v>260</v>
      </c>
      <c r="B90" s="218" t="s">
        <v>261</v>
      </c>
      <c r="C90" s="220">
        <v>0</v>
      </c>
      <c r="D90" s="220">
        <v>0</v>
      </c>
      <c r="E90" s="220">
        <v>0</v>
      </c>
      <c r="F90" s="220">
        <v>0</v>
      </c>
      <c r="G90" s="220">
        <v>0</v>
      </c>
      <c r="H90" s="220">
        <v>0</v>
      </c>
      <c r="I90" s="220">
        <v>0</v>
      </c>
      <c r="J90" s="220">
        <v>2</v>
      </c>
      <c r="K90" s="220">
        <v>0</v>
      </c>
      <c r="L90" s="219">
        <v>0</v>
      </c>
      <c r="M90" s="219">
        <v>0</v>
      </c>
      <c r="N90" s="219">
        <v>0</v>
      </c>
      <c r="O90" s="219">
        <v>0</v>
      </c>
      <c r="P90" s="219">
        <v>0</v>
      </c>
      <c r="Q90" s="219">
        <v>0</v>
      </c>
      <c r="R90" s="220">
        <v>0</v>
      </c>
      <c r="S90" s="219">
        <v>0</v>
      </c>
      <c r="T90" s="220">
        <v>0</v>
      </c>
      <c r="U90" s="220">
        <v>0</v>
      </c>
      <c r="V90" s="219">
        <v>0</v>
      </c>
      <c r="W90" s="219">
        <v>0</v>
      </c>
      <c r="X90" s="219">
        <v>0</v>
      </c>
      <c r="Y90" s="219">
        <v>350</v>
      </c>
      <c r="Z90" s="219">
        <v>350</v>
      </c>
      <c r="AA90" s="219">
        <v>350</v>
      </c>
      <c r="AB90" s="220">
        <v>0</v>
      </c>
      <c r="AC90" s="220">
        <v>0</v>
      </c>
      <c r="AD90" s="295">
        <v>0</v>
      </c>
    </row>
    <row r="91" spans="1:30" ht="11.25">
      <c r="A91" s="220" t="s">
        <v>374</v>
      </c>
      <c r="B91" s="218" t="s">
        <v>390</v>
      </c>
      <c r="C91" s="220">
        <v>0</v>
      </c>
      <c r="D91" s="220">
        <v>0</v>
      </c>
      <c r="E91" s="220">
        <v>1</v>
      </c>
      <c r="F91" s="220">
        <v>0</v>
      </c>
      <c r="G91" s="220">
        <v>0</v>
      </c>
      <c r="H91" s="220">
        <v>1</v>
      </c>
      <c r="I91" s="220">
        <v>12</v>
      </c>
      <c r="J91" s="220">
        <v>0</v>
      </c>
      <c r="K91" s="220">
        <v>0</v>
      </c>
      <c r="L91" s="219">
        <v>0</v>
      </c>
      <c r="M91" s="219">
        <v>0</v>
      </c>
      <c r="N91" s="219">
        <v>0</v>
      </c>
      <c r="O91" s="219">
        <v>0</v>
      </c>
      <c r="P91" s="219">
        <v>0</v>
      </c>
      <c r="Q91" s="219">
        <v>0</v>
      </c>
      <c r="R91" s="220">
        <v>0</v>
      </c>
      <c r="S91" s="219">
        <v>0</v>
      </c>
      <c r="T91" s="220">
        <v>0</v>
      </c>
      <c r="U91" s="220">
        <v>1</v>
      </c>
      <c r="V91" s="219">
        <v>0</v>
      </c>
      <c r="W91" s="219">
        <v>0</v>
      </c>
      <c r="X91" s="219">
        <v>1</v>
      </c>
      <c r="Y91" s="219">
        <v>12</v>
      </c>
      <c r="Z91" s="219">
        <v>14</v>
      </c>
      <c r="AA91" s="219">
        <v>13.5</v>
      </c>
      <c r="AB91" s="220">
        <v>0</v>
      </c>
      <c r="AC91" s="220">
        <v>0</v>
      </c>
      <c r="AD91" s="295">
        <v>0</v>
      </c>
    </row>
    <row r="92" spans="1:30" ht="11.25">
      <c r="A92" s="220" t="s">
        <v>262</v>
      </c>
      <c r="B92" s="218" t="s">
        <v>263</v>
      </c>
      <c r="C92" s="220">
        <v>0</v>
      </c>
      <c r="D92" s="220">
        <v>0</v>
      </c>
      <c r="E92" s="220">
        <v>0</v>
      </c>
      <c r="F92" s="220">
        <v>0</v>
      </c>
      <c r="G92" s="220">
        <v>0</v>
      </c>
      <c r="H92" s="220">
        <v>1</v>
      </c>
      <c r="I92" s="220">
        <v>3</v>
      </c>
      <c r="J92" s="220">
        <v>1</v>
      </c>
      <c r="K92" s="220">
        <v>0</v>
      </c>
      <c r="L92" s="219">
        <v>0</v>
      </c>
      <c r="M92" s="219">
        <v>0</v>
      </c>
      <c r="N92" s="219">
        <v>0</v>
      </c>
      <c r="O92" s="219">
        <v>0</v>
      </c>
      <c r="P92" s="219">
        <v>0</v>
      </c>
      <c r="Q92" s="219">
        <v>0</v>
      </c>
      <c r="R92" s="220">
        <v>0</v>
      </c>
      <c r="S92" s="219">
        <v>0</v>
      </c>
      <c r="T92" s="220">
        <v>0</v>
      </c>
      <c r="U92" s="220">
        <v>0</v>
      </c>
      <c r="V92" s="219">
        <v>0</v>
      </c>
      <c r="W92" s="219">
        <v>0</v>
      </c>
      <c r="X92" s="219">
        <v>5</v>
      </c>
      <c r="Y92" s="219">
        <v>47</v>
      </c>
      <c r="Z92" s="219">
        <v>52</v>
      </c>
      <c r="AA92" s="219">
        <v>52</v>
      </c>
      <c r="AB92" s="220">
        <v>0</v>
      </c>
      <c r="AC92" s="220">
        <v>0</v>
      </c>
      <c r="AD92" s="295">
        <v>0</v>
      </c>
    </row>
    <row r="93" spans="1:30" ht="11.25">
      <c r="A93" s="220" t="s">
        <v>64</v>
      </c>
      <c r="B93" s="218" t="s">
        <v>58</v>
      </c>
      <c r="C93" s="220">
        <v>0</v>
      </c>
      <c r="D93" s="220">
        <v>0</v>
      </c>
      <c r="E93" s="220">
        <v>0</v>
      </c>
      <c r="F93" s="220">
        <v>0</v>
      </c>
      <c r="G93" s="220">
        <v>0</v>
      </c>
      <c r="H93" s="220">
        <v>1</v>
      </c>
      <c r="I93" s="220">
        <v>13</v>
      </c>
      <c r="J93" s="220">
        <v>0</v>
      </c>
      <c r="K93" s="220">
        <v>0</v>
      </c>
      <c r="L93" s="219">
        <v>0</v>
      </c>
      <c r="M93" s="219">
        <v>0</v>
      </c>
      <c r="N93" s="219">
        <v>0</v>
      </c>
      <c r="O93" s="219">
        <v>0</v>
      </c>
      <c r="P93" s="219">
        <v>0</v>
      </c>
      <c r="Q93" s="219">
        <v>0</v>
      </c>
      <c r="R93" s="220">
        <v>0</v>
      </c>
      <c r="S93" s="219">
        <v>0</v>
      </c>
      <c r="T93" s="220">
        <v>21</v>
      </c>
      <c r="U93" s="220">
        <v>0</v>
      </c>
      <c r="V93" s="219">
        <v>0</v>
      </c>
      <c r="W93" s="219">
        <v>0</v>
      </c>
      <c r="X93" s="219">
        <v>33</v>
      </c>
      <c r="Y93" s="219">
        <v>181</v>
      </c>
      <c r="Z93" s="219">
        <v>235</v>
      </c>
      <c r="AA93" s="219">
        <v>226.6</v>
      </c>
      <c r="AB93" s="220">
        <v>0</v>
      </c>
      <c r="AC93" s="220">
        <v>0</v>
      </c>
      <c r="AD93" s="295">
        <v>0</v>
      </c>
    </row>
    <row r="94" spans="1:30" ht="11.25">
      <c r="A94" s="220" t="s">
        <v>264</v>
      </c>
      <c r="B94" s="218" t="s">
        <v>265</v>
      </c>
      <c r="C94" s="220">
        <v>0</v>
      </c>
      <c r="D94" s="220">
        <v>0</v>
      </c>
      <c r="E94" s="220">
        <v>0</v>
      </c>
      <c r="F94" s="220">
        <v>0</v>
      </c>
      <c r="G94" s="220">
        <v>0</v>
      </c>
      <c r="H94" s="220">
        <v>0</v>
      </c>
      <c r="I94" s="220">
        <v>0</v>
      </c>
      <c r="J94" s="220">
        <v>3</v>
      </c>
      <c r="K94" s="220">
        <v>0</v>
      </c>
      <c r="L94" s="219">
        <v>0</v>
      </c>
      <c r="M94" s="219">
        <v>0</v>
      </c>
      <c r="N94" s="219">
        <v>0</v>
      </c>
      <c r="O94" s="219">
        <v>0</v>
      </c>
      <c r="P94" s="219">
        <v>0</v>
      </c>
      <c r="Q94" s="219">
        <v>0</v>
      </c>
      <c r="R94" s="220">
        <v>0</v>
      </c>
      <c r="S94" s="219">
        <v>0</v>
      </c>
      <c r="T94" s="220">
        <v>0</v>
      </c>
      <c r="U94" s="220">
        <v>0</v>
      </c>
      <c r="V94" s="219">
        <v>0</v>
      </c>
      <c r="W94" s="219">
        <v>0</v>
      </c>
      <c r="X94" s="219">
        <v>0</v>
      </c>
      <c r="Y94" s="219">
        <v>32</v>
      </c>
      <c r="Z94" s="219">
        <v>32</v>
      </c>
      <c r="AA94" s="219">
        <v>32</v>
      </c>
      <c r="AB94" s="220">
        <v>0</v>
      </c>
      <c r="AC94" s="220">
        <v>0</v>
      </c>
      <c r="AD94" s="295">
        <v>0</v>
      </c>
    </row>
    <row r="95" spans="1:30" ht="11.25">
      <c r="A95" s="220" t="s">
        <v>65</v>
      </c>
      <c r="B95" s="218" t="s">
        <v>58</v>
      </c>
      <c r="C95" s="220">
        <v>1</v>
      </c>
      <c r="D95" s="220">
        <v>0</v>
      </c>
      <c r="E95" s="220">
        <v>0</v>
      </c>
      <c r="F95" s="220">
        <v>0</v>
      </c>
      <c r="G95" s="220">
        <v>0</v>
      </c>
      <c r="H95" s="220">
        <v>2</v>
      </c>
      <c r="I95" s="220">
        <v>9</v>
      </c>
      <c r="J95" s="220">
        <v>2</v>
      </c>
      <c r="K95" s="220">
        <v>0</v>
      </c>
      <c r="L95" s="219">
        <v>0</v>
      </c>
      <c r="M95" s="219">
        <v>0</v>
      </c>
      <c r="N95" s="219">
        <v>0</v>
      </c>
      <c r="O95" s="219">
        <v>0</v>
      </c>
      <c r="P95" s="219">
        <v>0</v>
      </c>
      <c r="Q95" s="219">
        <v>0</v>
      </c>
      <c r="R95" s="220">
        <v>0</v>
      </c>
      <c r="S95" s="219">
        <v>1</v>
      </c>
      <c r="T95" s="220">
        <v>0</v>
      </c>
      <c r="U95" s="220">
        <v>0</v>
      </c>
      <c r="V95" s="219">
        <v>0</v>
      </c>
      <c r="W95" s="219">
        <v>0</v>
      </c>
      <c r="X95" s="219">
        <v>4</v>
      </c>
      <c r="Y95" s="219">
        <v>15</v>
      </c>
      <c r="Z95" s="219">
        <v>20</v>
      </c>
      <c r="AA95" s="219">
        <v>19.5</v>
      </c>
      <c r="AB95" s="220">
        <v>0</v>
      </c>
      <c r="AC95" s="220">
        <v>0</v>
      </c>
      <c r="AD95" s="295">
        <v>0</v>
      </c>
    </row>
    <row r="96" spans="1:30" ht="11.25">
      <c r="A96" s="220" t="s">
        <v>266</v>
      </c>
      <c r="B96" s="218" t="s">
        <v>133</v>
      </c>
      <c r="C96" s="220">
        <v>0</v>
      </c>
      <c r="D96" s="220">
        <v>0</v>
      </c>
      <c r="E96" s="220">
        <v>0</v>
      </c>
      <c r="F96" s="220">
        <v>0</v>
      </c>
      <c r="G96" s="220">
        <v>0</v>
      </c>
      <c r="H96" s="220">
        <v>0</v>
      </c>
      <c r="I96" s="220">
        <v>0</v>
      </c>
      <c r="J96" s="220">
        <v>6</v>
      </c>
      <c r="K96" s="220">
        <v>0</v>
      </c>
      <c r="L96" s="219">
        <v>0</v>
      </c>
      <c r="M96" s="219">
        <v>0</v>
      </c>
      <c r="N96" s="219">
        <v>0</v>
      </c>
      <c r="O96" s="219">
        <v>0</v>
      </c>
      <c r="P96" s="219">
        <v>0</v>
      </c>
      <c r="Q96" s="219">
        <v>0</v>
      </c>
      <c r="R96" s="220">
        <v>0</v>
      </c>
      <c r="S96" s="219">
        <v>0</v>
      </c>
      <c r="T96" s="220">
        <v>0</v>
      </c>
      <c r="U96" s="220">
        <v>0</v>
      </c>
      <c r="V96" s="219">
        <v>0</v>
      </c>
      <c r="W96" s="219">
        <v>0</v>
      </c>
      <c r="X96" s="219">
        <v>0</v>
      </c>
      <c r="Y96" s="219">
        <v>279</v>
      </c>
      <c r="Z96" s="219">
        <v>279</v>
      </c>
      <c r="AA96" s="219">
        <v>279</v>
      </c>
      <c r="AB96" s="220">
        <v>0</v>
      </c>
      <c r="AC96" s="220">
        <v>0</v>
      </c>
      <c r="AD96" s="295">
        <v>0</v>
      </c>
    </row>
    <row r="97" spans="1:30" ht="11.25">
      <c r="A97" s="220" t="s">
        <v>375</v>
      </c>
      <c r="B97" s="218" t="s">
        <v>58</v>
      </c>
      <c r="C97" s="220">
        <v>0</v>
      </c>
      <c r="D97" s="220">
        <v>0</v>
      </c>
      <c r="E97" s="220">
        <v>0</v>
      </c>
      <c r="F97" s="220">
        <v>0</v>
      </c>
      <c r="G97" s="220">
        <v>0</v>
      </c>
      <c r="H97" s="220">
        <v>0</v>
      </c>
      <c r="I97" s="220">
        <v>6</v>
      </c>
      <c r="J97" s="220">
        <v>0</v>
      </c>
      <c r="K97" s="220">
        <v>0</v>
      </c>
      <c r="L97" s="219">
        <v>0</v>
      </c>
      <c r="M97" s="219">
        <v>0</v>
      </c>
      <c r="N97" s="219">
        <v>0</v>
      </c>
      <c r="O97" s="219">
        <v>0</v>
      </c>
      <c r="P97" s="219">
        <v>0</v>
      </c>
      <c r="Q97" s="219">
        <v>0</v>
      </c>
      <c r="R97" s="220">
        <v>0</v>
      </c>
      <c r="S97" s="219">
        <v>0</v>
      </c>
      <c r="T97" s="220">
        <v>20</v>
      </c>
      <c r="U97" s="220">
        <v>0</v>
      </c>
      <c r="V97" s="219">
        <v>0</v>
      </c>
      <c r="W97" s="219">
        <v>0</v>
      </c>
      <c r="X97" s="219">
        <v>18</v>
      </c>
      <c r="Y97" s="219">
        <v>184</v>
      </c>
      <c r="Z97" s="219">
        <v>222</v>
      </c>
      <c r="AA97" s="219">
        <v>214</v>
      </c>
      <c r="AB97" s="220">
        <v>0</v>
      </c>
      <c r="AC97" s="220">
        <v>0</v>
      </c>
      <c r="AD97" s="295">
        <v>0</v>
      </c>
    </row>
    <row r="98" spans="1:30" ht="11.25">
      <c r="A98" s="220" t="s">
        <v>267</v>
      </c>
      <c r="B98" s="218" t="s">
        <v>134</v>
      </c>
      <c r="C98" s="220">
        <v>0</v>
      </c>
      <c r="D98" s="220">
        <v>0</v>
      </c>
      <c r="E98" s="220">
        <v>0</v>
      </c>
      <c r="F98" s="220">
        <v>0</v>
      </c>
      <c r="G98" s="220">
        <v>0</v>
      </c>
      <c r="H98" s="220">
        <v>0</v>
      </c>
      <c r="I98" s="220">
        <v>1</v>
      </c>
      <c r="J98" s="220">
        <v>0</v>
      </c>
      <c r="K98" s="220">
        <v>0</v>
      </c>
      <c r="L98" s="219">
        <v>0</v>
      </c>
      <c r="M98" s="219">
        <v>0</v>
      </c>
      <c r="N98" s="219">
        <v>0</v>
      </c>
      <c r="O98" s="219">
        <v>0</v>
      </c>
      <c r="P98" s="219">
        <v>0</v>
      </c>
      <c r="Q98" s="219">
        <v>0</v>
      </c>
      <c r="R98" s="220">
        <v>0</v>
      </c>
      <c r="S98" s="219">
        <v>15</v>
      </c>
      <c r="T98" s="220">
        <v>0</v>
      </c>
      <c r="U98" s="220">
        <v>0</v>
      </c>
      <c r="V98" s="219">
        <v>0</v>
      </c>
      <c r="W98" s="219">
        <v>0</v>
      </c>
      <c r="X98" s="219">
        <v>12</v>
      </c>
      <c r="Y98" s="219">
        <v>67</v>
      </c>
      <c r="Z98" s="219">
        <v>94</v>
      </c>
      <c r="AA98" s="219">
        <v>86.5</v>
      </c>
      <c r="AB98" s="220">
        <v>0</v>
      </c>
      <c r="AC98" s="220">
        <v>0</v>
      </c>
      <c r="AD98" s="295">
        <v>0</v>
      </c>
    </row>
    <row r="104" spans="1:30" ht="11.25">
      <c r="A104" s="147">
        <v>1</v>
      </c>
      <c r="B104" s="147">
        <v>2</v>
      </c>
      <c r="C104" s="147">
        <v>3</v>
      </c>
      <c r="D104" s="147">
        <v>4</v>
      </c>
      <c r="E104" s="147">
        <v>5</v>
      </c>
      <c r="F104" s="147">
        <v>6</v>
      </c>
      <c r="G104" s="147">
        <v>7</v>
      </c>
      <c r="H104" s="147">
        <v>8</v>
      </c>
      <c r="I104" s="147">
        <v>9</v>
      </c>
      <c r="J104" s="147">
        <v>10</v>
      </c>
      <c r="K104" s="147">
        <v>11</v>
      </c>
      <c r="L104" s="147">
        <v>12</v>
      </c>
      <c r="M104" s="147">
        <v>13</v>
      </c>
      <c r="N104" s="147">
        <v>14</v>
      </c>
      <c r="O104" s="147">
        <v>15</v>
      </c>
      <c r="P104" s="147">
        <v>16</v>
      </c>
      <c r="Q104" s="147">
        <v>17</v>
      </c>
      <c r="R104" s="147">
        <v>18</v>
      </c>
      <c r="S104" s="147">
        <v>19</v>
      </c>
      <c r="T104" s="147">
        <v>20</v>
      </c>
      <c r="U104" s="147">
        <v>21</v>
      </c>
      <c r="V104" s="147">
        <v>22</v>
      </c>
      <c r="W104" s="147">
        <v>23</v>
      </c>
      <c r="X104" s="147">
        <v>24</v>
      </c>
      <c r="Y104" s="147">
        <v>25</v>
      </c>
      <c r="Z104" s="147">
        <v>26</v>
      </c>
      <c r="AA104" s="147">
        <v>27</v>
      </c>
      <c r="AB104" s="147">
        <v>28</v>
      </c>
      <c r="AC104" s="147">
        <v>29</v>
      </c>
      <c r="AD104" s="296">
        <v>30</v>
      </c>
    </row>
  </sheetData>
  <sheetProtection password="DE89" sheet="1"/>
  <autoFilter ref="A1:AD98"/>
  <printOptions/>
  <pageMargins left="0.5" right="0.5" top="0.2"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I217"/>
  <sheetViews>
    <sheetView showGridLines="0" workbookViewId="0" topLeftCell="A1">
      <selection activeCell="U91" sqref="U91"/>
    </sheetView>
  </sheetViews>
  <sheetFormatPr defaultColWidth="9.140625" defaultRowHeight="15"/>
  <cols>
    <col min="1" max="1" width="11.421875" style="4" customWidth="1"/>
    <col min="2" max="2" width="20.421875" style="4" customWidth="1"/>
    <col min="3" max="3" width="31.8515625" style="4" customWidth="1"/>
    <col min="4" max="4" width="12.7109375" style="4" customWidth="1"/>
    <col min="5" max="5" width="19.00390625" style="4" customWidth="1"/>
    <col min="6" max="6" width="12.140625" style="4" customWidth="1"/>
    <col min="7" max="7" width="12.7109375" style="4" customWidth="1"/>
    <col min="8" max="8" width="9.140625" style="4" customWidth="1"/>
    <col min="9" max="9" width="9.140625" style="4" hidden="1" customWidth="1"/>
    <col min="10" max="16384" width="9.140625" style="4" customWidth="1"/>
  </cols>
  <sheetData>
    <row r="1" spans="2:5" ht="86.25" customHeight="1" thickBot="1">
      <c r="B1" s="307" t="s">
        <v>402</v>
      </c>
      <c r="C1" s="308"/>
      <c r="D1" s="309" t="s">
        <v>336</v>
      </c>
      <c r="E1" s="310"/>
    </row>
    <row r="2" spans="1:5" ht="18.75" customHeight="1" thickTop="1">
      <c r="A2" s="7"/>
      <c r="B2" s="8"/>
      <c r="C2" s="9" t="s">
        <v>35</v>
      </c>
      <c r="D2" s="8"/>
      <c r="E2" s="8"/>
    </row>
    <row r="3" spans="1:5" ht="14.25" customHeight="1">
      <c r="A3" s="311" t="s">
        <v>33</v>
      </c>
      <c r="B3" s="311"/>
      <c r="C3" s="311"/>
      <c r="D3" s="311"/>
      <c r="E3" s="311"/>
    </row>
    <row r="4" spans="1:5" ht="21.75" customHeight="1">
      <c r="A4" s="312"/>
      <c r="B4" s="312"/>
      <c r="C4" s="312"/>
      <c r="D4" s="312"/>
      <c r="E4" s="312"/>
    </row>
    <row r="5" spans="1:5" ht="14.25" customHeight="1">
      <c r="A5" s="311" t="s">
        <v>54</v>
      </c>
      <c r="B5" s="311"/>
      <c r="C5" s="311"/>
      <c r="D5" s="311"/>
      <c r="E5" s="311"/>
    </row>
    <row r="6" spans="1:9" ht="21.75" customHeight="1">
      <c r="A6" s="313">
        <f>IF(A4="","",VLOOKUP(A4,Counts!A2:B100,2,FALSE))</f>
      </c>
      <c r="B6" s="313"/>
      <c r="C6" s="313"/>
      <c r="D6" s="313"/>
      <c r="E6" s="313"/>
      <c r="I6" s="4" t="s">
        <v>52</v>
      </c>
    </row>
    <row r="7" spans="1:9" ht="14.25" customHeight="1">
      <c r="A7" s="311" t="s">
        <v>68</v>
      </c>
      <c r="B7" s="311"/>
      <c r="C7" s="311"/>
      <c r="D7" s="311"/>
      <c r="E7" s="311"/>
      <c r="I7" s="4" t="s">
        <v>51</v>
      </c>
    </row>
    <row r="8" spans="1:9" ht="21.75" customHeight="1" thickBot="1">
      <c r="A8" s="312"/>
      <c r="B8" s="312"/>
      <c r="C8" s="312"/>
      <c r="D8" s="312"/>
      <c r="E8" s="312"/>
      <c r="I8" s="4" t="s">
        <v>53</v>
      </c>
    </row>
    <row r="9" spans="1:5" s="10" customFormat="1" ht="18" customHeight="1" thickTop="1">
      <c r="A9" s="7"/>
      <c r="B9" s="8"/>
      <c r="C9" s="9" t="s">
        <v>36</v>
      </c>
      <c r="D9" s="8"/>
      <c r="E9" s="8"/>
    </row>
    <row r="10" spans="1:5" s="10" customFormat="1" ht="14.25" customHeight="1">
      <c r="A10" s="95" t="s">
        <v>34</v>
      </c>
      <c r="B10" s="95"/>
      <c r="C10" s="95"/>
      <c r="D10" s="314" t="s">
        <v>140</v>
      </c>
      <c r="E10" s="315"/>
    </row>
    <row r="11" spans="1:5" s="10" customFormat="1" ht="21.75" customHeight="1" thickBot="1">
      <c r="A11" s="323"/>
      <c r="B11" s="323"/>
      <c r="C11" s="324"/>
      <c r="D11" s="325"/>
      <c r="E11" s="323"/>
    </row>
    <row r="12" spans="1:5" ht="18.75" customHeight="1" thickTop="1">
      <c r="A12" s="7"/>
      <c r="B12" s="8"/>
      <c r="C12" s="9" t="s">
        <v>37</v>
      </c>
      <c r="D12" s="8"/>
      <c r="E12" s="8"/>
    </row>
    <row r="13" spans="1:5" ht="53.25" customHeight="1">
      <c r="A13" s="320" t="s">
        <v>286</v>
      </c>
      <c r="B13" s="320"/>
      <c r="C13" s="320"/>
      <c r="D13" s="320"/>
      <c r="E13" s="320"/>
    </row>
    <row r="14" spans="1:5" ht="12.75" customHeight="1">
      <c r="A14" s="321" t="s">
        <v>144</v>
      </c>
      <c r="B14" s="321"/>
      <c r="C14" s="321"/>
      <c r="D14" s="322"/>
      <c r="E14" s="11" t="s">
        <v>38</v>
      </c>
    </row>
    <row r="15" spans="1:5" ht="28.5" customHeight="1">
      <c r="A15" s="318" t="s">
        <v>316</v>
      </c>
      <c r="B15" s="318"/>
      <c r="C15" s="318"/>
      <c r="D15" s="319"/>
      <c r="E15" s="214"/>
    </row>
    <row r="16" spans="1:5" s="23" customFormat="1" ht="12" thickBot="1">
      <c r="A16" s="215"/>
      <c r="B16" s="215"/>
      <c r="C16" s="215"/>
      <c r="D16" s="215"/>
      <c r="E16" s="216"/>
    </row>
    <row r="17" spans="1:5" s="23" customFormat="1" ht="25.5" customHeight="1" thickBot="1">
      <c r="A17" s="316" t="s">
        <v>329</v>
      </c>
      <c r="B17" s="316"/>
      <c r="C17" s="317"/>
      <c r="D17" s="24"/>
      <c r="E17" s="217"/>
    </row>
    <row r="18" spans="1:5" ht="12" thickBot="1">
      <c r="A18" s="25"/>
      <c r="B18" s="25"/>
      <c r="C18" s="25"/>
      <c r="D18" s="25"/>
      <c r="E18" s="25"/>
    </row>
    <row r="19" ht="12" thickTop="1"/>
    <row r="20" spans="1:5" ht="11.25">
      <c r="A20" s="195" t="s">
        <v>294</v>
      </c>
      <c r="B20" s="196"/>
      <c r="C20" s="197"/>
      <c r="D20" s="198" t="s">
        <v>289</v>
      </c>
      <c r="E20" s="199"/>
    </row>
    <row r="21" spans="1:5" ht="11.25">
      <c r="A21" s="200" t="s">
        <v>327</v>
      </c>
      <c r="B21" s="26"/>
      <c r="C21" s="26"/>
      <c r="D21" s="237">
        <f>IF(ISBLANK($A$4),"",'Schedule 2'!B18)</f>
      </c>
      <c r="E21" s="238"/>
    </row>
    <row r="22" spans="1:5" ht="11.25">
      <c r="A22" s="201" t="s">
        <v>290</v>
      </c>
      <c r="B22" s="202"/>
      <c r="C22" s="202"/>
      <c r="D22" s="239">
        <f>IF(ISBLANK($A$4),"",'Schedule 3'!B19)</f>
      </c>
      <c r="E22" s="240"/>
    </row>
    <row r="23" spans="1:5" ht="11.25">
      <c r="A23" s="200" t="s">
        <v>291</v>
      </c>
      <c r="B23" s="26"/>
      <c r="C23" s="26"/>
      <c r="D23" s="237">
        <f>IF(ISBLANK($A$4),"",'Schedule 4'!B17)</f>
      </c>
      <c r="E23" s="238"/>
    </row>
    <row r="24" spans="1:5" ht="11.25">
      <c r="A24" s="201" t="s">
        <v>292</v>
      </c>
      <c r="B24" s="202"/>
      <c r="C24" s="202"/>
      <c r="D24" s="239">
        <f>'Schedule 3'!L5</f>
        <v>0</v>
      </c>
      <c r="E24" s="240"/>
    </row>
    <row r="25" spans="1:5" ht="11.25">
      <c r="A25" s="200" t="s">
        <v>325</v>
      </c>
      <c r="B25" s="26"/>
      <c r="C25" s="26"/>
      <c r="D25" s="237" t="str">
        <f>IF((ABS('Schedule 1-1'!F19)+ABS('Schedule 1-1'!F20))=0,"No K4 Parental Outreach Change",IF('Schedule 1-1'!F19&lt;0,"K4 Parental Outreach Added","K4 Parental Outreach Disallowed"))</f>
        <v>No K4 Parental Outreach Change</v>
      </c>
      <c r="E25" s="238"/>
    </row>
    <row r="26" spans="1:5" ht="11.25">
      <c r="A26" s="201" t="s">
        <v>337</v>
      </c>
      <c r="B26" s="202"/>
      <c r="C26" s="202"/>
      <c r="D26" s="239" t="str">
        <f>IF('Schedule 6'!H5="No","Summer School Doesn't Meet Required Hours",IF(SUM('Schedule 6'!G9:H28)&gt;0,"Summer School Updates","No Summer School Change"))</f>
        <v>No Summer School Change</v>
      </c>
      <c r="E26" s="240"/>
    </row>
    <row r="27" spans="1:5" ht="11.25">
      <c r="A27" s="200"/>
      <c r="B27" s="26"/>
      <c r="C27" s="26"/>
      <c r="D27" s="26"/>
      <c r="E27" s="203"/>
    </row>
    <row r="28" spans="1:5" ht="27" customHeight="1">
      <c r="A28" s="304" t="s">
        <v>293</v>
      </c>
      <c r="B28" s="305"/>
      <c r="C28" s="305"/>
      <c r="D28" s="305"/>
      <c r="E28" s="306"/>
    </row>
    <row r="33" s="26" customFormat="1" ht="11.25" hidden="1">
      <c r="A33" s="297" t="s">
        <v>205</v>
      </c>
    </row>
    <row r="34" s="26" customFormat="1" ht="11.25" hidden="1">
      <c r="A34" s="298" t="s">
        <v>207</v>
      </c>
    </row>
    <row r="35" s="26" customFormat="1" ht="11.25" hidden="1">
      <c r="A35" s="299" t="s">
        <v>343</v>
      </c>
    </row>
    <row r="36" s="26" customFormat="1" ht="11.25" hidden="1">
      <c r="A36" s="299" t="s">
        <v>344</v>
      </c>
    </row>
    <row r="37" s="26" customFormat="1" ht="11.25" hidden="1">
      <c r="A37" s="298" t="s">
        <v>345</v>
      </c>
    </row>
    <row r="38" s="26" customFormat="1" ht="11.25" hidden="1">
      <c r="A38" s="298" t="s">
        <v>208</v>
      </c>
    </row>
    <row r="39" s="26" customFormat="1" ht="11.25" hidden="1">
      <c r="A39" s="299" t="s">
        <v>209</v>
      </c>
    </row>
    <row r="40" s="26" customFormat="1" ht="11.25" hidden="1">
      <c r="A40" s="299" t="s">
        <v>210</v>
      </c>
    </row>
    <row r="41" s="26" customFormat="1" ht="11.25" hidden="1">
      <c r="A41" s="297" t="s">
        <v>211</v>
      </c>
    </row>
    <row r="42" s="26" customFormat="1" ht="11.25" hidden="1">
      <c r="A42" s="297" t="s">
        <v>212</v>
      </c>
    </row>
    <row r="43" s="26" customFormat="1" ht="11.25" hidden="1">
      <c r="A43" s="299" t="s">
        <v>346</v>
      </c>
    </row>
    <row r="44" s="26" customFormat="1" ht="11.25" hidden="1">
      <c r="A44" s="298" t="s">
        <v>214</v>
      </c>
    </row>
    <row r="45" s="26" customFormat="1" ht="11.25" hidden="1">
      <c r="A45" s="297" t="s">
        <v>59</v>
      </c>
    </row>
    <row r="46" s="26" customFormat="1" ht="11.25" hidden="1">
      <c r="A46" s="299" t="s">
        <v>215</v>
      </c>
    </row>
    <row r="47" s="26" customFormat="1" ht="11.25" hidden="1">
      <c r="A47" s="300" t="s">
        <v>347</v>
      </c>
    </row>
    <row r="48" s="26" customFormat="1" ht="11.25" hidden="1">
      <c r="A48" s="297" t="s">
        <v>84</v>
      </c>
    </row>
    <row r="49" s="26" customFormat="1" ht="11.25" hidden="1">
      <c r="A49" s="297" t="s">
        <v>217</v>
      </c>
    </row>
    <row r="50" s="26" customFormat="1" ht="11.25" hidden="1">
      <c r="A50" s="299" t="s">
        <v>348</v>
      </c>
    </row>
    <row r="51" s="26" customFormat="1" ht="11.25" hidden="1">
      <c r="A51" s="300" t="s">
        <v>219</v>
      </c>
    </row>
    <row r="52" s="26" customFormat="1" ht="11.25" hidden="1">
      <c r="A52" s="297" t="s">
        <v>66</v>
      </c>
    </row>
    <row r="53" s="26" customFormat="1" ht="11.25" hidden="1">
      <c r="A53" s="298" t="s">
        <v>61</v>
      </c>
    </row>
    <row r="54" s="26" customFormat="1" ht="11.25" hidden="1">
      <c r="A54" s="297" t="s">
        <v>221</v>
      </c>
    </row>
    <row r="55" s="26" customFormat="1" ht="11.25" hidden="1">
      <c r="A55" s="297" t="s">
        <v>222</v>
      </c>
    </row>
    <row r="56" s="26" customFormat="1" ht="11.25" hidden="1">
      <c r="A56" s="299" t="s">
        <v>87</v>
      </c>
    </row>
    <row r="57" s="26" customFormat="1" ht="11.25" hidden="1">
      <c r="A57" s="297" t="s">
        <v>223</v>
      </c>
    </row>
    <row r="58" s="26" customFormat="1" ht="11.25" hidden="1">
      <c r="A58" s="297" t="s">
        <v>225</v>
      </c>
    </row>
    <row r="59" s="26" customFormat="1" ht="11.25" hidden="1">
      <c r="A59" s="297" t="s">
        <v>226</v>
      </c>
    </row>
    <row r="60" s="26" customFormat="1" ht="11.25" hidden="1">
      <c r="A60" s="297" t="s">
        <v>349</v>
      </c>
    </row>
    <row r="61" s="26" customFormat="1" ht="11.25" hidden="1">
      <c r="A61" s="299" t="s">
        <v>227</v>
      </c>
    </row>
    <row r="62" s="26" customFormat="1" ht="11.25" hidden="1">
      <c r="A62" s="299" t="s">
        <v>91</v>
      </c>
    </row>
    <row r="63" s="26" customFormat="1" ht="11.25" hidden="1">
      <c r="A63" s="297" t="s">
        <v>62</v>
      </c>
    </row>
    <row r="64" s="26" customFormat="1" ht="11.25" hidden="1">
      <c r="A64" s="297" t="s">
        <v>350</v>
      </c>
    </row>
    <row r="65" s="26" customFormat="1" ht="11.25" hidden="1">
      <c r="A65" s="297" t="s">
        <v>93</v>
      </c>
    </row>
    <row r="66" s="26" customFormat="1" ht="11.25" hidden="1">
      <c r="A66" s="297" t="s">
        <v>326</v>
      </c>
    </row>
    <row r="67" s="26" customFormat="1" ht="11.25" hidden="1">
      <c r="A67" s="297" t="s">
        <v>229</v>
      </c>
    </row>
    <row r="68" s="26" customFormat="1" ht="11.25" hidden="1">
      <c r="A68" s="297" t="s">
        <v>351</v>
      </c>
    </row>
    <row r="69" s="26" customFormat="1" ht="11.25" hidden="1">
      <c r="A69" s="298" t="s">
        <v>231</v>
      </c>
    </row>
    <row r="70" s="26" customFormat="1" ht="11.25" hidden="1">
      <c r="A70" s="299" t="s">
        <v>67</v>
      </c>
    </row>
    <row r="71" s="26" customFormat="1" ht="11.25" hidden="1">
      <c r="A71" s="297" t="s">
        <v>95</v>
      </c>
    </row>
    <row r="72" s="26" customFormat="1" ht="11.25" hidden="1">
      <c r="A72" s="299" t="s">
        <v>232</v>
      </c>
    </row>
    <row r="73" s="26" customFormat="1" ht="11.25" hidden="1">
      <c r="A73" s="300" t="s">
        <v>234</v>
      </c>
    </row>
    <row r="74" s="26" customFormat="1" ht="11.25" hidden="1">
      <c r="A74" s="299" t="s">
        <v>235</v>
      </c>
    </row>
    <row r="75" s="26" customFormat="1" ht="11.25" hidden="1">
      <c r="A75" s="297" t="s">
        <v>236</v>
      </c>
    </row>
    <row r="76" s="26" customFormat="1" ht="11.25" hidden="1">
      <c r="A76" s="297" t="s">
        <v>352</v>
      </c>
    </row>
    <row r="77" s="26" customFormat="1" ht="11.25" hidden="1">
      <c r="A77" s="299" t="s">
        <v>237</v>
      </c>
    </row>
    <row r="78" s="26" customFormat="1" ht="11.25" hidden="1">
      <c r="A78" s="299" t="s">
        <v>97</v>
      </c>
    </row>
    <row r="79" s="26" customFormat="1" ht="11.25" hidden="1">
      <c r="A79" s="297" t="s">
        <v>238</v>
      </c>
    </row>
    <row r="80" s="26" customFormat="1" ht="11.25" hidden="1">
      <c r="A80" s="299" t="s">
        <v>353</v>
      </c>
    </row>
    <row r="81" s="26" customFormat="1" ht="11.25" hidden="1">
      <c r="A81" s="298" t="s">
        <v>240</v>
      </c>
    </row>
    <row r="82" s="26" customFormat="1" ht="11.25" hidden="1">
      <c r="A82" s="299" t="s">
        <v>354</v>
      </c>
    </row>
    <row r="83" s="26" customFormat="1" ht="11.25" hidden="1">
      <c r="A83" s="299" t="s">
        <v>355</v>
      </c>
    </row>
    <row r="84" s="26" customFormat="1" ht="11.25" hidden="1">
      <c r="A84" s="297" t="s">
        <v>356</v>
      </c>
    </row>
    <row r="85" s="26" customFormat="1" ht="11.25" hidden="1">
      <c r="A85" s="299" t="s">
        <v>357</v>
      </c>
    </row>
    <row r="86" s="26" customFormat="1" ht="11.25" hidden="1">
      <c r="A86" s="299" t="s">
        <v>241</v>
      </c>
    </row>
    <row r="87" s="26" customFormat="1" ht="11.25" hidden="1">
      <c r="A87" s="299" t="s">
        <v>98</v>
      </c>
    </row>
    <row r="88" s="26" customFormat="1" ht="11.25" hidden="1">
      <c r="A88" s="299" t="s">
        <v>242</v>
      </c>
    </row>
    <row r="89" s="26" customFormat="1" ht="11.25" hidden="1">
      <c r="A89" s="297" t="s">
        <v>243</v>
      </c>
    </row>
    <row r="90" s="26" customFormat="1" ht="11.25" hidden="1">
      <c r="A90" s="299" t="s">
        <v>358</v>
      </c>
    </row>
    <row r="91" s="26" customFormat="1" ht="11.25" hidden="1">
      <c r="A91" s="297" t="s">
        <v>245</v>
      </c>
    </row>
    <row r="92" s="26" customFormat="1" ht="11.25" hidden="1">
      <c r="A92" s="298" t="s">
        <v>359</v>
      </c>
    </row>
    <row r="93" s="26" customFormat="1" ht="11.25" hidden="1">
      <c r="A93" s="297" t="s">
        <v>247</v>
      </c>
    </row>
    <row r="94" s="26" customFormat="1" ht="11.25" hidden="1">
      <c r="A94" s="301" t="s">
        <v>360</v>
      </c>
    </row>
    <row r="95" s="26" customFormat="1" ht="11.25" hidden="1">
      <c r="A95" s="297" t="s">
        <v>361</v>
      </c>
    </row>
    <row r="96" s="26" customFormat="1" ht="11.25" hidden="1">
      <c r="A96" s="300" t="s">
        <v>99</v>
      </c>
    </row>
    <row r="97" s="26" customFormat="1" ht="11.25" hidden="1">
      <c r="A97" s="299" t="s">
        <v>362</v>
      </c>
    </row>
    <row r="98" s="26" customFormat="1" ht="11.25" hidden="1">
      <c r="A98" s="299" t="s">
        <v>363</v>
      </c>
    </row>
    <row r="99" s="26" customFormat="1" ht="11.25" hidden="1">
      <c r="A99" s="299" t="s">
        <v>248</v>
      </c>
    </row>
    <row r="100" s="26" customFormat="1" ht="11.25" hidden="1">
      <c r="A100" s="299" t="s">
        <v>364</v>
      </c>
    </row>
    <row r="101" s="26" customFormat="1" ht="11.25" hidden="1">
      <c r="A101" s="299" t="s">
        <v>365</v>
      </c>
    </row>
    <row r="102" s="26" customFormat="1" ht="11.25" hidden="1">
      <c r="A102" s="299" t="s">
        <v>366</v>
      </c>
    </row>
    <row r="103" s="26" customFormat="1" ht="11.25" hidden="1">
      <c r="A103" s="297" t="s">
        <v>250</v>
      </c>
    </row>
    <row r="104" s="26" customFormat="1" ht="11.25" hidden="1">
      <c r="A104" s="299" t="s">
        <v>367</v>
      </c>
    </row>
    <row r="105" s="26" customFormat="1" ht="11.25" hidden="1">
      <c r="A105" s="300" t="s">
        <v>252</v>
      </c>
    </row>
    <row r="106" s="26" customFormat="1" ht="11.25" hidden="1">
      <c r="A106" s="297" t="s">
        <v>63</v>
      </c>
    </row>
    <row r="107" s="26" customFormat="1" ht="11.25" hidden="1">
      <c r="A107" s="299" t="s">
        <v>368</v>
      </c>
    </row>
    <row r="108" s="26" customFormat="1" ht="11.25" hidden="1">
      <c r="A108" s="297" t="s">
        <v>100</v>
      </c>
    </row>
    <row r="109" s="26" customFormat="1" ht="11.25" hidden="1">
      <c r="A109" s="299" t="s">
        <v>369</v>
      </c>
    </row>
    <row r="110" s="26" customFormat="1" ht="11.25" hidden="1">
      <c r="A110" s="299" t="s">
        <v>132</v>
      </c>
    </row>
    <row r="111" s="26" customFormat="1" ht="11.25" hidden="1">
      <c r="A111" s="299" t="s">
        <v>253</v>
      </c>
    </row>
    <row r="112" s="26" customFormat="1" ht="11.25" hidden="1">
      <c r="A112" s="299" t="s">
        <v>370</v>
      </c>
    </row>
    <row r="113" s="26" customFormat="1" ht="11.25" hidden="1">
      <c r="A113" s="299" t="s">
        <v>371</v>
      </c>
    </row>
    <row r="114" s="26" customFormat="1" ht="11.25" hidden="1">
      <c r="A114" s="299" t="s">
        <v>254</v>
      </c>
    </row>
    <row r="115" s="26" customFormat="1" ht="11.25" hidden="1">
      <c r="A115" s="299" t="s">
        <v>256</v>
      </c>
    </row>
    <row r="116" s="26" customFormat="1" ht="11.25" hidden="1">
      <c r="A116" s="299" t="s">
        <v>257</v>
      </c>
    </row>
    <row r="117" s="26" customFormat="1" ht="11.25" hidden="1">
      <c r="A117" s="299" t="s">
        <v>372</v>
      </c>
    </row>
    <row r="118" s="26" customFormat="1" ht="11.25" hidden="1">
      <c r="A118" s="299" t="s">
        <v>258</v>
      </c>
    </row>
    <row r="119" s="26" customFormat="1" ht="11.25" hidden="1">
      <c r="A119" s="299" t="s">
        <v>373</v>
      </c>
    </row>
    <row r="120" s="26" customFormat="1" ht="11.25" hidden="1">
      <c r="A120" s="299" t="s">
        <v>259</v>
      </c>
    </row>
    <row r="121" s="26" customFormat="1" ht="11.25" hidden="1">
      <c r="A121" s="299" t="s">
        <v>260</v>
      </c>
    </row>
    <row r="122" s="26" customFormat="1" ht="11.25" hidden="1">
      <c r="A122" s="299" t="s">
        <v>374</v>
      </c>
    </row>
    <row r="123" s="26" customFormat="1" ht="11.25" hidden="1">
      <c r="A123" s="299" t="s">
        <v>262</v>
      </c>
    </row>
    <row r="124" s="26" customFormat="1" ht="11.25" hidden="1">
      <c r="A124" s="299" t="s">
        <v>64</v>
      </c>
    </row>
    <row r="125" s="26" customFormat="1" ht="11.25" hidden="1">
      <c r="A125" s="299" t="s">
        <v>264</v>
      </c>
    </row>
    <row r="126" s="26" customFormat="1" ht="11.25" hidden="1">
      <c r="A126" s="299" t="s">
        <v>65</v>
      </c>
    </row>
    <row r="127" s="26" customFormat="1" ht="11.25" hidden="1">
      <c r="A127" s="299" t="s">
        <v>266</v>
      </c>
    </row>
    <row r="128" s="26" customFormat="1" ht="11.25" hidden="1">
      <c r="A128" s="299" t="s">
        <v>375</v>
      </c>
    </row>
    <row r="129" s="26" customFormat="1" ht="11.25" hidden="1">
      <c r="A129" s="299" t="s">
        <v>267</v>
      </c>
    </row>
    <row r="130" s="26" customFormat="1" ht="11.25">
      <c r="A130" s="223"/>
    </row>
    <row r="131" s="26" customFormat="1" ht="11.25">
      <c r="A131" s="223"/>
    </row>
    <row r="132" s="26" customFormat="1" ht="11.25">
      <c r="A132" s="223"/>
    </row>
    <row r="133" s="26" customFormat="1" ht="11.25">
      <c r="A133" s="223"/>
    </row>
    <row r="134" s="26" customFormat="1" ht="11.25">
      <c r="A134" s="223"/>
    </row>
    <row r="135" s="26" customFormat="1" ht="11.25">
      <c r="A135" s="223"/>
    </row>
    <row r="136" s="26" customFormat="1" ht="11.25">
      <c r="A136" s="223"/>
    </row>
    <row r="137" s="26" customFormat="1" ht="11.25">
      <c r="A137" s="223"/>
    </row>
    <row r="138" s="26" customFormat="1" ht="11.25">
      <c r="A138" s="223"/>
    </row>
    <row r="139" s="26" customFormat="1" ht="11.25">
      <c r="A139" s="223"/>
    </row>
    <row r="140" s="26" customFormat="1" ht="11.25">
      <c r="A140" s="223"/>
    </row>
    <row r="141" s="26" customFormat="1" ht="11.25">
      <c r="A141" s="223"/>
    </row>
    <row r="142" s="26" customFormat="1" ht="11.25">
      <c r="A142" s="223"/>
    </row>
    <row r="143" s="26" customFormat="1" ht="11.25">
      <c r="A143" s="223"/>
    </row>
    <row r="144" s="26" customFormat="1" ht="11.25">
      <c r="A144" s="223"/>
    </row>
    <row r="145" s="26" customFormat="1" ht="11.25">
      <c r="A145" s="223"/>
    </row>
    <row r="146" s="26" customFormat="1" ht="11.25">
      <c r="A146" s="223"/>
    </row>
    <row r="147" s="26" customFormat="1" ht="11.25">
      <c r="A147" s="223"/>
    </row>
    <row r="148" s="26" customFormat="1" ht="11.25">
      <c r="A148" s="223"/>
    </row>
    <row r="149" s="26" customFormat="1" ht="11.25">
      <c r="A149" s="223"/>
    </row>
    <row r="150" s="26" customFormat="1" ht="11.25">
      <c r="A150" s="223"/>
    </row>
    <row r="151" s="26" customFormat="1" ht="11.25">
      <c r="A151" s="223"/>
    </row>
    <row r="152" s="26" customFormat="1" ht="11.25">
      <c r="A152" s="223"/>
    </row>
    <row r="153" s="26" customFormat="1" ht="11.25">
      <c r="A153" s="223"/>
    </row>
    <row r="154" s="26" customFormat="1" ht="11.25">
      <c r="A154" s="223"/>
    </row>
    <row r="155" s="26" customFormat="1" ht="11.25">
      <c r="A155" s="223"/>
    </row>
    <row r="156" s="26" customFormat="1" ht="11.25">
      <c r="A156" s="223"/>
    </row>
    <row r="157" s="26" customFormat="1" ht="11.25">
      <c r="A157" s="223"/>
    </row>
    <row r="158" s="26" customFormat="1" ht="11.25">
      <c r="A158" s="223"/>
    </row>
    <row r="159" s="26" customFormat="1" ht="11.25">
      <c r="A159" s="223"/>
    </row>
    <row r="160" s="26" customFormat="1" ht="11.25">
      <c r="A160" s="223"/>
    </row>
    <row r="161" s="26" customFormat="1" ht="11.25">
      <c r="A161" s="223"/>
    </row>
    <row r="162" s="26" customFormat="1" ht="11.25">
      <c r="A162" s="223"/>
    </row>
    <row r="163" s="26" customFormat="1" ht="11.25">
      <c r="A163" s="223"/>
    </row>
    <row r="164" s="26" customFormat="1" ht="11.25">
      <c r="A164" s="223"/>
    </row>
    <row r="165" s="26" customFormat="1" ht="11.25">
      <c r="A165" s="223"/>
    </row>
    <row r="166" s="26" customFormat="1" ht="11.25">
      <c r="A166" s="223"/>
    </row>
    <row r="167" s="26" customFormat="1" ht="11.25">
      <c r="A167" s="223"/>
    </row>
    <row r="168" s="26" customFormat="1" ht="11.25">
      <c r="A168" s="223"/>
    </row>
    <row r="169" s="26" customFormat="1" ht="11.25">
      <c r="A169" s="223"/>
    </row>
    <row r="170" s="26" customFormat="1" ht="11.25">
      <c r="A170" s="223"/>
    </row>
    <row r="171" s="26" customFormat="1" ht="11.25">
      <c r="A171" s="223"/>
    </row>
    <row r="172" s="26" customFormat="1" ht="11.25">
      <c r="A172" s="223"/>
    </row>
    <row r="173" s="26" customFormat="1" ht="11.25">
      <c r="A173" s="223"/>
    </row>
    <row r="174" s="26" customFormat="1" ht="11.25">
      <c r="A174" s="223"/>
    </row>
    <row r="175" s="26" customFormat="1" ht="11.25">
      <c r="A175" s="223"/>
    </row>
    <row r="176" s="26" customFormat="1" ht="11.25">
      <c r="A176" s="223"/>
    </row>
    <row r="177" s="26" customFormat="1" ht="11.25">
      <c r="A177" s="223"/>
    </row>
    <row r="178" s="26" customFormat="1" ht="11.25">
      <c r="A178" s="224"/>
    </row>
    <row r="179" s="26" customFormat="1" ht="11.25">
      <c r="A179" s="223"/>
    </row>
    <row r="180" s="26" customFormat="1" ht="11.25">
      <c r="A180" s="223"/>
    </row>
    <row r="181" s="26" customFormat="1" ht="11.25">
      <c r="A181" s="223"/>
    </row>
    <row r="182" s="26" customFormat="1" ht="11.25">
      <c r="A182" s="223"/>
    </row>
    <row r="183" s="26" customFormat="1" ht="11.25">
      <c r="A183" s="223"/>
    </row>
    <row r="184" s="26" customFormat="1" ht="11.25">
      <c r="A184" s="223"/>
    </row>
    <row r="185" s="26" customFormat="1" ht="11.25">
      <c r="A185" s="223"/>
    </row>
    <row r="186" s="26" customFormat="1" ht="11.25">
      <c r="A186" s="223"/>
    </row>
    <row r="187" s="26" customFormat="1" ht="11.25">
      <c r="A187" s="223"/>
    </row>
    <row r="188" s="26" customFormat="1" ht="11.25">
      <c r="A188" s="223"/>
    </row>
    <row r="189" s="26" customFormat="1" ht="11.25">
      <c r="A189" s="223"/>
    </row>
    <row r="190" s="26" customFormat="1" ht="11.25">
      <c r="A190" s="223"/>
    </row>
    <row r="191" s="26" customFormat="1" ht="11.25">
      <c r="A191" s="223"/>
    </row>
    <row r="192" s="26" customFormat="1" ht="11.25">
      <c r="A192" s="223"/>
    </row>
    <row r="193" s="26" customFormat="1" ht="11.25">
      <c r="A193" s="223"/>
    </row>
    <row r="194" s="26" customFormat="1" ht="11.25">
      <c r="A194" s="223"/>
    </row>
    <row r="195" s="26" customFormat="1" ht="11.25">
      <c r="A195" s="223"/>
    </row>
    <row r="196" s="26" customFormat="1" ht="11.25">
      <c r="A196" s="223"/>
    </row>
    <row r="197" s="26" customFormat="1" ht="11.25">
      <c r="A197" s="223"/>
    </row>
    <row r="198" s="26" customFormat="1" ht="11.25">
      <c r="A198" s="223"/>
    </row>
    <row r="199" s="26" customFormat="1" ht="11.25">
      <c r="A199" s="223"/>
    </row>
    <row r="200" s="26" customFormat="1" ht="11.25">
      <c r="A200" s="224"/>
    </row>
    <row r="201" s="26" customFormat="1" ht="11.25">
      <c r="A201" s="223"/>
    </row>
    <row r="202" s="26" customFormat="1" ht="11.25">
      <c r="A202" s="223"/>
    </row>
    <row r="203" s="26" customFormat="1" ht="11.25">
      <c r="A203" s="224"/>
    </row>
    <row r="204" s="26" customFormat="1" ht="11.25">
      <c r="A204" s="223"/>
    </row>
    <row r="205" s="26" customFormat="1" ht="11.25">
      <c r="A205" s="223"/>
    </row>
    <row r="206" s="26" customFormat="1" ht="11.25">
      <c r="A206" s="223"/>
    </row>
    <row r="207" s="26" customFormat="1" ht="11.25">
      <c r="A207" s="223"/>
    </row>
    <row r="208" s="26" customFormat="1" ht="11.25">
      <c r="A208" s="223"/>
    </row>
    <row r="209" s="26" customFormat="1" ht="11.25">
      <c r="A209" s="223"/>
    </row>
    <row r="210" s="26" customFormat="1" ht="11.25">
      <c r="A210" s="223"/>
    </row>
    <row r="211" s="26" customFormat="1" ht="11.25">
      <c r="A211" s="223"/>
    </row>
    <row r="212" s="26" customFormat="1" ht="11.25">
      <c r="A212" s="223"/>
    </row>
    <row r="213" s="26" customFormat="1" ht="11.25">
      <c r="A213" s="223"/>
    </row>
    <row r="214" s="26" customFormat="1" ht="11.25">
      <c r="A214" s="223"/>
    </row>
    <row r="215" s="26" customFormat="1" ht="11.25">
      <c r="A215" s="223"/>
    </row>
    <row r="216" s="26" customFormat="1" ht="11.25">
      <c r="A216" s="223"/>
    </row>
    <row r="217" s="26" customFormat="1" ht="11.25">
      <c r="A217" s="223"/>
    </row>
    <row r="218" s="26" customFormat="1" ht="11.25"/>
    <row r="219" s="26" customFormat="1" ht="11.25"/>
    <row r="220" s="26" customFormat="1" ht="11.25"/>
  </sheetData>
  <sheetProtection password="DE89" sheet="1"/>
  <mergeCells count="16">
    <mergeCell ref="A7:E7"/>
    <mergeCell ref="A8:E8"/>
    <mergeCell ref="A13:E13"/>
    <mergeCell ref="A14:D14"/>
    <mergeCell ref="A11:C11"/>
    <mergeCell ref="D11:E11"/>
    <mergeCell ref="A28:E28"/>
    <mergeCell ref="B1:C1"/>
    <mergeCell ref="D1:E1"/>
    <mergeCell ref="A3:E3"/>
    <mergeCell ref="A4:E4"/>
    <mergeCell ref="A5:E5"/>
    <mergeCell ref="A6:E6"/>
    <mergeCell ref="D10:E10"/>
    <mergeCell ref="A17:C17"/>
    <mergeCell ref="A15:D15"/>
  </mergeCells>
  <dataValidations count="1">
    <dataValidation type="list" allowBlank="1" showInputMessage="1" showErrorMessage="1" sqref="A4:E4">
      <formula1>$A$33:$A$129</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showZeros="0" showOutlineSymbols="0" workbookViewId="0" topLeftCell="A1">
      <selection activeCell="U91" sqref="U91"/>
    </sheetView>
  </sheetViews>
  <sheetFormatPr defaultColWidth="9.140625" defaultRowHeight="15"/>
  <cols>
    <col min="1" max="1" width="3.28125" style="41" bestFit="1" customWidth="1"/>
    <col min="2" max="2" width="60.140625" style="41" customWidth="1"/>
    <col min="3" max="16384" width="9.140625" style="41" customWidth="1"/>
  </cols>
  <sheetData>
    <row r="1" spans="1:4" ht="12" customHeight="1">
      <c r="A1" s="326">
        <f>'Cover Page'!A4:E4</f>
        <v>0</v>
      </c>
      <c r="B1" s="326"/>
      <c r="C1" s="326"/>
      <c r="D1" s="326"/>
    </row>
    <row r="2" spans="1:4" ht="12" customHeight="1">
      <c r="A2" s="327" t="s">
        <v>48</v>
      </c>
      <c r="B2" s="327"/>
      <c r="C2" s="327"/>
      <c r="D2" s="327"/>
    </row>
    <row r="3" spans="1:4" ht="12" customHeight="1">
      <c r="A3" s="327" t="str">
        <f>'Schedule 2'!B2</f>
        <v>September 20, 2019 SNSP Enrollment Audit</v>
      </c>
      <c r="B3" s="327"/>
      <c r="C3" s="327"/>
      <c r="D3" s="327"/>
    </row>
    <row r="4" spans="3:5" ht="12" customHeight="1">
      <c r="C4" s="42"/>
      <c r="D4" s="43"/>
      <c r="E4" s="43"/>
    </row>
    <row r="5" spans="1:5" ht="14.25" customHeight="1">
      <c r="A5" s="328" t="s">
        <v>50</v>
      </c>
      <c r="B5" s="328"/>
      <c r="C5" s="328"/>
      <c r="D5" s="328"/>
      <c r="E5" s="44"/>
    </row>
    <row r="6" spans="1:5" ht="14.25" customHeight="1">
      <c r="A6" s="328" t="s">
        <v>49</v>
      </c>
      <c r="B6" s="328"/>
      <c r="C6" s="328"/>
      <c r="D6" s="328"/>
      <c r="E6" s="45"/>
    </row>
    <row r="7" spans="1:4" ht="14.25" customHeight="1">
      <c r="A7" s="328" t="s">
        <v>141</v>
      </c>
      <c r="B7" s="328"/>
      <c r="C7" s="328"/>
      <c r="D7" s="328"/>
    </row>
    <row r="8" spans="1:4" ht="16.5" customHeight="1" thickBot="1">
      <c r="A8" s="42"/>
      <c r="B8" s="42"/>
      <c r="C8" s="42"/>
      <c r="D8" s="45"/>
    </row>
    <row r="9" spans="1:5" ht="16.5" customHeight="1" thickBot="1">
      <c r="A9" s="164" t="s">
        <v>47</v>
      </c>
      <c r="B9" s="331" t="s">
        <v>137</v>
      </c>
      <c r="C9" s="331"/>
      <c r="D9" s="331"/>
      <c r="E9" s="46" t="str">
        <f>IF('Schedule 1-1'!G14&gt;0,"ERROR","OK")</f>
        <v>OK</v>
      </c>
    </row>
    <row r="10" spans="1:5" s="48" customFormat="1" ht="16.5" customHeight="1" thickBot="1">
      <c r="A10" s="225"/>
      <c r="B10" s="55"/>
      <c r="C10" s="55"/>
      <c r="D10" s="55"/>
      <c r="E10" s="56"/>
    </row>
    <row r="11" spans="1:5" ht="27" customHeight="1" thickBot="1">
      <c r="A11" s="164" t="s">
        <v>47</v>
      </c>
      <c r="B11" s="331" t="s">
        <v>288</v>
      </c>
      <c r="C11" s="331"/>
      <c r="D11" s="331"/>
      <c r="E11" s="46" t="str">
        <f>IF('Schedule 3'!L5="","ERROR","OK")</f>
        <v>ERROR</v>
      </c>
    </row>
    <row r="12" spans="1:6" ht="16.5" customHeight="1" thickBot="1">
      <c r="A12" s="49"/>
      <c r="B12" s="47"/>
      <c r="C12" s="47"/>
      <c r="D12" s="47"/>
      <c r="E12" s="49"/>
      <c r="F12" s="50"/>
    </row>
    <row r="13" spans="1:5" ht="16.5" customHeight="1" thickBot="1">
      <c r="A13" s="164" t="s">
        <v>47</v>
      </c>
      <c r="B13" s="329" t="s">
        <v>135</v>
      </c>
      <c r="C13" s="329"/>
      <c r="D13" s="329"/>
      <c r="E13" s="46" t="str">
        <f>IF('Schedule 1-1'!I29="","ERROR",IF(AND('Schedule 1-1'!I29="N/A",SUM('Schedule 1-1'!E19:E20)&gt;0),"ERROR","OK"))</f>
        <v>ERROR</v>
      </c>
    </row>
    <row r="14" spans="1:5" ht="16.5" customHeight="1" thickBot="1">
      <c r="A14" s="225"/>
      <c r="B14" s="207"/>
      <c r="C14" s="207"/>
      <c r="E14" s="56"/>
    </row>
    <row r="15" spans="1:5" ht="16.5" customHeight="1" thickBot="1">
      <c r="A15" s="164" t="s">
        <v>47</v>
      </c>
      <c r="B15" s="207" t="s">
        <v>195</v>
      </c>
      <c r="C15" s="207"/>
      <c r="D15" s="207"/>
      <c r="E15" s="46" t="str">
        <f>IF(ISBLANK('Cover Page'!A4),"OK",IF(AND('Schedule 2'!B18='Schedule 2'!C18,'Schedule 2'!B18='Schedule 2'!D18,'Schedule 2'!B18='Schedule 2'!E18,'Schedule 2'!B18='Schedule 2'!F18,'Schedule 2'!B18='Schedule 2'!G18),"OK","ERROR"))</f>
        <v>OK</v>
      </c>
    </row>
    <row r="16" spans="1:5" ht="16.5" customHeight="1" thickBot="1">
      <c r="A16" s="165"/>
      <c r="B16" s="207"/>
      <c r="C16" s="207"/>
      <c r="D16" s="47"/>
      <c r="E16" s="48"/>
    </row>
    <row r="17" spans="1:5" ht="16.5" customHeight="1" thickBot="1">
      <c r="A17" s="164" t="s">
        <v>47</v>
      </c>
      <c r="B17" s="207" t="s">
        <v>196</v>
      </c>
      <c r="C17" s="207"/>
      <c r="D17" s="207"/>
      <c r="E17" s="46" t="str">
        <f>IF(ISBLANK('Cover Page'!A4),"OK",IF(AND('Schedule 3'!B19='Schedule 3'!C19,'Schedule 3'!B19='Schedule 3'!D19,'Schedule 3'!B19='Schedule 3'!E19,'Schedule 3'!B19='Schedule 3'!F19),"OK","ERROR"))</f>
        <v>OK</v>
      </c>
    </row>
    <row r="18" spans="1:5" ht="16.5" customHeight="1" thickBot="1">
      <c r="A18" s="165"/>
      <c r="B18" s="207"/>
      <c r="C18" s="207"/>
      <c r="D18" s="47"/>
      <c r="E18" s="48"/>
    </row>
    <row r="19" spans="1:5" ht="16.5" customHeight="1" thickBot="1">
      <c r="A19" s="164" t="s">
        <v>47</v>
      </c>
      <c r="B19" s="251" t="s">
        <v>319</v>
      </c>
      <c r="C19" s="251"/>
      <c r="D19" s="251"/>
      <c r="E19" s="46" t="str">
        <f>IF(ISBLANK('Cover Page'!A6),"OK",IF(COUNTIF('Schedule 3'!P9:P18,"Error")&gt;0,"ERROR","OK"))</f>
        <v>OK</v>
      </c>
    </row>
    <row r="20" ht="16.5" customHeight="1" thickBot="1"/>
    <row r="21" spans="1:5" ht="16.5" customHeight="1" thickBot="1">
      <c r="A21" s="164" t="s">
        <v>47</v>
      </c>
      <c r="B21" s="329" t="s">
        <v>318</v>
      </c>
      <c r="C21" s="329"/>
      <c r="D21" s="329"/>
      <c r="E21" s="46" t="str">
        <f>IF(ISBLANK('Cover Page'!A4),"OK",IF(AND('Schedule 4'!B17='Schedule 4'!C17,'Schedule 4'!B17='Schedule 4'!D17,'Schedule 4'!B17='Schedule 4'!E17,'Schedule 4'!B17='Schedule 4'!F17,'Schedule 4'!B17='Schedule 4'!G17),"OK","ERROR"))</f>
        <v>OK</v>
      </c>
    </row>
    <row r="22" ht="16.5" customHeight="1" thickBot="1"/>
    <row r="23" spans="1:5" ht="16.5" customHeight="1" thickBot="1">
      <c r="A23" s="164" t="s">
        <v>47</v>
      </c>
      <c r="B23" s="330" t="s">
        <v>320</v>
      </c>
      <c r="C23" s="330"/>
      <c r="D23" s="330"/>
      <c r="E23" s="46" t="str">
        <f>IF(ISBLANK('Schedule 6'!H5),"ERROR",IF(AND('Schedule 6'!H5="N/A",'Schedule 6'!F37&gt;0),"ERROR","OK"))</f>
        <v>ERROR</v>
      </c>
    </row>
    <row r="24" spans="1:5" ht="16.5" customHeight="1" thickBot="1">
      <c r="A24" s="166"/>
      <c r="B24" s="208"/>
      <c r="C24" s="208"/>
      <c r="D24" s="208"/>
      <c r="E24" s="167"/>
    </row>
    <row r="25" spans="1:5" ht="16.5" customHeight="1" thickBot="1">
      <c r="A25" s="164" t="s">
        <v>47</v>
      </c>
      <c r="B25" s="330" t="s">
        <v>321</v>
      </c>
      <c r="C25" s="330"/>
      <c r="D25" s="330"/>
      <c r="E25" s="46" t="str">
        <f>IF('Schedule 6'!H6="","ERROR","OK")</f>
        <v>ERROR</v>
      </c>
    </row>
    <row r="26" ht="16.5" customHeight="1" thickBot="1"/>
    <row r="27" spans="1:5" ht="16.5" customHeight="1" thickBot="1">
      <c r="A27" s="164" t="s">
        <v>47</v>
      </c>
      <c r="B27" s="330" t="s">
        <v>322</v>
      </c>
      <c r="C27" s="330"/>
      <c r="D27" s="330"/>
      <c r="E27" s="46" t="str">
        <f>IF(SUM('Schedule 6'!J29:L29)&gt;0,"ERROR","OK")</f>
        <v>OK</v>
      </c>
    </row>
    <row r="28" ht="11.25"/>
    <row r="29" ht="11.25"/>
    <row r="30" ht="11.25"/>
    <row r="31" ht="11.25"/>
    <row r="32" ht="11.25"/>
    <row r="33" ht="11.25"/>
  </sheetData>
  <sheetProtection password="DE89" sheet="1"/>
  <mergeCells count="13">
    <mergeCell ref="B21:D21"/>
    <mergeCell ref="B23:D23"/>
    <mergeCell ref="B25:D25"/>
    <mergeCell ref="B27:D27"/>
    <mergeCell ref="B9:D9"/>
    <mergeCell ref="B11:D11"/>
    <mergeCell ref="B13:D13"/>
    <mergeCell ref="A1:D1"/>
    <mergeCell ref="A2:D2"/>
    <mergeCell ref="A3:D3"/>
    <mergeCell ref="A5:D5"/>
    <mergeCell ref="A6:D6"/>
    <mergeCell ref="A7:D7"/>
  </mergeCells>
  <conditionalFormatting sqref="E1:E18 E21:E65536">
    <cfRule type="cellIs" priority="2" dxfId="5" operator="equal" stopIfTrue="1">
      <formula>"ERROR"</formula>
    </cfRule>
  </conditionalFormatting>
  <conditionalFormatting sqref="E19">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1&amp;R&amp;"Arial,Regular"&amp;8PI-SNSP-0102 (10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4">
      <selection activeCell="U91" sqref="U91"/>
    </sheetView>
  </sheetViews>
  <sheetFormatPr defaultColWidth="9.140625" defaultRowHeight="15"/>
  <cols>
    <col min="1" max="1" width="3.28125" style="4" customWidth="1"/>
    <col min="2" max="2" width="19.57421875" style="4" customWidth="1"/>
    <col min="3" max="3" width="13.28125" style="4" customWidth="1"/>
    <col min="4" max="5" width="10.7109375" style="4" customWidth="1"/>
    <col min="6" max="9" width="9.7109375" style="4" customWidth="1"/>
    <col min="10" max="10" width="9.140625" style="26" customWidth="1"/>
    <col min="11" max="16384" width="9.140625" style="4" customWidth="1"/>
  </cols>
  <sheetData>
    <row r="1" spans="1:10" s="12" customFormat="1" ht="15" customHeight="1">
      <c r="A1" s="364" t="str">
        <f>IF(ISBLANK('Cover Page'!A4),"School Name",'Cover Page'!A4)</f>
        <v>School Name</v>
      </c>
      <c r="B1" s="364"/>
      <c r="C1" s="364"/>
      <c r="D1" s="364"/>
      <c r="E1" s="364"/>
      <c r="F1" s="364"/>
      <c r="G1" s="364"/>
      <c r="H1" s="364"/>
      <c r="I1" s="364"/>
      <c r="J1" s="27"/>
    </row>
    <row r="2" spans="1:10" s="12" customFormat="1" ht="15" customHeight="1">
      <c r="A2" s="365" t="str">
        <f>'Schedule 2'!B2</f>
        <v>September 20, 2019 SNSP Enrollment Audit</v>
      </c>
      <c r="B2" s="365"/>
      <c r="C2" s="365"/>
      <c r="D2" s="365"/>
      <c r="E2" s="365"/>
      <c r="F2" s="365"/>
      <c r="G2" s="365"/>
      <c r="H2" s="365"/>
      <c r="I2" s="365"/>
      <c r="J2" s="27"/>
    </row>
    <row r="3" spans="1:10" s="12" customFormat="1" ht="15" customHeight="1" thickBot="1">
      <c r="A3" s="366" t="s">
        <v>130</v>
      </c>
      <c r="B3" s="366"/>
      <c r="C3" s="366"/>
      <c r="D3" s="366"/>
      <c r="E3" s="366"/>
      <c r="F3" s="366"/>
      <c r="G3" s="366"/>
      <c r="H3" s="366"/>
      <c r="I3" s="366"/>
      <c r="J3" s="27"/>
    </row>
    <row r="4" spans="1:9" ht="18.75" customHeight="1" thickTop="1">
      <c r="A4" s="13"/>
      <c r="B4" s="13"/>
      <c r="C4" s="363" t="s">
        <v>39</v>
      </c>
      <c r="D4" s="363"/>
      <c r="E4" s="363"/>
      <c r="F4" s="363"/>
      <c r="G4" s="363"/>
      <c r="H4" s="13"/>
      <c r="I4" s="13"/>
    </row>
    <row r="5" spans="1:9" ht="37.5" customHeight="1">
      <c r="A5" s="354" t="s">
        <v>330</v>
      </c>
      <c r="B5" s="354"/>
      <c r="C5" s="354"/>
      <c r="D5" s="354"/>
      <c r="E5" s="354"/>
      <c r="F5" s="354"/>
      <c r="G5" s="354"/>
      <c r="H5" s="354"/>
      <c r="I5" s="354"/>
    </row>
    <row r="6" spans="1:9" ht="25.5" customHeight="1">
      <c r="A6" s="70" t="s">
        <v>45</v>
      </c>
      <c r="B6" s="367" t="s">
        <v>46</v>
      </c>
      <c r="C6" s="368"/>
      <c r="D6" s="281" t="s">
        <v>43</v>
      </c>
      <c r="E6" s="281" t="s">
        <v>44</v>
      </c>
      <c r="F6" s="271" t="s">
        <v>2</v>
      </c>
      <c r="G6" s="358" t="s">
        <v>82</v>
      </c>
      <c r="H6" s="359"/>
      <c r="I6" s="359"/>
    </row>
    <row r="7" spans="1:9" ht="19.5" customHeight="1">
      <c r="A7" s="14">
        <v>1</v>
      </c>
      <c r="B7" s="344" t="s">
        <v>112</v>
      </c>
      <c r="C7" s="345"/>
      <c r="D7" s="186">
        <f>IF('Cover Page'!$A$4="",0,VLOOKUP('Cover Page'!$A$4,Counts!$A$1:$AA$100,Counts!S$104,FALSE))</f>
        <v>0</v>
      </c>
      <c r="E7" s="226"/>
      <c r="F7" s="187">
        <f aca="true" t="shared" si="0" ref="F7:F13">E7-D7</f>
        <v>0</v>
      </c>
      <c r="G7" s="332" t="str">
        <f aca="true" t="shared" si="1" ref="G7:G12">IF(E7&lt;E19,"ERROR","OK")</f>
        <v>OK</v>
      </c>
      <c r="H7" s="333"/>
      <c r="I7" s="333"/>
    </row>
    <row r="8" spans="1:9" ht="19.5" customHeight="1">
      <c r="A8" s="14">
        <v>2</v>
      </c>
      <c r="B8" s="272" t="s">
        <v>113</v>
      </c>
      <c r="C8" s="273"/>
      <c r="D8" s="186">
        <f>IF('Cover Page'!$A$4="",0,VLOOKUP('Cover Page'!$A$4,Counts!$A$1:$AA$100,Counts!T$104,FALSE))</f>
        <v>0</v>
      </c>
      <c r="E8" s="226"/>
      <c r="F8" s="187">
        <f t="shared" si="0"/>
        <v>0</v>
      </c>
      <c r="G8" s="332" t="str">
        <f t="shared" si="1"/>
        <v>OK</v>
      </c>
      <c r="H8" s="333"/>
      <c r="I8" s="333"/>
    </row>
    <row r="9" spans="1:9" ht="19.5" customHeight="1">
      <c r="A9" s="14">
        <v>3</v>
      </c>
      <c r="B9" s="346" t="s">
        <v>114</v>
      </c>
      <c r="C9" s="347"/>
      <c r="D9" s="186">
        <f>IF('Cover Page'!$A$4="",0,VLOOKUP('Cover Page'!$A$4,Counts!$A$1:$AA$100,Counts!U$104,FALSE))</f>
        <v>0</v>
      </c>
      <c r="E9" s="226"/>
      <c r="F9" s="187">
        <f t="shared" si="0"/>
        <v>0</v>
      </c>
      <c r="G9" s="332" t="str">
        <f t="shared" si="1"/>
        <v>OK</v>
      </c>
      <c r="H9" s="333"/>
      <c r="I9" s="333"/>
    </row>
    <row r="10" spans="1:9" ht="19.5" customHeight="1">
      <c r="A10" s="14">
        <v>4</v>
      </c>
      <c r="B10" s="346" t="s">
        <v>115</v>
      </c>
      <c r="C10" s="347"/>
      <c r="D10" s="186">
        <f>IF('Cover Page'!$A$4="",0,VLOOKUP('Cover Page'!$A$4,Counts!$A$1:$AA$100,Counts!V$104,FALSE))</f>
        <v>0</v>
      </c>
      <c r="E10" s="226"/>
      <c r="F10" s="187">
        <f t="shared" si="0"/>
        <v>0</v>
      </c>
      <c r="G10" s="332" t="str">
        <f t="shared" si="1"/>
        <v>OK</v>
      </c>
      <c r="H10" s="333"/>
      <c r="I10" s="333"/>
    </row>
    <row r="11" spans="1:9" ht="19.5" customHeight="1">
      <c r="A11" s="14">
        <v>5</v>
      </c>
      <c r="B11" s="346" t="s">
        <v>116</v>
      </c>
      <c r="C11" s="347"/>
      <c r="D11" s="186">
        <f>IF('Cover Page'!$A$4="",0,VLOOKUP('Cover Page'!$A$4,Counts!$A$1:$AA$100,Counts!W$104,FALSE))</f>
        <v>0</v>
      </c>
      <c r="E11" s="226"/>
      <c r="F11" s="187">
        <f t="shared" si="0"/>
        <v>0</v>
      </c>
      <c r="G11" s="332" t="str">
        <f t="shared" si="1"/>
        <v>OK</v>
      </c>
      <c r="H11" s="333"/>
      <c r="I11" s="333"/>
    </row>
    <row r="12" spans="1:9" ht="19.5" customHeight="1">
      <c r="A12" s="14">
        <v>6</v>
      </c>
      <c r="B12" s="346" t="s">
        <v>117</v>
      </c>
      <c r="C12" s="347"/>
      <c r="D12" s="186">
        <f>IF('Cover Page'!$A$4="",0,VLOOKUP('Cover Page'!$A$4,Counts!$A$1:$AA$100,Counts!X$104,FALSE))</f>
        <v>0</v>
      </c>
      <c r="E12" s="226"/>
      <c r="F12" s="187">
        <f t="shared" si="0"/>
        <v>0</v>
      </c>
      <c r="G12" s="332" t="str">
        <f t="shared" si="1"/>
        <v>OK</v>
      </c>
      <c r="H12" s="333"/>
      <c r="I12" s="333"/>
    </row>
    <row r="13" spans="1:9" ht="19.5" customHeight="1" thickBot="1">
      <c r="A13" s="15">
        <v>7</v>
      </c>
      <c r="B13" s="51" t="s">
        <v>125</v>
      </c>
      <c r="C13" s="52"/>
      <c r="D13" s="186">
        <f>IF('Cover Page'!$A$4="",0,VLOOKUP('Cover Page'!$A$4,Counts!$A$1:$AA$100,Counts!Y$104,FALSE))</f>
        <v>0</v>
      </c>
      <c r="E13" s="227"/>
      <c r="F13" s="187">
        <f t="shared" si="0"/>
        <v>0</v>
      </c>
      <c r="G13" s="350" t="str">
        <f>IF(E13&lt;(E26+E25),"ERROR","OK")</f>
        <v>OK</v>
      </c>
      <c r="H13" s="351"/>
      <c r="I13" s="351"/>
    </row>
    <row r="14" spans="1:9" ht="19.5" customHeight="1" thickBot="1">
      <c r="A14" s="16">
        <v>8</v>
      </c>
      <c r="B14" s="336" t="s">
        <v>0</v>
      </c>
      <c r="C14" s="337"/>
      <c r="D14" s="184">
        <f>SUM(D7:D13)</f>
        <v>0</v>
      </c>
      <c r="E14" s="188">
        <f>SUM(E7:E13)</f>
        <v>0</v>
      </c>
      <c r="F14" s="185">
        <f>SUM(F7:F13)</f>
        <v>0</v>
      </c>
      <c r="G14" s="334">
        <f>COUNTIF(G7:I13,"ERROR")</f>
        <v>0</v>
      </c>
      <c r="H14" s="335"/>
      <c r="I14" s="335"/>
    </row>
    <row r="15" spans="1:9" ht="18.75" customHeight="1" thickTop="1">
      <c r="A15" s="13"/>
      <c r="B15" s="13"/>
      <c r="C15" s="363" t="s">
        <v>69</v>
      </c>
      <c r="D15" s="363"/>
      <c r="E15" s="363"/>
      <c r="F15" s="363"/>
      <c r="G15" s="363"/>
      <c r="H15" s="13"/>
      <c r="I15" s="13"/>
    </row>
    <row r="16" spans="1:9" ht="39" customHeight="1">
      <c r="A16" s="357" t="s">
        <v>285</v>
      </c>
      <c r="B16" s="357"/>
      <c r="C16" s="357"/>
      <c r="D16" s="357"/>
      <c r="E16" s="357"/>
      <c r="F16" s="357"/>
      <c r="G16" s="357"/>
      <c r="H16" s="357"/>
      <c r="I16" s="357"/>
    </row>
    <row r="17" spans="1:9" ht="14.25" customHeight="1">
      <c r="A17" s="369" t="s">
        <v>45</v>
      </c>
      <c r="B17" s="340" t="s">
        <v>79</v>
      </c>
      <c r="C17" s="341"/>
      <c r="D17" s="348" t="s">
        <v>43</v>
      </c>
      <c r="E17" s="355" t="s">
        <v>44</v>
      </c>
      <c r="F17" s="352" t="s">
        <v>2</v>
      </c>
      <c r="G17" s="353"/>
      <c r="H17" s="353"/>
      <c r="I17" s="353"/>
    </row>
    <row r="18" spans="1:9" ht="27" customHeight="1">
      <c r="A18" s="370"/>
      <c r="B18" s="342"/>
      <c r="C18" s="343"/>
      <c r="D18" s="349"/>
      <c r="E18" s="356"/>
      <c r="F18" s="283" t="s">
        <v>109</v>
      </c>
      <c r="G18" s="283" t="s">
        <v>1</v>
      </c>
      <c r="H18" s="282" t="s">
        <v>154</v>
      </c>
      <c r="I18" s="282" t="s">
        <v>155</v>
      </c>
    </row>
    <row r="19" spans="1:9" ht="19.5" customHeight="1">
      <c r="A19" s="14">
        <v>9</v>
      </c>
      <c r="B19" s="344" t="s">
        <v>112</v>
      </c>
      <c r="C19" s="345"/>
      <c r="D19" s="186">
        <f>'Schedule 1-2'!D8+'Schedule 1-2'!D20</f>
        <v>0</v>
      </c>
      <c r="E19" s="189">
        <f>'Schedule 1-2'!E8+'Schedule 1-2'!E20</f>
        <v>0</v>
      </c>
      <c r="F19" s="177">
        <f>'Schedule 1-2'!F8+'Schedule 1-2'!F20</f>
        <v>0</v>
      </c>
      <c r="G19" s="177">
        <f>'Schedule 1-2'!G8+'Schedule 1-2'!G20</f>
        <v>0</v>
      </c>
      <c r="H19" s="190">
        <f>'Schedule 1-2'!H8+'Schedule 1-2'!H20</f>
        <v>0</v>
      </c>
      <c r="I19" s="190">
        <f>'Schedule 1-2'!J8+'Schedule 1-2'!J20</f>
        <v>0</v>
      </c>
    </row>
    <row r="20" spans="1:9" ht="19.5" customHeight="1">
      <c r="A20" s="14">
        <v>10</v>
      </c>
      <c r="B20" s="346" t="s">
        <v>113</v>
      </c>
      <c r="C20" s="347"/>
      <c r="D20" s="186">
        <f>'Schedule 1-2'!D9+'Schedule 1-2'!D21</f>
        <v>0</v>
      </c>
      <c r="E20" s="189">
        <f>'Schedule 1-2'!E9+'Schedule 1-2'!E21</f>
        <v>0</v>
      </c>
      <c r="F20" s="191">
        <f>'Schedule 1-2'!F9+'Schedule 1-2'!F21</f>
        <v>0</v>
      </c>
      <c r="G20" s="177">
        <f>'Schedule 1-2'!G9+'Schedule 1-2'!G21</f>
        <v>0</v>
      </c>
      <c r="H20" s="190">
        <f>'Schedule 1-2'!H9+'Schedule 1-2'!H21</f>
        <v>0</v>
      </c>
      <c r="I20" s="190">
        <f>'Schedule 1-2'!J9+'Schedule 1-2'!J21</f>
        <v>0</v>
      </c>
    </row>
    <row r="21" spans="1:9" ht="19.5" customHeight="1">
      <c r="A21" s="14">
        <v>11</v>
      </c>
      <c r="B21" s="346" t="s">
        <v>114</v>
      </c>
      <c r="C21" s="347"/>
      <c r="D21" s="186">
        <f>'Schedule 1-2'!D10+'Schedule 1-2'!D22</f>
        <v>0</v>
      </c>
      <c r="E21" s="189">
        <f>'Schedule 1-2'!E10+'Schedule 1-2'!E22</f>
        <v>0</v>
      </c>
      <c r="F21" s="178"/>
      <c r="G21" s="192">
        <f>'Schedule 1-2'!G10+'Schedule 1-2'!G22</f>
        <v>0</v>
      </c>
      <c r="H21" s="190">
        <f>'Schedule 1-2'!H10+'Schedule 1-2'!H22</f>
        <v>0</v>
      </c>
      <c r="I21" s="190">
        <f>'Schedule 1-2'!J10+'Schedule 1-2'!J22</f>
        <v>0</v>
      </c>
    </row>
    <row r="22" spans="1:9" ht="19.5" customHeight="1">
      <c r="A22" s="14">
        <v>12</v>
      </c>
      <c r="B22" s="346" t="s">
        <v>115</v>
      </c>
      <c r="C22" s="347"/>
      <c r="D22" s="186">
        <f>'Schedule 1-2'!D11+'Schedule 1-2'!D23</f>
        <v>0</v>
      </c>
      <c r="E22" s="189">
        <f>'Schedule 1-2'!E11+'Schedule 1-2'!E23</f>
        <v>0</v>
      </c>
      <c r="F22" s="179"/>
      <c r="G22" s="192">
        <f>'Schedule 1-2'!G11+'Schedule 1-2'!G23</f>
        <v>0</v>
      </c>
      <c r="H22" s="190">
        <f>'Schedule 1-2'!H11+'Schedule 1-2'!H23</f>
        <v>0</v>
      </c>
      <c r="I22" s="190">
        <f>'Schedule 1-2'!J11+'Schedule 1-2'!J23</f>
        <v>0</v>
      </c>
    </row>
    <row r="23" spans="1:9" ht="19.5" customHeight="1">
      <c r="A23" s="14">
        <v>13</v>
      </c>
      <c r="B23" s="346" t="s">
        <v>116</v>
      </c>
      <c r="C23" s="347"/>
      <c r="D23" s="186">
        <f>'Schedule 1-2'!D12+'Schedule 1-2'!D24</f>
        <v>0</v>
      </c>
      <c r="E23" s="189">
        <f>'Schedule 1-2'!E12+'Schedule 1-2'!E24</f>
        <v>0</v>
      </c>
      <c r="F23" s="179"/>
      <c r="G23" s="192">
        <f>'Schedule 1-2'!G12+'Schedule 1-2'!G24</f>
        <v>0</v>
      </c>
      <c r="H23" s="190">
        <f>'Schedule 1-2'!H12+'Schedule 1-2'!H24</f>
        <v>0</v>
      </c>
      <c r="I23" s="190">
        <f>'Schedule 1-2'!J12+'Schedule 1-2'!J24</f>
        <v>0</v>
      </c>
    </row>
    <row r="24" spans="1:9" ht="19.5" customHeight="1">
      <c r="A24" s="14">
        <v>14</v>
      </c>
      <c r="B24" s="346" t="s">
        <v>117</v>
      </c>
      <c r="C24" s="347"/>
      <c r="D24" s="186">
        <f>'Schedule 1-2'!D13+'Schedule 1-2'!D25</f>
        <v>0</v>
      </c>
      <c r="E24" s="189">
        <f>'Schedule 1-2'!E13+'Schedule 1-2'!E25</f>
        <v>0</v>
      </c>
      <c r="F24" s="179"/>
      <c r="G24" s="192">
        <f>'Schedule 1-2'!G13+'Schedule 1-2'!G25</f>
        <v>0</v>
      </c>
      <c r="H24" s="190">
        <f>'Schedule 1-2'!H13+'Schedule 1-2'!H25</f>
        <v>0</v>
      </c>
      <c r="I24" s="190">
        <f>'Schedule 1-2'!J13+'Schedule 1-2'!J25</f>
        <v>0</v>
      </c>
    </row>
    <row r="25" spans="1:9" ht="19.5" customHeight="1">
      <c r="A25" s="15">
        <v>15</v>
      </c>
      <c r="B25" s="51" t="s">
        <v>118</v>
      </c>
      <c r="C25" s="52"/>
      <c r="D25" s="186">
        <f>'Schedule 1-2'!D14+'Schedule 1-2'!D26</f>
        <v>0</v>
      </c>
      <c r="E25" s="189">
        <f>'Schedule 1-2'!E14+'Schedule 1-2'!E26</f>
        <v>0</v>
      </c>
      <c r="F25" s="179"/>
      <c r="G25" s="193">
        <f>'Schedule 1-2'!G14+'Schedule 1-2'!G26</f>
        <v>0</v>
      </c>
      <c r="H25" s="194">
        <f>'Schedule 1-2'!H14+'Schedule 1-2'!H26</f>
        <v>0</v>
      </c>
      <c r="I25" s="194">
        <f>'Schedule 1-2'!J14+'Schedule 1-2'!J26</f>
        <v>0</v>
      </c>
    </row>
    <row r="26" spans="1:9" ht="19.5" customHeight="1" thickBot="1">
      <c r="A26" s="15">
        <v>16</v>
      </c>
      <c r="B26" s="338" t="s">
        <v>119</v>
      </c>
      <c r="C26" s="339"/>
      <c r="D26" s="186">
        <f>'Schedule 1-2'!D15+'Schedule 1-2'!D27</f>
        <v>0</v>
      </c>
      <c r="E26" s="189">
        <f>'Schedule 1-2'!E15+'Schedule 1-2'!E27</f>
        <v>0</v>
      </c>
      <c r="F26" s="180"/>
      <c r="G26" s="193">
        <f>'Schedule 1-2'!G15+'Schedule 1-2'!G27</f>
        <v>0</v>
      </c>
      <c r="H26" s="194">
        <f>'Schedule 1-2'!H15+'Schedule 1-2'!H27</f>
        <v>0</v>
      </c>
      <c r="I26" s="194">
        <f>'Schedule 1-2'!J15+'Schedule 1-2'!J27</f>
        <v>0</v>
      </c>
    </row>
    <row r="27" spans="1:9" ht="19.5" customHeight="1" thickBot="1">
      <c r="A27" s="16">
        <v>17</v>
      </c>
      <c r="B27" s="336" t="s">
        <v>70</v>
      </c>
      <c r="C27" s="337"/>
      <c r="D27" s="184">
        <f>SUM(D19:D26)</f>
        <v>0</v>
      </c>
      <c r="E27" s="188">
        <f>SUM(E19:E26)</f>
        <v>0</v>
      </c>
      <c r="F27" s="183"/>
      <c r="G27" s="184">
        <f>SUM(G19:G26)</f>
        <v>0</v>
      </c>
      <c r="H27" s="185">
        <f>SUM(H19:H26)</f>
        <v>0</v>
      </c>
      <c r="I27" s="185">
        <f>SUM(I19:I26)</f>
        <v>0</v>
      </c>
    </row>
    <row r="28" spans="1:9" ht="15" customHeight="1" thickTop="1">
      <c r="A28" s="59"/>
      <c r="B28" s="59"/>
      <c r="C28" s="363" t="s">
        <v>80</v>
      </c>
      <c r="D28" s="363"/>
      <c r="E28" s="363"/>
      <c r="F28" s="363"/>
      <c r="G28" s="363"/>
      <c r="H28" s="59"/>
      <c r="I28" s="59"/>
    </row>
    <row r="29" spans="1:9" ht="28.5" customHeight="1" thickBot="1">
      <c r="A29" s="61">
        <v>18</v>
      </c>
      <c r="B29" s="360" t="s">
        <v>287</v>
      </c>
      <c r="C29" s="361"/>
      <c r="D29" s="361"/>
      <c r="E29" s="361"/>
      <c r="F29" s="361"/>
      <c r="G29" s="361"/>
      <c r="H29" s="362"/>
      <c r="I29" s="68"/>
    </row>
    <row r="30" ht="12" thickTop="1"/>
  </sheetData>
  <sheetProtection password="DE89" sheet="1"/>
  <mergeCells count="38">
    <mergeCell ref="B29:H29"/>
    <mergeCell ref="C4:G4"/>
    <mergeCell ref="C15:G15"/>
    <mergeCell ref="C28:G28"/>
    <mergeCell ref="A1:I1"/>
    <mergeCell ref="A2:I2"/>
    <mergeCell ref="A3:I3"/>
    <mergeCell ref="B6:C6"/>
    <mergeCell ref="B7:C7"/>
    <mergeCell ref="A17:A18"/>
    <mergeCell ref="A5:I5"/>
    <mergeCell ref="B12:C12"/>
    <mergeCell ref="B24:C24"/>
    <mergeCell ref="B22:C22"/>
    <mergeCell ref="B23:C23"/>
    <mergeCell ref="E17:E18"/>
    <mergeCell ref="B21:C21"/>
    <mergeCell ref="A16:I16"/>
    <mergeCell ref="G6:I6"/>
    <mergeCell ref="G7:I7"/>
    <mergeCell ref="G8:I8"/>
    <mergeCell ref="G9:I9"/>
    <mergeCell ref="G11:I11"/>
    <mergeCell ref="B14:C14"/>
    <mergeCell ref="B9:C9"/>
    <mergeCell ref="D17:D18"/>
    <mergeCell ref="G12:I12"/>
    <mergeCell ref="G13:I13"/>
    <mergeCell ref="F17:I17"/>
    <mergeCell ref="B11:C11"/>
    <mergeCell ref="G10:I10"/>
    <mergeCell ref="G14:I14"/>
    <mergeCell ref="B27:C27"/>
    <mergeCell ref="B26:C26"/>
    <mergeCell ref="B17:C18"/>
    <mergeCell ref="B19:C19"/>
    <mergeCell ref="B20:C20"/>
    <mergeCell ref="B10:C10"/>
  </mergeCells>
  <conditionalFormatting sqref="G7:G13 I7:I13">
    <cfRule type="cellIs" priority="2" dxfId="5" operator="equal" stopIfTrue="1">
      <formula>"ERROR"</formula>
    </cfRule>
  </conditionalFormatting>
  <conditionalFormatting sqref="H7:H13">
    <cfRule type="cellIs" priority="1" dxfId="5" operator="equal" stopIfTrue="1">
      <formula>"ERROR"</formula>
    </cfRule>
  </conditionalFormatting>
  <dataValidations count="1">
    <dataValidation type="list" allowBlank="1" showInputMessage="1" showErrorMessage="1" sqref="I29">
      <formula1>"Yes,No,N/A"</formula1>
    </dataValidation>
  </dataValidations>
  <printOptions/>
  <pageMargins left="0.45" right="0.45" top="0.75" bottom="0.75" header="0.3" footer="0.3"/>
  <pageSetup fitToHeight="1" fitToWidth="1" horizontalDpi="600" verticalDpi="600" orientation="portrait" r:id="rId1"/>
  <headerFooter>
    <oddHeader>&amp;L&amp;"Arial,Regular"&amp;8Page 2&amp;R&amp;"Arial,Regular"&amp;8PI-SNSP-0102 (10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showGridLines="0" workbookViewId="0" topLeftCell="A10">
      <selection activeCell="U91" sqref="U91"/>
    </sheetView>
  </sheetViews>
  <sheetFormatPr defaultColWidth="9.140625" defaultRowHeight="15"/>
  <cols>
    <col min="1" max="1" width="5.00390625" style="4" customWidth="1"/>
    <col min="2" max="2" width="19.57421875" style="4" customWidth="1"/>
    <col min="3" max="3" width="14.00390625" style="4" customWidth="1"/>
    <col min="4" max="5" width="10.8515625" style="4" customWidth="1"/>
    <col min="6" max="10" width="9.8515625" style="4" customWidth="1"/>
    <col min="11" max="16384" width="9.140625" style="4" customWidth="1"/>
  </cols>
  <sheetData>
    <row r="1" spans="1:10" s="12" customFormat="1" ht="15" customHeight="1">
      <c r="A1" s="364" t="str">
        <f>IF(ISBLANK('Cover Page'!A4),"School Name",'Cover Page'!A4)</f>
        <v>School Name</v>
      </c>
      <c r="B1" s="364"/>
      <c r="C1" s="364"/>
      <c r="D1" s="364"/>
      <c r="E1" s="364"/>
      <c r="F1" s="364"/>
      <c r="G1" s="364"/>
      <c r="H1" s="364"/>
      <c r="I1" s="364"/>
      <c r="J1" s="364"/>
    </row>
    <row r="2" spans="1:10" s="12" customFormat="1" ht="15" customHeight="1">
      <c r="A2" s="365" t="str">
        <f>'Schedule 2'!B2</f>
        <v>September 20, 2019 SNSP Enrollment Audit</v>
      </c>
      <c r="B2" s="365"/>
      <c r="C2" s="365"/>
      <c r="D2" s="365"/>
      <c r="E2" s="365"/>
      <c r="F2" s="365"/>
      <c r="G2" s="365"/>
      <c r="H2" s="365"/>
      <c r="I2" s="365"/>
      <c r="J2" s="365"/>
    </row>
    <row r="3" spans="1:10" s="12" customFormat="1" ht="15" customHeight="1">
      <c r="A3" s="371" t="s">
        <v>122</v>
      </c>
      <c r="B3" s="371"/>
      <c r="C3" s="371"/>
      <c r="D3" s="371"/>
      <c r="E3" s="371"/>
      <c r="F3" s="371"/>
      <c r="G3" s="371"/>
      <c r="H3" s="371"/>
      <c r="I3" s="371"/>
      <c r="J3" s="371"/>
    </row>
    <row r="4" spans="1:10" ht="39" customHeight="1" thickBot="1">
      <c r="A4" s="372" t="s">
        <v>331</v>
      </c>
      <c r="B4" s="372"/>
      <c r="C4" s="372"/>
      <c r="D4" s="372"/>
      <c r="E4" s="372"/>
      <c r="F4" s="372"/>
      <c r="G4" s="372"/>
      <c r="H4" s="372"/>
      <c r="I4" s="372"/>
      <c r="J4" s="372"/>
    </row>
    <row r="5" spans="1:10" ht="16.5" customHeight="1" thickTop="1">
      <c r="A5" s="13"/>
      <c r="B5" s="13"/>
      <c r="C5" s="363" t="s">
        <v>120</v>
      </c>
      <c r="D5" s="363"/>
      <c r="E5" s="363"/>
      <c r="F5" s="363"/>
      <c r="G5" s="363"/>
      <c r="H5" s="13"/>
      <c r="I5" s="13"/>
      <c r="J5" s="13"/>
    </row>
    <row r="6" spans="1:10" ht="14.25" customHeight="1">
      <c r="A6" s="373" t="s">
        <v>45</v>
      </c>
      <c r="B6" s="340" t="s">
        <v>79</v>
      </c>
      <c r="C6" s="341"/>
      <c r="D6" s="348" t="s">
        <v>43</v>
      </c>
      <c r="E6" s="355" t="s">
        <v>44</v>
      </c>
      <c r="F6" s="352" t="s">
        <v>2</v>
      </c>
      <c r="G6" s="353"/>
      <c r="H6" s="353"/>
      <c r="I6" s="353"/>
      <c r="J6" s="353"/>
    </row>
    <row r="7" spans="1:10" ht="36" customHeight="1">
      <c r="A7" s="374"/>
      <c r="B7" s="342"/>
      <c r="C7" s="343"/>
      <c r="D7" s="349"/>
      <c r="E7" s="356"/>
      <c r="F7" s="283" t="s">
        <v>109</v>
      </c>
      <c r="G7" s="283" t="s">
        <v>1</v>
      </c>
      <c r="H7" s="282" t="s">
        <v>154</v>
      </c>
      <c r="I7" s="282" t="s">
        <v>296</v>
      </c>
      <c r="J7" s="282" t="s">
        <v>155</v>
      </c>
    </row>
    <row r="8" spans="1:10" ht="16.5" customHeight="1">
      <c r="A8" s="14">
        <v>1</v>
      </c>
      <c r="B8" s="344" t="s">
        <v>112</v>
      </c>
      <c r="C8" s="345"/>
      <c r="D8" s="175">
        <f>IF('Cover Page'!$A$4="",0,VLOOKUP('Cover Page'!$A$4,Counts!$A$1:$AA$100,Counts!C$104,FALSE))</f>
        <v>0</v>
      </c>
      <c r="E8" s="176">
        <f>D8+SUM(F8:J8)</f>
        <v>0</v>
      </c>
      <c r="F8" s="177">
        <f>IF('Schedule 1-1'!$I$29="No",D9,IF('Schedule 1-1'!$I$29="Yes",-D8,0))</f>
        <v>0</v>
      </c>
      <c r="G8" s="177">
        <f>-1*IF('Schedule 1-1'!$I$29="No",_xlfn.COUNTIFS('Schedule 2'!$F$8:$F$17,"Full",'Schedule 2'!$B$8:$B$17,"K4"),0)</f>
        <v>0</v>
      </c>
      <c r="H8" s="177">
        <f>IF('Schedule 1-1'!$I$29="No",(-1*_xlfn.COUNTIFS('Schedule 3'!$F$9:$F$18,"Full",'Schedule 3'!$B$9:$B$18,"K4",'Schedule 3'!$N$9:$N$18,"Yes"))+_xlfn.COUNTIFS('Schedule 3'!$F$9:$F$18,"Full",'Schedule 3'!$G$9:$G$18,"K4",'Schedule 3'!$N$9:$N$18,"Yes"),0)</f>
        <v>0</v>
      </c>
      <c r="I8" s="177">
        <f>IF('Schedule 1-1'!$I$29="No",(-1*_xlfn.COUNTIFS('Schedule 3'!$F$9:$F$18,"Full",'Schedule 3'!$G$9:$G$18,"K4",'Schedule 3'!$O$9:$O$18,"Yes"))+_xlfn.COUNTIFS('Schedule 3'!$J$9:$J$18,"Full",'Schedule 3'!$G$9:$G$18,"K4",'Schedule 3'!$O$9:$O$18,"Yes"),0)</f>
        <v>0</v>
      </c>
      <c r="J8" s="190">
        <f>IF('Schedule 1-1'!$I$29="No",_xlfn.COUNTIFS('Schedule 4'!$F$7:$F$16,"Full",'Schedule 4'!$B$7:$B$16,"K4"),0)</f>
        <v>0</v>
      </c>
    </row>
    <row r="9" spans="1:10" ht="16.5" customHeight="1">
      <c r="A9" s="14">
        <v>2</v>
      </c>
      <c r="B9" s="346" t="s">
        <v>113</v>
      </c>
      <c r="C9" s="347"/>
      <c r="D9" s="175">
        <f>IF('Cover Page'!$A$4="",0,VLOOKUP('Cover Page'!$A$4,Counts!$A$1:$AA$100,Counts!D$104,FALSE))</f>
        <v>0</v>
      </c>
      <c r="E9" s="176">
        <f>D9+SUM(F9:J9)</f>
        <v>0</v>
      </c>
      <c r="F9" s="177">
        <f>IF('Schedule 1-1'!$I$29="Yes",D8,IF('Schedule 1-1'!$I$29="No",-D9,0))</f>
        <v>0</v>
      </c>
      <c r="G9" s="177">
        <f>-1*IF('Schedule 1-1'!$I$29="Yes",_xlfn.COUNTIFS('Schedule 2'!$F$8:$F$17,"Full",'Schedule 2'!$B$8:$B$17,"K4"),0)</f>
        <v>0</v>
      </c>
      <c r="H9" s="177">
        <f>IF('Schedule 1-1'!$I$29="Yes",(-1*_xlfn.COUNTIFS('Schedule 3'!$F$9:$F$18,"Full",'Schedule 3'!$B$9:$B$18,"K4",'Schedule 3'!$N$9:$N$18,"Yes"))+_xlfn.COUNTIFS('Schedule 3'!$F$9:$F$18,"Full",'Schedule 3'!$G$9:$G$18,"K4",'Schedule 3'!$N$9:$N$18,"Yes"),0)</f>
        <v>0</v>
      </c>
      <c r="I9" s="177">
        <f>IF('Schedule 1-1'!$I$29="Yes",(-1*_xlfn.COUNTIFS('Schedule 3'!$F$9:$F$18,"Full",'Schedule 3'!$G$9:$G$18,"K4",'Schedule 3'!$O$9:$O$18,"Yes"))+_xlfn.COUNTIFS('Schedule 3'!$J$9:$J$18,"Full",'Schedule 3'!$G$9:$G$18,"K4",'Schedule 3'!$O$9:$O$18,"Yes"),0)</f>
        <v>0</v>
      </c>
      <c r="J9" s="190">
        <f>IF('Schedule 1-1'!$I$29="Yes",_xlfn.COUNTIFS('Schedule 4'!$F$7:$F$16,"Full",'Schedule 4'!$B$7:$B$16,"K4"),0)</f>
        <v>0</v>
      </c>
    </row>
    <row r="10" spans="1:10" ht="16.5" customHeight="1">
      <c r="A10" s="14">
        <v>3</v>
      </c>
      <c r="B10" s="346" t="s">
        <v>114</v>
      </c>
      <c r="C10" s="347"/>
      <c r="D10" s="175">
        <f>IF('Cover Page'!$A$4="",0,VLOOKUP('Cover Page'!$A$4,Counts!$A$1:$AA$100,Counts!E$104,FALSE))</f>
        <v>0</v>
      </c>
      <c r="E10" s="176">
        <f aca="true" t="shared" si="0" ref="E10:E15">D10+SUM(G10:J10)</f>
        <v>0</v>
      </c>
      <c r="F10" s="178"/>
      <c r="G10" s="177">
        <f>-1*_xlfn.COUNTIFS('Schedule 2'!$F$8:$F$17,"Full",'Schedule 2'!$B$8:$B$17,"K5-0.5 FTE")</f>
        <v>0</v>
      </c>
      <c r="H10" s="177">
        <f>(-1*_xlfn.COUNTIFS('Schedule 3'!$F$9:$F$18,"Full",'Schedule 3'!$B$9:$B$18,"K5-0.5 FTE",'Schedule 3'!$N$9:$N$18,"Yes"))+_xlfn.COUNTIFS('Schedule 3'!$F$9:$F$18,"Full",'Schedule 3'!$G$9:$G$18,"K5-0.5 FTE",'Schedule 3'!$N$9:$N$18,"Yes")</f>
        <v>0</v>
      </c>
      <c r="I10" s="177">
        <f>(-1*_xlfn.COUNTIFS('Schedule 3'!$F$9:$F$18,"Full",'Schedule 3'!$G$9:$G$18,"K5-0.5 FTE",'Schedule 3'!$O$9:$O$18,"Yes"))+_xlfn.COUNTIFS('Schedule 3'!$J$9:$J$18,"Full",'Schedule 3'!$G$9:$G$18,"K5-0.5 FTE",'Schedule 3'!$O$9:$O$18,"Yes")</f>
        <v>0</v>
      </c>
      <c r="J10" s="190">
        <f>_xlfn.COUNTIFS('Schedule 4'!$F$7:$F$16,"Full",'Schedule 4'!$B$7:$B$16,"K5-0.5 FTE")</f>
        <v>0</v>
      </c>
    </row>
    <row r="11" spans="1:10" ht="16.5" customHeight="1">
      <c r="A11" s="14">
        <v>4</v>
      </c>
      <c r="B11" s="346" t="s">
        <v>115</v>
      </c>
      <c r="C11" s="347"/>
      <c r="D11" s="175">
        <f>IF('Cover Page'!$A$4="",0,VLOOKUP('Cover Page'!$A$4,Counts!$A$1:$AA$100,Counts!F$104,FALSE))</f>
        <v>0</v>
      </c>
      <c r="E11" s="176">
        <f t="shared" si="0"/>
        <v>0</v>
      </c>
      <c r="F11" s="179"/>
      <c r="G11" s="177">
        <f>-1*_xlfn.COUNTIFS('Schedule 2'!$F$8:$F$17,"Full",'Schedule 2'!$B$8:$B$17,"K5-0.6 FTE")</f>
        <v>0</v>
      </c>
      <c r="H11" s="177">
        <f>(-1*_xlfn.COUNTIFS('Schedule 3'!$F$9:$F$18,"Full",'Schedule 3'!$B$9:$B$18,"K5-0.6 FTE",'Schedule 3'!$N$9:$N$18,"Yes"))+_xlfn.COUNTIFS('Schedule 3'!$F$9:$F$18,"Full",'Schedule 3'!$G$9:$G$18,"K5-0.6 FTE",'Schedule 3'!$N$9:$N$18,"Yes")</f>
        <v>0</v>
      </c>
      <c r="I11" s="177">
        <f>(-1*_xlfn.COUNTIFS('Schedule 3'!$F$9:$F$18,"Full",'Schedule 3'!$G$9:$G$18,"K5-0.6 FTE",'Schedule 3'!$O$9:$O$18,"Yes"))+_xlfn.COUNTIFS('Schedule 3'!$J$9:$J$18,"Full",'Schedule 3'!$G$9:$G$18,"K5-0.6 FTE",'Schedule 3'!$O$9:$O$18,"Yes")</f>
        <v>0</v>
      </c>
      <c r="J11" s="190">
        <f>_xlfn.COUNTIFS('Schedule 4'!$F$7:$F$16,"Full",'Schedule 4'!$B$7:$B$16,"K5-0.6 FTE")</f>
        <v>0</v>
      </c>
    </row>
    <row r="12" spans="1:10" ht="16.5" customHeight="1">
      <c r="A12" s="14">
        <v>5</v>
      </c>
      <c r="B12" s="346" t="s">
        <v>116</v>
      </c>
      <c r="C12" s="347"/>
      <c r="D12" s="175">
        <f>IF('Cover Page'!$A$4="",0,VLOOKUP('Cover Page'!$A$4,Counts!$A$1:$AA$100,Counts!G$104,FALSE))</f>
        <v>0</v>
      </c>
      <c r="E12" s="176">
        <f t="shared" si="0"/>
        <v>0</v>
      </c>
      <c r="F12" s="179"/>
      <c r="G12" s="177">
        <f>-1*_xlfn.COUNTIFS('Schedule 2'!$F$8:$F$17,"Full",'Schedule 2'!$B$8:$B$17,"K5-0.8 FTE")</f>
        <v>0</v>
      </c>
      <c r="H12" s="177">
        <f>(-1*_xlfn.COUNTIFS('Schedule 3'!$F$9:$F$18,"Full",'Schedule 3'!$B$9:$B$18,"K5-0.8 FTE",'Schedule 3'!$N$9:$N$18,"Yes"))+_xlfn.COUNTIFS('Schedule 3'!$F$9:$F$18,"Full",'Schedule 3'!$G$9:$G$18,"K5-0.8 FTE",'Schedule 3'!$N$9:$N$18,"Yes")</f>
        <v>0</v>
      </c>
      <c r="I12" s="177">
        <f>(-1*_xlfn.COUNTIFS('Schedule 3'!$F$9:$F$18,"Full",'Schedule 3'!$G$9:$G$18,"K5-0.8 FTE",'Schedule 3'!$O$9:$O$18,"Yes"))+_xlfn.COUNTIFS('Schedule 3'!$J$9:$J$18,"Full",'Schedule 3'!$G$9:$G$18,"K5-0.8 FTE",'Schedule 3'!$O$9:$O$18,"Yes")</f>
        <v>0</v>
      </c>
      <c r="J12" s="190">
        <f>_xlfn.COUNTIFS('Schedule 4'!$F$7:$F$16,"Full",'Schedule 4'!$B$7:$B$16,"K5-0.8 FTE")</f>
        <v>0</v>
      </c>
    </row>
    <row r="13" spans="1:10" ht="16.5" customHeight="1">
      <c r="A13" s="14">
        <v>6</v>
      </c>
      <c r="B13" s="346" t="s">
        <v>117</v>
      </c>
      <c r="C13" s="347"/>
      <c r="D13" s="175">
        <f>IF('Cover Page'!$A$4="",0,VLOOKUP('Cover Page'!$A$4,Counts!$A$1:$AA$100,Counts!H$104,FALSE))</f>
        <v>0</v>
      </c>
      <c r="E13" s="176">
        <f t="shared" si="0"/>
        <v>0</v>
      </c>
      <c r="F13" s="179"/>
      <c r="G13" s="177">
        <f>-1*_xlfn.COUNTIFS('Schedule 2'!$F$8:$F$17,"Full",'Schedule 2'!$B$8:$B$17,"K5-1.0 FTE")</f>
        <v>0</v>
      </c>
      <c r="H13" s="177">
        <f>(-1*_xlfn.COUNTIFS('Schedule 3'!$F$9:$F$18,"Full",'Schedule 3'!$B$9:$B$18,"K5-1.0 FTE",'Schedule 3'!$N$9:$N$18,"Yes"))+_xlfn.COUNTIFS('Schedule 3'!$F$9:$F$18,"Full",'Schedule 3'!$G$9:$G$18,"K5-1.0 FTE",'Schedule 3'!$N$9:$N$18,"Yes")</f>
        <v>0</v>
      </c>
      <c r="I13" s="177">
        <f>(-1*_xlfn.COUNTIFS('Schedule 3'!$F$9:$F$18,"Full",'Schedule 3'!$G$9:$G$18,"K5-1.0 FTE",'Schedule 3'!$O$9:$O$18,"Yes"))+_xlfn.COUNTIFS('Schedule 3'!$J$9:$J$18,"Full",'Schedule 3'!$G$9:$G$18,"K5-1.0 FTE",'Schedule 3'!$O$9:$O$18,"Yes")</f>
        <v>0</v>
      </c>
      <c r="J13" s="190">
        <f>_xlfn.COUNTIFS('Schedule 4'!$F$7:$F$16,"Full",'Schedule 4'!$B$7:$B$16,"K5-1.0 FTE")</f>
        <v>0</v>
      </c>
    </row>
    <row r="14" spans="1:10" ht="16.5" customHeight="1">
      <c r="A14" s="15">
        <v>7</v>
      </c>
      <c r="B14" s="51" t="s">
        <v>118</v>
      </c>
      <c r="C14" s="52"/>
      <c r="D14" s="175">
        <f>IF('Cover Page'!$A$4="",0,VLOOKUP('Cover Page'!$A$4,Counts!$A$1:$AA$100,Counts!I$104,FALSE))</f>
        <v>0</v>
      </c>
      <c r="E14" s="176">
        <f t="shared" si="0"/>
        <v>0</v>
      </c>
      <c r="F14" s="179"/>
      <c r="G14" s="177">
        <f>-1*(COUNTIF('Schedule 2'!$F$8:$F$17,"Full")+SUM(G8:G13,G15))</f>
        <v>0</v>
      </c>
      <c r="H14" s="194">
        <f>(-1*_xlfn.COUNTIFS('Schedule 3'!$F$9:$F$18,"Full",'Schedule 3'!$N$9:$N$18,"Yes"))+_xlfn.COUNTIFS('Schedule 3'!$F$9:$F$18,"Full",'Schedule 3'!$N$9:$N$18,"Yes")-SUM(H8:H13,H15)</f>
        <v>0</v>
      </c>
      <c r="I14" s="194">
        <f>(-1*_xlfn.COUNTIFS('Schedule 3'!$F$9:$F$18,"Full",'Schedule 3'!$O$9:$O$18,"Yes"))+_xlfn.COUNTIFS('Schedule 3'!$J$9:$J$18,"Full",'Schedule 3'!$O$9:$O$18,"Yes")-SUM(I8:I13,I15)</f>
        <v>0</v>
      </c>
      <c r="J14" s="190">
        <f>COUNTIF('Schedule 4'!$F$7:$F$16,"Full")-SUM(J8:J13,J15)</f>
        <v>0</v>
      </c>
    </row>
    <row r="15" spans="1:10" ht="16.5" customHeight="1" thickBot="1">
      <c r="A15" s="15">
        <v>8</v>
      </c>
      <c r="B15" s="338" t="s">
        <v>119</v>
      </c>
      <c r="C15" s="339"/>
      <c r="D15" s="175">
        <f>IF('Cover Page'!$A$4="",0,VLOOKUP('Cover Page'!$A$4,Counts!$A$1:$AA$100,Counts!J$104,FALSE))</f>
        <v>0</v>
      </c>
      <c r="E15" s="176">
        <f t="shared" si="0"/>
        <v>0</v>
      </c>
      <c r="F15" s="180"/>
      <c r="G15" s="177">
        <f>-1*(_xlfn.COUNTIFS('Schedule 2'!$F$8:$F$17,"Full",'Schedule 2'!$B$8:$B$17,"9")+_xlfn.COUNTIFS('Schedule 2'!$F$8:$F$17,"Full",'Schedule 2'!$B$8:$B$17,"10")+_xlfn.COUNTIFS('Schedule 2'!$F$8:$F$17,"Full",'Schedule 2'!$B$8:$B$17,"11")+_xlfn.COUNTIFS('Schedule 2'!$F$8:$F$17,"Full",'Schedule 2'!$B$8:$B$17,"12"))</f>
        <v>0</v>
      </c>
      <c r="H15" s="194">
        <f>(-1*_xlfn.COUNTIFS('Schedule 3'!$F$9:$F$18,"Full",'Schedule 3'!$B$9:$B$18,"9",'Schedule 3'!$N$9:$N$18,"Yes"))+_xlfn.COUNTIFS('Schedule 3'!$F$9:$F$18,"Full",'Schedule 3'!$G$9:$G$18,"9",'Schedule 3'!$N$9:$N$18,"Yes")-_xlfn.COUNTIFS('Schedule 3'!$F$9:$F$18,"Full",'Schedule 3'!$B$9:$B$18,"10",'Schedule 3'!$N$9:$N$18,"Yes")+_xlfn.COUNTIFS('Schedule 3'!$F$9:$F$18,"Full",'Schedule 3'!$G$9:$G$18,"10",'Schedule 3'!$N$9:$N$18,"Yes")-_xlfn.COUNTIFS('Schedule 3'!$F$9:$F$18,"Full",'Schedule 3'!$B$9:$B$18,"11",'Schedule 3'!$N$9:$N$18,"Yes")+_xlfn.COUNTIFS('Schedule 3'!$F$9:$F$18,"Full",'Schedule 3'!$G$9:$G$18,"11",'Schedule 3'!$N$9:$N$18,"Yes")-_xlfn.COUNTIFS('Schedule 3'!$F$9:$F$18,"Full",'Schedule 3'!$B$9:$B$18,"12",'Schedule 3'!$N$9:$N$18,"Yes")+_xlfn.COUNTIFS('Schedule 3'!$F$9:$F$18,"Full",'Schedule 3'!$G$9:$G$18,"12",'Schedule 3'!$N$9:$N$18,"Yes")</f>
        <v>0</v>
      </c>
      <c r="I15" s="194">
        <f>(-1*_xlfn.COUNTIFS('Schedule 3'!$F$9:$F$18,"Full",'Schedule 3'!$G$9:$G$18,"9",'Schedule 3'!$O$9:$O$18,"Yes"))+_xlfn.COUNTIFS('Schedule 3'!$J$9:$J$18,"Full",'Schedule 3'!$G$9:$G$18,"9",'Schedule 3'!$O$9:$O$18,"Yes")-_xlfn.COUNTIFS('Schedule 3'!$F$9:$F$18,"Full",'Schedule 3'!$G$9:$G$18,"10",'Schedule 3'!$O$9:$O$18,"Yes")+_xlfn.COUNTIFS('Schedule 3'!$J$9:$J$18,"Full",'Schedule 3'!$G$9:$G$18,"10",'Schedule 3'!$O$9:$O$18,"Yes")-_xlfn.COUNTIFS('Schedule 3'!$F$9:$F$18,"Full",'Schedule 3'!$G$9:$G$18,"11",'Schedule 3'!$O$9:$O$18,"Yes")+_xlfn.COUNTIFS('Schedule 3'!$J$9:$J$18,"Full",'Schedule 3'!$G$9:$G$18,"11",'Schedule 3'!$O$9:$O$18,"Yes")-_xlfn.COUNTIFS('Schedule 3'!$F$9:$F$18,"Full",'Schedule 3'!$G$9:$G$18,"12",'Schedule 3'!$O$9:$O$18,"Yes")+_xlfn.COUNTIFS('Schedule 3'!$J$9:$J$18,"Full",'Schedule 3'!$G$9:$G$18,"12",'Schedule 3'!$O$9:$O$18,"Yes")</f>
        <v>0</v>
      </c>
      <c r="J15" s="194">
        <f>_xlfn.COUNTIFS('Schedule 4'!$F$7:$F$16,"Full",'Schedule 4'!$B$7:$B$16,"9")+_xlfn.COUNTIFS('Schedule 4'!$F$7:$F$16,"Full",'Schedule 4'!$B$7:$B$16,"10")+_xlfn.COUNTIFS('Schedule 4'!$F$7:$F$16,"Full",'Schedule 4'!$B$7:$B$16,"11")+_xlfn.COUNTIFS('Schedule 4'!$F$7:$F$16,"Full",'Schedule 4'!$B$7:$B$16,"12")</f>
        <v>0</v>
      </c>
    </row>
    <row r="16" spans="1:10" ht="16.5" customHeight="1" thickBot="1">
      <c r="A16" s="16">
        <v>9</v>
      </c>
      <c r="B16" s="336" t="s">
        <v>123</v>
      </c>
      <c r="C16" s="337"/>
      <c r="D16" s="181">
        <f>SUM(D8:D15)</f>
        <v>0</v>
      </c>
      <c r="E16" s="182">
        <f>SUM(E8:E15)</f>
        <v>0</v>
      </c>
      <c r="F16" s="183"/>
      <c r="G16" s="184">
        <f>SUM(G8:G15)</f>
        <v>0</v>
      </c>
      <c r="H16" s="185">
        <f>SUM(H8:H15)</f>
        <v>0</v>
      </c>
      <c r="I16" s="185">
        <f>SUM(I8:I15)</f>
        <v>0</v>
      </c>
      <c r="J16" s="185">
        <f>SUM(J8:J15)</f>
        <v>0</v>
      </c>
    </row>
    <row r="17" spans="1:10" ht="16.5" customHeight="1" thickTop="1">
      <c r="A17" s="13"/>
      <c r="B17" s="13"/>
      <c r="C17" s="363" t="s">
        <v>121</v>
      </c>
      <c r="D17" s="363"/>
      <c r="E17" s="363"/>
      <c r="F17" s="363"/>
      <c r="G17" s="363"/>
      <c r="H17" s="13"/>
      <c r="I17" s="13"/>
      <c r="J17" s="13"/>
    </row>
    <row r="18" spans="1:10" ht="14.25" customHeight="1">
      <c r="A18" s="373" t="s">
        <v>45</v>
      </c>
      <c r="B18" s="340" t="s">
        <v>79</v>
      </c>
      <c r="C18" s="341"/>
      <c r="D18" s="348" t="s">
        <v>43</v>
      </c>
      <c r="E18" s="355" t="s">
        <v>44</v>
      </c>
      <c r="F18" s="352" t="s">
        <v>2</v>
      </c>
      <c r="G18" s="353"/>
      <c r="H18" s="353"/>
      <c r="I18" s="353"/>
      <c r="J18" s="353"/>
    </row>
    <row r="19" spans="1:10" ht="36.75" customHeight="1">
      <c r="A19" s="374"/>
      <c r="B19" s="342"/>
      <c r="C19" s="343"/>
      <c r="D19" s="349"/>
      <c r="E19" s="356"/>
      <c r="F19" s="283" t="s">
        <v>109</v>
      </c>
      <c r="G19" s="283" t="s">
        <v>1</v>
      </c>
      <c r="H19" s="282" t="s">
        <v>154</v>
      </c>
      <c r="I19" s="282" t="s">
        <v>296</v>
      </c>
      <c r="J19" s="282" t="s">
        <v>155</v>
      </c>
    </row>
    <row r="20" spans="1:10" ht="16.5" customHeight="1">
      <c r="A20" s="14">
        <v>10</v>
      </c>
      <c r="B20" s="344" t="s">
        <v>112</v>
      </c>
      <c r="C20" s="345"/>
      <c r="D20" s="175">
        <f>IF('Cover Page'!$A$4="",0,VLOOKUP('Cover Page'!$A$4,Counts!$A$1:$AA$100,Counts!K$104,FALSE))</f>
        <v>0</v>
      </c>
      <c r="E20" s="176">
        <f>D20+SUM(F20:J20)</f>
        <v>0</v>
      </c>
      <c r="F20" s="177">
        <f>IF('Schedule 1-1'!$I$29="No",D21,IF('Schedule 1-1'!$I$29="Yes",-D20,0))</f>
        <v>0</v>
      </c>
      <c r="G20" s="177">
        <f>-1*IF('Schedule 1-1'!$I$29="No",_xlfn.COUNTIFS('Schedule 2'!$F$8:$F$17,"Partial",'Schedule 2'!$B$8:$B$17,"K4"),0)</f>
        <v>0</v>
      </c>
      <c r="H20" s="177">
        <f>IF('Schedule 1-1'!$I$29="No",(-1*_xlfn.COUNTIFS('Schedule 3'!$F$9:$F$18,"Partial",'Schedule 3'!$B$9:$B$18,"K4",'Schedule 3'!$N$9:$N$18,"Yes"))+_xlfn.COUNTIFS('Schedule 3'!$F$9:$F$18,"Partial",'Schedule 3'!$G$9:$G$18,"K4",'Schedule 3'!$N$9:$N$18,"Yes"),0)</f>
        <v>0</v>
      </c>
      <c r="I20" s="177">
        <f>IF('Schedule 1-1'!$I$29="No",(-1*_xlfn.COUNTIFS('Schedule 3'!$F$9:$F$18,"Partial",'Schedule 3'!$G$9:$G$18,"K4",'Schedule 3'!$O$9:$O$18,"Yes"))+_xlfn.COUNTIFS('Schedule 3'!$J$9:$J$18,"Partial",'Schedule 3'!$G$9:$G$18,"K4",'Schedule 3'!$O$9:$O$18,"Yes"),0)</f>
        <v>0</v>
      </c>
      <c r="J20" s="190">
        <f>IF('Schedule 1-1'!$I$29="No",_xlfn.COUNTIFS('Schedule 4'!$F$7:$F$16,"Partial",'Schedule 4'!$B$7:$B$16,"K4"),0)</f>
        <v>0</v>
      </c>
    </row>
    <row r="21" spans="1:10" ht="16.5" customHeight="1">
      <c r="A21" s="14">
        <v>11</v>
      </c>
      <c r="B21" s="346" t="s">
        <v>113</v>
      </c>
      <c r="C21" s="347"/>
      <c r="D21" s="175">
        <f>IF('Cover Page'!$A$4="",0,VLOOKUP('Cover Page'!$A$4,Counts!$A$1:$AA$100,Counts!L$104,FALSE))</f>
        <v>0</v>
      </c>
      <c r="E21" s="176">
        <f>D21+SUM(F21:J21)</f>
        <v>0</v>
      </c>
      <c r="F21" s="177">
        <f>IF('Schedule 1-1'!$I$29="Yes",D20,IF('Schedule 1-1'!$I$29="No",-D21,0))</f>
        <v>0</v>
      </c>
      <c r="G21" s="177">
        <f>-1*IF('Schedule 1-1'!$I$29="Yes",_xlfn.COUNTIFS('Schedule 2'!$F$8:$F$17,"Partial",'Schedule 2'!$B$8:$B$17,"K4"),0)</f>
        <v>0</v>
      </c>
      <c r="H21" s="177">
        <f>IF('Schedule 1-1'!$I$29="Yes",(-1*_xlfn.COUNTIFS('Schedule 3'!$F$9:$F$18,"Partial",'Schedule 3'!$B$9:$B$18,"K4",'Schedule 3'!$N$9:$N$18,"Yes"))+_xlfn.COUNTIFS('Schedule 3'!$F$9:$F$18,"Partial",'Schedule 3'!$G$9:$G$18,"K4",'Schedule 3'!$N$9:$N$18,"Yes"),0)</f>
        <v>0</v>
      </c>
      <c r="I21" s="177">
        <f>IF('Schedule 1-1'!$I$29="Yes",(-1*_xlfn.COUNTIFS('Schedule 3'!$F$9:$F$18,"Partial",'Schedule 3'!$G$9:$G$18,"K4",'Schedule 3'!$O$9:$O$18,"Yes"))+_xlfn.COUNTIFS('Schedule 3'!$J$9:$J$18,"Partial",'Schedule 3'!$G$9:$G$18,"K4",'Schedule 3'!$O$9:$O$18,"Yes"),0)</f>
        <v>0</v>
      </c>
      <c r="J21" s="190">
        <f>IF('Schedule 1-1'!$I$29="Yes",_xlfn.COUNTIFS('Schedule 4'!$F$7:$F$16,"Partial",'Schedule 4'!$B$7:$B$16,"K4"),0)</f>
        <v>0</v>
      </c>
    </row>
    <row r="22" spans="1:10" ht="16.5" customHeight="1">
      <c r="A22" s="14">
        <v>12</v>
      </c>
      <c r="B22" s="346" t="s">
        <v>114</v>
      </c>
      <c r="C22" s="347"/>
      <c r="D22" s="175">
        <f>IF('Cover Page'!$A$4="",0,VLOOKUP('Cover Page'!$A$4,Counts!$A$1:$AA$100,Counts!M$104,FALSE))</f>
        <v>0</v>
      </c>
      <c r="E22" s="176">
        <f aca="true" t="shared" si="1" ref="E22:E27">D22+SUM(G22:J22)</f>
        <v>0</v>
      </c>
      <c r="F22" s="178"/>
      <c r="G22" s="177">
        <f>-1*_xlfn.COUNTIFS('Schedule 2'!$F$8:$F$17,"Partial",'Schedule 2'!$B$8:$B$17,"K5-0.5 FTE")</f>
        <v>0</v>
      </c>
      <c r="H22" s="177">
        <f>(-1*_xlfn.COUNTIFS('Schedule 3'!$F$9:$F$18,"Partial",'Schedule 3'!$B$9:$B$18,"K5-0.5 FTE",'Schedule 3'!$N$9:$N$18,"Yes"))+_xlfn.COUNTIFS('Schedule 3'!$F$9:$F$18,"Partial",'Schedule 3'!$G$9:$G$18,"K5-0.5 FTE",'Schedule 3'!$N$9:$N$18,"Yes")</f>
        <v>0</v>
      </c>
      <c r="I22" s="177">
        <f>(-1*_xlfn.COUNTIFS('Schedule 3'!$F$9:$F$18,"Partial",'Schedule 3'!$G$9:$G$18,"K5-0.5 FTE",'Schedule 3'!$O$9:$O$18,"Yes"))+_xlfn.COUNTIFS('Schedule 3'!$J$9:$J$18,"Partial",'Schedule 3'!$G$9:$G$18,"K5-0.5 FTE",'Schedule 3'!$O$9:$O$18,"Yes")</f>
        <v>0</v>
      </c>
      <c r="J22" s="190">
        <f>_xlfn.COUNTIFS('Schedule 4'!$F$7:$F$16,"Partial",'Schedule 4'!$B$7:$B$16,"K5-0.5 FTE")</f>
        <v>0</v>
      </c>
    </row>
    <row r="23" spans="1:10" ht="16.5" customHeight="1">
      <c r="A23" s="14">
        <v>13</v>
      </c>
      <c r="B23" s="346" t="s">
        <v>115</v>
      </c>
      <c r="C23" s="347"/>
      <c r="D23" s="175">
        <f>IF('Cover Page'!$A$4="",0,VLOOKUP('Cover Page'!$A$4,Counts!$A$1:$AA$100,Counts!N$104,FALSE))</f>
        <v>0</v>
      </c>
      <c r="E23" s="176">
        <f t="shared" si="1"/>
        <v>0</v>
      </c>
      <c r="F23" s="179"/>
      <c r="G23" s="177">
        <f>-1*_xlfn.COUNTIFS('Schedule 2'!$F$8:$F$17,"Partial",'Schedule 2'!$B$8:$B$17,"K5-0.6 FTE")</f>
        <v>0</v>
      </c>
      <c r="H23" s="177">
        <f>(-1*_xlfn.COUNTIFS('Schedule 3'!$F$9:$F$18,"Partial",'Schedule 3'!$B$9:$B$18,"K5-0.6 FTE",'Schedule 3'!$N$9:$N$18,"Yes"))+_xlfn.COUNTIFS('Schedule 3'!$F$9:$F$18,"Partial",'Schedule 3'!$G$9:$G$18,"K5-0.6 FTE",'Schedule 3'!$N$9:$N$18,"Yes")</f>
        <v>0</v>
      </c>
      <c r="I23" s="177">
        <f>(-1*_xlfn.COUNTIFS('Schedule 3'!$F$9:$F$18,"Partial",'Schedule 3'!$G$9:$G$18,"K5-0.6 FTE",'Schedule 3'!$O$9:$O$18,"Yes"))+_xlfn.COUNTIFS('Schedule 3'!$J$9:$J$18,"Partial",'Schedule 3'!$G$9:$G$18,"K5-0.6 FTE",'Schedule 3'!$O$9:$O$18,"Yes")</f>
        <v>0</v>
      </c>
      <c r="J23" s="190">
        <f>_xlfn.COUNTIFS('Schedule 4'!$F$7:$F$16,"Partial",'Schedule 4'!$B$7:$B$16,"K5-0.6 FTE")</f>
        <v>0</v>
      </c>
    </row>
    <row r="24" spans="1:10" ht="16.5" customHeight="1">
      <c r="A24" s="14">
        <v>14</v>
      </c>
      <c r="B24" s="346" t="s">
        <v>116</v>
      </c>
      <c r="C24" s="347"/>
      <c r="D24" s="175">
        <f>IF('Cover Page'!$A$4="",0,VLOOKUP('Cover Page'!$A$4,Counts!$A$1:$AA$100,Counts!O$104,FALSE))</f>
        <v>0</v>
      </c>
      <c r="E24" s="176">
        <f t="shared" si="1"/>
        <v>0</v>
      </c>
      <c r="F24" s="179"/>
      <c r="G24" s="177">
        <f>-1*_xlfn.COUNTIFS('Schedule 2'!$F$8:$F$17,"Partial",'Schedule 2'!$B$8:$B$17,"K5-0.8 FTE")</f>
        <v>0</v>
      </c>
      <c r="H24" s="177">
        <f>(-1*_xlfn.COUNTIFS('Schedule 3'!$F$9:$F$18,"Partial",'Schedule 3'!$B$9:$B$18,"K5-0.8 FTE",'Schedule 3'!$N$9:$N$18,"Yes"))+_xlfn.COUNTIFS('Schedule 3'!$F$9:$F$18,"Partial",'Schedule 3'!$G$9:$G$18,"K5-0.8 FTE",'Schedule 3'!$N$9:$N$18,"Yes")</f>
        <v>0</v>
      </c>
      <c r="I24" s="177">
        <f>(-1*_xlfn.COUNTIFS('Schedule 3'!$F$9:$F$18,"Partial",'Schedule 3'!$G$9:$G$18,"K5-0.8 FTE",'Schedule 3'!$O$9:$O$18,"Yes"))+_xlfn.COUNTIFS('Schedule 3'!$J$9:$J$18,"Partial",'Schedule 3'!$G$9:$G$18,"K5-0.8 FTE",'Schedule 3'!$O$9:$O$18,"Yes")</f>
        <v>0</v>
      </c>
      <c r="J24" s="190">
        <f>_xlfn.COUNTIFS('Schedule 4'!$F$7:$F$16,"Partial",'Schedule 4'!$B$7:$B$16,"K5-0.8 FTE")</f>
        <v>0</v>
      </c>
    </row>
    <row r="25" spans="1:10" ht="16.5" customHeight="1">
      <c r="A25" s="14">
        <v>15</v>
      </c>
      <c r="B25" s="346" t="s">
        <v>117</v>
      </c>
      <c r="C25" s="347"/>
      <c r="D25" s="175">
        <f>IF('Cover Page'!$A$4="",0,VLOOKUP('Cover Page'!$A$4,Counts!$A$1:$AA$100,Counts!P$104,FALSE))</f>
        <v>0</v>
      </c>
      <c r="E25" s="176">
        <f t="shared" si="1"/>
        <v>0</v>
      </c>
      <c r="F25" s="179"/>
      <c r="G25" s="177">
        <f>-1*_xlfn.COUNTIFS('Schedule 2'!$F$8:$F$17,"Partial",'Schedule 2'!$B$8:$B$17,"K5-1.0 FTE")</f>
        <v>0</v>
      </c>
      <c r="H25" s="177">
        <f>(-1*_xlfn.COUNTIFS('Schedule 3'!$F$9:$F$18,"Partial",'Schedule 3'!$B$9:$B$18,"K5-1.0 FTE",'Schedule 3'!$N$9:$N$18,"Yes"))+_xlfn.COUNTIFS('Schedule 3'!$F$9:$F$18,"Partial",'Schedule 3'!$G$9:$G$18,"K5-1.0 FTE",'Schedule 3'!$N$9:$N$18,"Yes")</f>
        <v>0</v>
      </c>
      <c r="I25" s="177">
        <f>(-1*_xlfn.COUNTIFS('Schedule 3'!$F$9:$F$18,"Partial",'Schedule 3'!$G$9:$G$18,"K5-1.0 FTE",'Schedule 3'!$O$9:$O$18,"Yes"))+_xlfn.COUNTIFS('Schedule 3'!$J$9:$J$18,"Partial",'Schedule 3'!$G$9:$G$18,"K5-1.0 FTE",'Schedule 3'!$O$9:$O$18,"Yes")</f>
        <v>0</v>
      </c>
      <c r="J25" s="190">
        <f>_xlfn.COUNTIFS('Schedule 4'!$F$7:$F$16,"Partial",'Schedule 4'!$B$7:$B$16,"K5-1.0 FTE")</f>
        <v>0</v>
      </c>
    </row>
    <row r="26" spans="1:10" ht="16.5" customHeight="1">
      <c r="A26" s="15">
        <v>16</v>
      </c>
      <c r="B26" s="51" t="s">
        <v>118</v>
      </c>
      <c r="C26" s="52"/>
      <c r="D26" s="175">
        <f>IF('Cover Page'!$A$4="",0,VLOOKUP('Cover Page'!$A$4,Counts!$A$1:$AA$100,Counts!Q$104,FALSE))</f>
        <v>0</v>
      </c>
      <c r="E26" s="176">
        <f t="shared" si="1"/>
        <v>0</v>
      </c>
      <c r="F26" s="179"/>
      <c r="G26" s="177">
        <f>-1*(COUNTIF('Schedule 2'!$F$8:$F$17,"Partial")+SUM(G20:G25,G27))</f>
        <v>0</v>
      </c>
      <c r="H26" s="194">
        <f>(-1*_xlfn.COUNTIFS('Schedule 3'!$F$9:$F$18,"Partial",'Schedule 3'!$N$9:$N$18,"Yes"))+_xlfn.COUNTIFS('Schedule 3'!$F$9:$F$18,"Partial",'Schedule 3'!$N$9:$N$18,"Yes")-SUM(H20:H25,H27)</f>
        <v>0</v>
      </c>
      <c r="I26" s="194">
        <f>(-1*_xlfn.COUNTIFS('Schedule 3'!$F$9:$F$18,"Partial",'Schedule 3'!$O$9:$O$18,"Yes"))+_xlfn.COUNTIFS('Schedule 3'!$J$9:$J$18,"Partial",'Schedule 3'!$O$9:$O$18,"Yes")-SUM(I20:I25,I27)</f>
        <v>0</v>
      </c>
      <c r="J26" s="190">
        <f>COUNTIF('Schedule 4'!$F$7:$F$16,"Partial")-SUM(J20:J25,J27)</f>
        <v>0</v>
      </c>
    </row>
    <row r="27" spans="1:10" ht="16.5" customHeight="1" thickBot="1">
      <c r="A27" s="15">
        <v>17</v>
      </c>
      <c r="B27" s="338" t="s">
        <v>119</v>
      </c>
      <c r="C27" s="339"/>
      <c r="D27" s="175">
        <f>IF('Cover Page'!$A$4="",0,VLOOKUP('Cover Page'!$A$4,Counts!$A$1:$AA$100,Counts!R$104,FALSE))</f>
        <v>0</v>
      </c>
      <c r="E27" s="176">
        <f t="shared" si="1"/>
        <v>0</v>
      </c>
      <c r="F27" s="180"/>
      <c r="G27" s="177">
        <f>-1*(_xlfn.COUNTIFS('Schedule 2'!$F$8:$F$17,"Partial",'Schedule 2'!$B$8:$B$17,"9")+_xlfn.COUNTIFS('Schedule 2'!$F$8:$F$17,"Partial",'Schedule 2'!$B$8:$B$17,"10")+_xlfn.COUNTIFS('Schedule 2'!$F$8:$F$17,"Partial",'Schedule 2'!$B$8:$B$17,"11")+_xlfn.COUNTIFS('Schedule 2'!$F$8:$F$17,"Partial",'Schedule 2'!$B$8:$B$17,"12"))</f>
        <v>0</v>
      </c>
      <c r="H27" s="194">
        <f>(-1*_xlfn.COUNTIFS('Schedule 3'!$F$9:$F$18,"Partial",'Schedule 3'!$B$9:$B$18,"9",'Schedule 3'!$N$9:$N$18,"Yes"))+_xlfn.COUNTIFS('Schedule 3'!$F$9:$F$18,"Partial",'Schedule 3'!$G$9:$G$18,"9",'Schedule 3'!$N$9:$N$18,"Yes")-_xlfn.COUNTIFS('Schedule 3'!$F$9:$F$18,"Partial",'Schedule 3'!$B$9:$B$18,"10",'Schedule 3'!$N$9:$N$18,"Yes")+_xlfn.COUNTIFS('Schedule 3'!$F$9:$F$18,"Partial",'Schedule 3'!$G$9:$G$18,"10",'Schedule 3'!$N$9:$N$18,"Yes")-_xlfn.COUNTIFS('Schedule 3'!$F$9:$F$18,"Partial",'Schedule 3'!$B$9:$B$18,"11",'Schedule 3'!$N$9:$N$18,"Yes")+_xlfn.COUNTIFS('Schedule 3'!$F$9:$F$18,"Partial",'Schedule 3'!$G$9:$G$18,"11",'Schedule 3'!$N$9:$N$18,"Yes")-_xlfn.COUNTIFS('Schedule 3'!$F$9:$F$18,"Partial",'Schedule 3'!$B$9:$B$18,"12",'Schedule 3'!$N$9:$N$18,"Yes")+_xlfn.COUNTIFS('Schedule 3'!$F$9:$F$18,"Partial",'Schedule 3'!$G$9:$G$18,"12",'Schedule 3'!$N$9:$N$18,"Yes")</f>
        <v>0</v>
      </c>
      <c r="I27" s="194">
        <f>(-1*_xlfn.COUNTIFS('Schedule 3'!$F$9:$F$18,"Partial",'Schedule 3'!$G$9:$G$18,"9",'Schedule 3'!$O$9:$O$18,"Yes"))+_xlfn.COUNTIFS('Schedule 3'!$J$9:$J$18,"Partial",'Schedule 3'!$G$9:$G$18,"9",'Schedule 3'!$O$9:$O$18,"Yes")-_xlfn.COUNTIFS('Schedule 3'!$F$9:$F$18,"Partial",'Schedule 3'!$G$9:$G$18,"10",'Schedule 3'!$O$9:$O$18,"Yes")+_xlfn.COUNTIFS('Schedule 3'!$J$9:$J$18,"Partial",'Schedule 3'!$G$9:$G$18,"10",'Schedule 3'!$O$9:$O$18,"Yes")-_xlfn.COUNTIFS('Schedule 3'!$F$9:$F$18,"Partial",'Schedule 3'!$G$9:$G$18,"11",'Schedule 3'!$O$9:$O$18,"Yes")+_xlfn.COUNTIFS('Schedule 3'!$J$9:$J$18,"Partial",'Schedule 3'!$G$9:$G$18,"11",'Schedule 3'!$O$9:$O$18,"Yes")-_xlfn.COUNTIFS('Schedule 3'!$F$9:$F$18,"Partial",'Schedule 3'!$G$9:$G$18,"12",'Schedule 3'!$O$9:$O$18,"Yes")+_xlfn.COUNTIFS('Schedule 3'!$J$9:$J$18,"Partial",'Schedule 3'!$G$9:$G$18,"12",'Schedule 3'!$O$9:$O$18,"Yes")</f>
        <v>0</v>
      </c>
      <c r="J27" s="194">
        <f>_xlfn.COUNTIFS('Schedule 4'!$F$7:$F$16,"Partial",'Schedule 4'!$B$7:$B$16,"9")+_xlfn.COUNTIFS('Schedule 4'!$F$7:$F$16,"Partial",'Schedule 4'!$B$7:$B$16,"10")+_xlfn.COUNTIFS('Schedule 4'!$F$7:$F$16,"Partial",'Schedule 4'!$B$7:$B$16,"11")+_xlfn.COUNTIFS('Schedule 4'!$F$7:$F$16,"Partial",'Schedule 4'!$B$7:$B$16,"12")</f>
        <v>0</v>
      </c>
    </row>
    <row r="28" spans="1:10" ht="16.5" customHeight="1" thickBot="1">
      <c r="A28" s="16">
        <v>18</v>
      </c>
      <c r="B28" s="336" t="s">
        <v>124</v>
      </c>
      <c r="C28" s="337"/>
      <c r="D28" s="181">
        <f>SUM(D20:D27)</f>
        <v>0</v>
      </c>
      <c r="E28" s="181">
        <f>SUM(E20:E27)</f>
        <v>0</v>
      </c>
      <c r="F28" s="183"/>
      <c r="G28" s="184">
        <f>SUM(G20:G27)</f>
        <v>0</v>
      </c>
      <c r="H28" s="185">
        <f>SUM(H20:H27)</f>
        <v>0</v>
      </c>
      <c r="I28" s="185">
        <f>SUM(I20:I27)</f>
        <v>0</v>
      </c>
      <c r="J28" s="185">
        <f>SUM(J20:J27)</f>
        <v>0</v>
      </c>
    </row>
    <row r="29" ht="12" thickTop="1"/>
    <row r="30" spans="1:10" ht="35.25" customHeight="1">
      <c r="A30" s="375" t="s">
        <v>328</v>
      </c>
      <c r="B30" s="375"/>
      <c r="C30" s="375"/>
      <c r="D30" s="375"/>
      <c r="E30" s="375"/>
      <c r="F30" s="375"/>
      <c r="G30" s="375"/>
      <c r="H30" s="375"/>
      <c r="I30" s="375"/>
      <c r="J30" s="375"/>
    </row>
  </sheetData>
  <sheetProtection password="DE89" sheet="1"/>
  <mergeCells count="33">
    <mergeCell ref="A30:J30"/>
    <mergeCell ref="B25:C25"/>
    <mergeCell ref="B27:C27"/>
    <mergeCell ref="B28:C28"/>
    <mergeCell ref="F18:J18"/>
    <mergeCell ref="B20:C20"/>
    <mergeCell ref="B21:C21"/>
    <mergeCell ref="B22:C22"/>
    <mergeCell ref="B23:C23"/>
    <mergeCell ref="B24:C24"/>
    <mergeCell ref="B15:C15"/>
    <mergeCell ref="B16:C16"/>
    <mergeCell ref="A18:A19"/>
    <mergeCell ref="B18:C19"/>
    <mergeCell ref="C17:G17"/>
    <mergeCell ref="D18:D19"/>
    <mergeCell ref="E18:E19"/>
    <mergeCell ref="B8:C8"/>
    <mergeCell ref="B9:C9"/>
    <mergeCell ref="B10:C10"/>
    <mergeCell ref="B11:C11"/>
    <mergeCell ref="B12:C12"/>
    <mergeCell ref="B13:C13"/>
    <mergeCell ref="A1:J1"/>
    <mergeCell ref="A2:J2"/>
    <mergeCell ref="A3:J3"/>
    <mergeCell ref="A4:J4"/>
    <mergeCell ref="A6:A7"/>
    <mergeCell ref="B6:C7"/>
    <mergeCell ref="D6:D7"/>
    <mergeCell ref="E6:E7"/>
    <mergeCell ref="F6:J6"/>
    <mergeCell ref="C5:G5"/>
  </mergeCells>
  <printOptions horizontalCentered="1"/>
  <pageMargins left="0.5" right="0.5" top="0.5" bottom="0.5" header="0.3" footer="0.3"/>
  <pageSetup fitToHeight="1" fitToWidth="1" horizontalDpi="600" verticalDpi="600" orientation="landscape" scale="94" r:id="rId1"/>
  <headerFooter>
    <oddHeader>&amp;L&amp;"Arial,Regular"&amp;8Page 3&amp;C &amp;R&amp;"Arial,Regular"&amp;8PI-SNSP-102 (10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79"/>
  <sheetViews>
    <sheetView showGridLines="0" zoomScalePageLayoutView="0" workbookViewId="0" topLeftCell="A1">
      <pane xSplit="9" ySplit="7" topLeftCell="J8" activePane="bottomRight" state="frozen"/>
      <selection pane="topLeft" activeCell="U91" sqref="U91"/>
      <selection pane="topRight" activeCell="U91" sqref="U91"/>
      <selection pane="bottomLeft" activeCell="U91" sqref="U91"/>
      <selection pane="bottomRight" activeCell="U91" sqref="U91"/>
    </sheetView>
  </sheetViews>
  <sheetFormatPr defaultColWidth="9.140625" defaultRowHeight="15"/>
  <cols>
    <col min="1" max="1" width="5.421875" style="105" customWidth="1"/>
    <col min="2" max="2" width="7.28125" style="4" customWidth="1"/>
    <col min="3" max="3" width="9.140625" style="4" customWidth="1"/>
    <col min="4" max="4" width="13.140625" style="4" bestFit="1" customWidth="1"/>
    <col min="5" max="5" width="17.7109375" style="4" customWidth="1"/>
    <col min="6" max="6" width="11.7109375" style="4" customWidth="1"/>
    <col min="7" max="7" width="42.00390625" style="4" customWidth="1"/>
    <col min="8" max="8" width="8.28125" style="4" customWidth="1"/>
    <col min="9" max="9" width="1.57421875" style="4" customWidth="1"/>
    <col min="10" max="13" width="9.140625" style="4" customWidth="1"/>
    <col min="14" max="18" width="8.8515625" style="4" bestFit="1" customWidth="1"/>
    <col min="19" max="19" width="8.8515625" style="4" customWidth="1"/>
    <col min="20" max="25" width="9.8515625" style="4" bestFit="1" customWidth="1"/>
    <col min="26" max="35" width="9.8515625" style="4" customWidth="1"/>
    <col min="36" max="16384" width="9.140625" style="4" customWidth="1"/>
  </cols>
  <sheetData>
    <row r="1" spans="2:9" ht="14.25" customHeight="1">
      <c r="B1" s="364" t="str">
        <f>IF(ISBLANK('Cover Page'!A4),"School Name",'Cover Page'!A4)</f>
        <v>School Name</v>
      </c>
      <c r="C1" s="364"/>
      <c r="D1" s="364"/>
      <c r="E1" s="364"/>
      <c r="F1" s="364"/>
      <c r="G1" s="364"/>
      <c r="H1" s="364"/>
      <c r="I1" s="286"/>
    </row>
    <row r="2" spans="2:9" ht="14.25" customHeight="1">
      <c r="B2" s="386" t="s">
        <v>338</v>
      </c>
      <c r="C2" s="386"/>
      <c r="D2" s="386"/>
      <c r="E2" s="386"/>
      <c r="F2" s="386"/>
      <c r="G2" s="386"/>
      <c r="H2" s="386"/>
      <c r="I2" s="287"/>
    </row>
    <row r="3" spans="2:9" ht="14.25" customHeight="1">
      <c r="B3" s="386" t="s">
        <v>197</v>
      </c>
      <c r="C3" s="386"/>
      <c r="D3" s="386"/>
      <c r="E3" s="386"/>
      <c r="F3" s="386"/>
      <c r="G3" s="386"/>
      <c r="H3" s="386"/>
      <c r="I3" s="287"/>
    </row>
    <row r="4" spans="1:9" ht="53.25" customHeight="1" thickBot="1">
      <c r="A4" s="381" t="s">
        <v>339</v>
      </c>
      <c r="B4" s="381"/>
      <c r="C4" s="381"/>
      <c r="D4" s="381"/>
      <c r="E4" s="381"/>
      <c r="F4" s="381"/>
      <c r="G4" s="381"/>
      <c r="H4" s="381"/>
      <c r="I4" s="211"/>
    </row>
    <row r="5" spans="1:35" ht="18" customHeight="1" thickBot="1" thickTop="1">
      <c r="A5" s="379" t="s">
        <v>332</v>
      </c>
      <c r="B5" s="379"/>
      <c r="C5" s="379"/>
      <c r="D5" s="379"/>
      <c r="E5" s="379"/>
      <c r="F5" s="379"/>
      <c r="G5" s="380"/>
      <c r="H5" s="71"/>
      <c r="I5" s="228"/>
      <c r="J5" s="76" t="s">
        <v>40</v>
      </c>
      <c r="K5" s="77"/>
      <c r="L5" s="77"/>
      <c r="M5" s="78"/>
      <c r="N5" s="78"/>
      <c r="O5" s="78"/>
      <c r="P5" s="78"/>
      <c r="Q5" s="78"/>
      <c r="R5" s="78"/>
      <c r="S5" s="78"/>
      <c r="T5" s="78"/>
      <c r="U5" s="78"/>
      <c r="V5" s="78"/>
      <c r="W5" s="78"/>
      <c r="X5" s="78"/>
      <c r="Y5" s="78"/>
      <c r="Z5" s="78"/>
      <c r="AA5" s="78"/>
      <c r="AB5" s="78"/>
      <c r="AC5" s="78"/>
      <c r="AD5" s="78"/>
      <c r="AE5" s="78"/>
      <c r="AF5" s="78"/>
      <c r="AG5" s="78"/>
      <c r="AH5" s="78"/>
      <c r="AI5" s="78"/>
    </row>
    <row r="6" spans="1:35" ht="15" customHeight="1" thickTop="1">
      <c r="A6" s="378" t="s">
        <v>45</v>
      </c>
      <c r="B6" s="387" t="s">
        <v>160</v>
      </c>
      <c r="C6" s="394" t="s">
        <v>78</v>
      </c>
      <c r="D6" s="376" t="s">
        <v>158</v>
      </c>
      <c r="E6" s="376" t="s">
        <v>159</v>
      </c>
      <c r="F6" s="395" t="s">
        <v>110</v>
      </c>
      <c r="G6" s="388" t="s">
        <v>42</v>
      </c>
      <c r="H6" s="389"/>
      <c r="I6" s="65"/>
      <c r="J6" s="399" t="s">
        <v>57</v>
      </c>
      <c r="K6" s="400"/>
      <c r="L6" s="400"/>
      <c r="M6" s="400"/>
      <c r="N6" s="396" t="s">
        <v>56</v>
      </c>
      <c r="O6" s="397"/>
      <c r="P6" s="397"/>
      <c r="Q6" s="397"/>
      <c r="R6" s="397"/>
      <c r="S6" s="398"/>
      <c r="T6" s="397" t="s">
        <v>28</v>
      </c>
      <c r="U6" s="397"/>
      <c r="V6" s="397"/>
      <c r="W6" s="397"/>
      <c r="X6" s="397"/>
      <c r="Y6" s="397"/>
      <c r="Z6" s="397"/>
      <c r="AA6" s="398"/>
      <c r="AB6" s="396" t="s">
        <v>139</v>
      </c>
      <c r="AC6" s="397"/>
      <c r="AD6" s="397"/>
      <c r="AE6" s="396" t="s">
        <v>29</v>
      </c>
      <c r="AF6" s="397"/>
      <c r="AG6" s="397"/>
      <c r="AH6" s="397"/>
      <c r="AI6" s="397"/>
    </row>
    <row r="7" spans="1:36" s="12" customFormat="1" ht="15" customHeight="1">
      <c r="A7" s="370"/>
      <c r="B7" s="368"/>
      <c r="C7" s="356"/>
      <c r="D7" s="377"/>
      <c r="E7" s="377"/>
      <c r="F7" s="394"/>
      <c r="G7" s="390"/>
      <c r="H7" s="391"/>
      <c r="I7" s="169"/>
      <c r="J7" s="170" t="s">
        <v>5</v>
      </c>
      <c r="K7" s="135" t="s">
        <v>6</v>
      </c>
      <c r="L7" s="289" t="s">
        <v>7</v>
      </c>
      <c r="M7" s="288" t="s">
        <v>8</v>
      </c>
      <c r="N7" s="170" t="s">
        <v>9</v>
      </c>
      <c r="O7" s="289" t="s">
        <v>10</v>
      </c>
      <c r="P7" s="135" t="s">
        <v>11</v>
      </c>
      <c r="Q7" s="135" t="s">
        <v>12</v>
      </c>
      <c r="R7" s="289" t="s">
        <v>13</v>
      </c>
      <c r="S7" s="204" t="s">
        <v>14</v>
      </c>
      <c r="T7" s="289" t="s">
        <v>15</v>
      </c>
      <c r="U7" s="135" t="s">
        <v>16</v>
      </c>
      <c r="V7" s="135" t="s">
        <v>17</v>
      </c>
      <c r="W7" s="135" t="s">
        <v>18</v>
      </c>
      <c r="X7" s="135" t="s">
        <v>19</v>
      </c>
      <c r="Y7" s="135" t="s">
        <v>20</v>
      </c>
      <c r="Z7" s="135" t="s">
        <v>21</v>
      </c>
      <c r="AA7" s="204" t="s">
        <v>22</v>
      </c>
      <c r="AB7" s="205" t="s">
        <v>23</v>
      </c>
      <c r="AC7" s="289" t="s">
        <v>24</v>
      </c>
      <c r="AD7" s="288" t="s">
        <v>25</v>
      </c>
      <c r="AE7" s="206" t="s">
        <v>26</v>
      </c>
      <c r="AF7" s="135" t="s">
        <v>27</v>
      </c>
      <c r="AG7" s="135" t="s">
        <v>30</v>
      </c>
      <c r="AH7" s="289" t="s">
        <v>31</v>
      </c>
      <c r="AI7" s="288" t="s">
        <v>32</v>
      </c>
      <c r="AJ7" s="27"/>
    </row>
    <row r="8" spans="1:35" s="12" customFormat="1" ht="24.75" customHeight="1">
      <c r="A8" s="14">
        <v>1</v>
      </c>
      <c r="B8" s="17"/>
      <c r="C8" s="18"/>
      <c r="D8" s="19"/>
      <c r="E8" s="19"/>
      <c r="F8" s="18"/>
      <c r="G8" s="383">
        <f>IF(J8="X",'Ineligibility Reasons'!$A$4,"")&amp;IF(K8="X",'Ineligibility Reasons'!$A$5,"")&amp;IF(L8="X",'Ineligibility Reasons'!$A$6,"")&amp;IF(M8="X",'Ineligibility Reasons'!$A$7,"")&amp;IF(N8="X",'Ineligibility Reasons'!$A$9,"")&amp;IF(O8="X",'Ineligibility Reasons'!$A$10,"")&amp;IF(P8="X",'Ineligibility Reasons'!$A$11,"")&amp;IF(Q8="X",'Ineligibility Reasons'!$A$12,"")&amp;IF(R8="X",'Ineligibility Reasons'!$A$13,"")&amp;IF(S8="X",'Ineligibility Reasons'!$A$14,"")&amp;IF(T8="X",'Ineligibility Reasons'!$A$16,"")&amp;IF(U8="X",'Ineligibility Reasons'!$A$17,"")&amp;IF(V8="X",'Ineligibility Reasons'!$A$18,"")&amp;IF(W8="X",'Ineligibility Reasons'!$A$19,"")&amp;IF(X8="X",'Ineligibility Reasons'!$A$20,"")&amp;IF(Y8="X",'Ineligibility Reasons'!$A$21,"")&amp;IF(Z8="X",'Ineligibility Reasons'!$A$22,"")&amp;IF(AA8="X",'Ineligibility Reasons'!$A$23,"")&amp;IF('Schedule 2'!AE8="X",'Ineligibility Reasons'!$A$29,"")&amp;IF('Schedule 2'!AF8="X",'Ineligibility Reasons'!$A$30,"")&amp;IF('Schedule 2'!AG8="X",'Ineligibility Reasons'!$A$31,"")&amp;IF(AH8="X",'Ineligibility Reasons'!$A$32,"")&amp;IF('Schedule 2'!AI8="X",'Ineligibility Reasons'!$A$33,"")&amp;IF(AB8="X",'Ineligibility Reasons'!$A$25,"")&amp;IF(AC8="X",'Ineligibility Reasons'!$A$26,"")&amp;IF('Schedule 2'!AD8="X",'Ineligibility Reasons'!$A$27,"")</f>
      </c>
      <c r="H8" s="384"/>
      <c r="I8" s="229"/>
      <c r="J8" s="29"/>
      <c r="K8" s="40"/>
      <c r="L8" s="40"/>
      <c r="M8" s="40"/>
      <c r="N8" s="29"/>
      <c r="O8" s="28"/>
      <c r="P8" s="28"/>
      <c r="Q8" s="28"/>
      <c r="R8" s="40"/>
      <c r="S8" s="74"/>
      <c r="T8" s="93"/>
      <c r="U8" s="28"/>
      <c r="V8" s="28"/>
      <c r="W8" s="28"/>
      <c r="X8" s="28"/>
      <c r="Y8" s="28"/>
      <c r="Z8" s="40"/>
      <c r="AA8" s="40"/>
      <c r="AB8" s="29"/>
      <c r="AC8" s="30"/>
      <c r="AD8" s="40"/>
      <c r="AE8" s="29"/>
      <c r="AF8" s="28"/>
      <c r="AG8" s="40"/>
      <c r="AH8" s="40"/>
      <c r="AI8" s="40"/>
    </row>
    <row r="9" spans="1:35" s="12" customFormat="1" ht="24.75" customHeight="1">
      <c r="A9" s="14">
        <v>2</v>
      </c>
      <c r="B9" s="17"/>
      <c r="C9" s="18"/>
      <c r="D9" s="19"/>
      <c r="E9" s="19"/>
      <c r="F9" s="18"/>
      <c r="G9" s="383">
        <f>IF(J9="X",'Ineligibility Reasons'!$A$4,"")&amp;IF(K9="X",'Ineligibility Reasons'!$A$5,"")&amp;IF(L9="X",'Ineligibility Reasons'!$A$6,"")&amp;IF(M9="X",'Ineligibility Reasons'!$A$7,"")&amp;IF(N9="X",'Ineligibility Reasons'!$A$9,"")&amp;IF(O9="X",'Ineligibility Reasons'!$A$10,"")&amp;IF(P9="X",'Ineligibility Reasons'!$A$11,"")&amp;IF(Q9="X",'Ineligibility Reasons'!$A$12,"")&amp;IF(R9="X",'Ineligibility Reasons'!$A$13,"")&amp;IF(S9="X",'Ineligibility Reasons'!$A$14,"")&amp;IF(T9="X",'Ineligibility Reasons'!$A$16,"")&amp;IF(U9="X",'Ineligibility Reasons'!$A$17,"")&amp;IF(V9="X",'Ineligibility Reasons'!$A$18,"")&amp;IF(W9="X",'Ineligibility Reasons'!$A$19,"")&amp;IF(X9="X",'Ineligibility Reasons'!$A$20,"")&amp;IF(Y9="X",'Ineligibility Reasons'!$A$21,"")&amp;IF(Z9="X",'Ineligibility Reasons'!$A$22,"")&amp;IF(AA9="X",'Ineligibility Reasons'!$A$23,"")&amp;IF('Schedule 2'!AE9="X",'Ineligibility Reasons'!$A$29,"")&amp;IF('Schedule 2'!AF9="X",'Ineligibility Reasons'!$A$30,"")&amp;IF('Schedule 2'!AG9="X",'Ineligibility Reasons'!$A$31,"")&amp;IF(AH9="X",'Ineligibility Reasons'!$A$32,"")&amp;IF('Schedule 2'!AI9="X",'Ineligibility Reasons'!$A$33,"")&amp;IF(AB9="X",'Ineligibility Reasons'!$A$25,"")&amp;IF(AC9="X",'Ineligibility Reasons'!$A$26,"")&amp;IF('Schedule 2'!AD9="X",'Ineligibility Reasons'!$A$27,"")</f>
      </c>
      <c r="H9" s="384"/>
      <c r="I9" s="229"/>
      <c r="J9" s="29"/>
      <c r="K9" s="40"/>
      <c r="L9" s="40"/>
      <c r="M9" s="40"/>
      <c r="N9" s="29"/>
      <c r="O9" s="28"/>
      <c r="P9" s="28"/>
      <c r="Q9" s="28"/>
      <c r="R9" s="40"/>
      <c r="S9" s="74"/>
      <c r="T9" s="93"/>
      <c r="U9" s="28"/>
      <c r="V9" s="28"/>
      <c r="W9" s="28"/>
      <c r="X9" s="28"/>
      <c r="Y9" s="28"/>
      <c r="Z9" s="40"/>
      <c r="AA9" s="40"/>
      <c r="AB9" s="29"/>
      <c r="AC9" s="30"/>
      <c r="AD9" s="40"/>
      <c r="AE9" s="29"/>
      <c r="AF9" s="28"/>
      <c r="AG9" s="40"/>
      <c r="AH9" s="40"/>
      <c r="AI9" s="40"/>
    </row>
    <row r="10" spans="1:35" s="12" customFormat="1" ht="24.75" customHeight="1">
      <c r="A10" s="14">
        <v>3</v>
      </c>
      <c r="B10" s="17"/>
      <c r="C10" s="18"/>
      <c r="D10" s="19"/>
      <c r="E10" s="19"/>
      <c r="F10" s="18"/>
      <c r="G10" s="383">
        <f>IF(J10="X",'Ineligibility Reasons'!$A$4,"")&amp;IF(K10="X",'Ineligibility Reasons'!$A$5,"")&amp;IF(L10="X",'Ineligibility Reasons'!$A$6,"")&amp;IF(M10="X",'Ineligibility Reasons'!$A$7,"")&amp;IF(N10="X",'Ineligibility Reasons'!$A$9,"")&amp;IF(O10="X",'Ineligibility Reasons'!$A$10,"")&amp;IF(P10="X",'Ineligibility Reasons'!$A$11,"")&amp;IF(Q10="X",'Ineligibility Reasons'!$A$12,"")&amp;IF(R10="X",'Ineligibility Reasons'!$A$13,"")&amp;IF(S10="X",'Ineligibility Reasons'!$A$14,"")&amp;IF(T10="X",'Ineligibility Reasons'!$A$16,"")&amp;IF(U10="X",'Ineligibility Reasons'!$A$17,"")&amp;IF(V10="X",'Ineligibility Reasons'!$A$18,"")&amp;IF(W10="X",'Ineligibility Reasons'!$A$19,"")&amp;IF(X10="X",'Ineligibility Reasons'!$A$20,"")&amp;IF(Y10="X",'Ineligibility Reasons'!$A$21,"")&amp;IF(Z10="X",'Ineligibility Reasons'!$A$22,"")&amp;IF(AA10="X",'Ineligibility Reasons'!$A$23,"")&amp;IF('Schedule 2'!AE10="X",'Ineligibility Reasons'!$A$29,"")&amp;IF('Schedule 2'!AF10="X",'Ineligibility Reasons'!$A$30,"")&amp;IF('Schedule 2'!AG10="X",'Ineligibility Reasons'!$A$31,"")&amp;IF(AH10="X",'Ineligibility Reasons'!$A$32,"")&amp;IF('Schedule 2'!AI10="X",'Ineligibility Reasons'!$A$33,"")&amp;IF(AB10="X",'Ineligibility Reasons'!$A$25,"")&amp;IF(AC10="X",'Ineligibility Reasons'!$A$26,"")&amp;IF('Schedule 2'!AD10="X",'Ineligibility Reasons'!$A$27,"")</f>
      </c>
      <c r="H10" s="384"/>
      <c r="I10" s="229"/>
      <c r="J10" s="29"/>
      <c r="K10" s="40"/>
      <c r="L10" s="40"/>
      <c r="M10" s="40"/>
      <c r="N10" s="29"/>
      <c r="O10" s="28"/>
      <c r="P10" s="28"/>
      <c r="Q10" s="28"/>
      <c r="R10" s="40"/>
      <c r="S10" s="74"/>
      <c r="T10" s="93"/>
      <c r="U10" s="28"/>
      <c r="V10" s="28"/>
      <c r="W10" s="28"/>
      <c r="X10" s="28"/>
      <c r="Y10" s="28"/>
      <c r="Z10" s="40"/>
      <c r="AA10" s="40"/>
      <c r="AB10" s="29"/>
      <c r="AC10" s="30"/>
      <c r="AD10" s="40"/>
      <c r="AE10" s="29"/>
      <c r="AF10" s="28"/>
      <c r="AG10" s="40"/>
      <c r="AH10" s="40"/>
      <c r="AI10" s="40"/>
    </row>
    <row r="11" spans="1:35" s="12" customFormat="1" ht="24.75" customHeight="1">
      <c r="A11" s="14">
        <v>4</v>
      </c>
      <c r="B11" s="17"/>
      <c r="C11" s="18"/>
      <c r="D11" s="19"/>
      <c r="E11" s="19"/>
      <c r="F11" s="18"/>
      <c r="G11" s="383">
        <f>IF(J11="X",'Ineligibility Reasons'!$A$4,"")&amp;IF(K11="X",'Ineligibility Reasons'!$A$5,"")&amp;IF(L11="X",'Ineligibility Reasons'!$A$6,"")&amp;IF(M11="X",'Ineligibility Reasons'!$A$7,"")&amp;IF(N11="X",'Ineligibility Reasons'!$A$9,"")&amp;IF(O11="X",'Ineligibility Reasons'!$A$10,"")&amp;IF(P11="X",'Ineligibility Reasons'!$A$11,"")&amp;IF(Q11="X",'Ineligibility Reasons'!$A$12,"")&amp;IF(R11="X",'Ineligibility Reasons'!$A$13,"")&amp;IF(S11="X",'Ineligibility Reasons'!$A$14,"")&amp;IF(T11="X",'Ineligibility Reasons'!$A$16,"")&amp;IF(U11="X",'Ineligibility Reasons'!$A$17,"")&amp;IF(V11="X",'Ineligibility Reasons'!$A$18,"")&amp;IF(W11="X",'Ineligibility Reasons'!$A$19,"")&amp;IF(X11="X",'Ineligibility Reasons'!$A$20,"")&amp;IF(Y11="X",'Ineligibility Reasons'!$A$21,"")&amp;IF(Z11="X",'Ineligibility Reasons'!$A$22,"")&amp;IF(AA11="X",'Ineligibility Reasons'!$A$23,"")&amp;IF('Schedule 2'!AE11="X",'Ineligibility Reasons'!$A$29,"")&amp;IF('Schedule 2'!AF11="X",'Ineligibility Reasons'!$A$30,"")&amp;IF('Schedule 2'!AG11="X",'Ineligibility Reasons'!$A$31,"")&amp;IF(AH11="X",'Ineligibility Reasons'!$A$32,"")&amp;IF('Schedule 2'!AI11="X",'Ineligibility Reasons'!$A$33,"")&amp;IF(AB11="X",'Ineligibility Reasons'!$A$25,"")&amp;IF(AC11="X",'Ineligibility Reasons'!$A$26,"")&amp;IF('Schedule 2'!AD11="X",'Ineligibility Reasons'!$A$27,"")</f>
      </c>
      <c r="H11" s="384"/>
      <c r="I11" s="229"/>
      <c r="J11" s="29"/>
      <c r="K11" s="40"/>
      <c r="L11" s="40"/>
      <c r="M11" s="40"/>
      <c r="N11" s="29"/>
      <c r="O11" s="28"/>
      <c r="P11" s="28"/>
      <c r="Q11" s="28"/>
      <c r="R11" s="40"/>
      <c r="S11" s="74"/>
      <c r="T11" s="93"/>
      <c r="U11" s="28"/>
      <c r="V11" s="28"/>
      <c r="W11" s="28"/>
      <c r="X11" s="28"/>
      <c r="Y11" s="28"/>
      <c r="Z11" s="40"/>
      <c r="AA11" s="40"/>
      <c r="AB11" s="29"/>
      <c r="AC11" s="30"/>
      <c r="AD11" s="40"/>
      <c r="AE11" s="29"/>
      <c r="AF11" s="28"/>
      <c r="AG11" s="40"/>
      <c r="AH11" s="40"/>
      <c r="AI11" s="40"/>
    </row>
    <row r="12" spans="1:35" s="12" customFormat="1" ht="24.75" customHeight="1">
      <c r="A12" s="14">
        <v>5</v>
      </c>
      <c r="B12" s="17"/>
      <c r="C12" s="18"/>
      <c r="D12" s="19"/>
      <c r="E12" s="19"/>
      <c r="F12" s="18"/>
      <c r="G12" s="383">
        <f>IF(J12="X",'Ineligibility Reasons'!$A$4,"")&amp;IF(K12="X",'Ineligibility Reasons'!$A$5,"")&amp;IF(L12="X",'Ineligibility Reasons'!$A$6,"")&amp;IF(M12="X",'Ineligibility Reasons'!$A$7,"")&amp;IF(N12="X",'Ineligibility Reasons'!$A$9,"")&amp;IF(O12="X",'Ineligibility Reasons'!$A$10,"")&amp;IF(P12="X",'Ineligibility Reasons'!$A$11,"")&amp;IF(Q12="X",'Ineligibility Reasons'!$A$12,"")&amp;IF(R12="X",'Ineligibility Reasons'!$A$13,"")&amp;IF(S12="X",'Ineligibility Reasons'!$A$14,"")&amp;IF(T12="X",'Ineligibility Reasons'!$A$16,"")&amp;IF(U12="X",'Ineligibility Reasons'!$A$17,"")&amp;IF(V12="X",'Ineligibility Reasons'!$A$18,"")&amp;IF(W12="X",'Ineligibility Reasons'!$A$19,"")&amp;IF(X12="X",'Ineligibility Reasons'!$A$20,"")&amp;IF(Y12="X",'Ineligibility Reasons'!$A$21,"")&amp;IF(Z12="X",'Ineligibility Reasons'!$A$22,"")&amp;IF(AA12="X",'Ineligibility Reasons'!$A$23,"")&amp;IF('Schedule 2'!AE12="X",'Ineligibility Reasons'!$A$29,"")&amp;IF('Schedule 2'!AF12="X",'Ineligibility Reasons'!$A$30,"")&amp;IF('Schedule 2'!AG12="X",'Ineligibility Reasons'!$A$31,"")&amp;IF(AH12="X",'Ineligibility Reasons'!$A$32,"")&amp;IF('Schedule 2'!AI12="X",'Ineligibility Reasons'!$A$33,"")&amp;IF(AB12="X",'Ineligibility Reasons'!$A$25,"")&amp;IF(AC12="X",'Ineligibility Reasons'!$A$26,"")&amp;IF('Schedule 2'!AD12="X",'Ineligibility Reasons'!$A$27,"")</f>
      </c>
      <c r="H12" s="384"/>
      <c r="I12" s="229"/>
      <c r="J12" s="29"/>
      <c r="K12" s="40"/>
      <c r="L12" s="40"/>
      <c r="M12" s="40"/>
      <c r="N12" s="29"/>
      <c r="O12" s="28"/>
      <c r="P12" s="28"/>
      <c r="Q12" s="28"/>
      <c r="R12" s="40"/>
      <c r="S12" s="74"/>
      <c r="T12" s="93"/>
      <c r="U12" s="28"/>
      <c r="V12" s="28"/>
      <c r="W12" s="28"/>
      <c r="X12" s="28"/>
      <c r="Y12" s="28"/>
      <c r="Z12" s="40"/>
      <c r="AA12" s="40"/>
      <c r="AB12" s="29"/>
      <c r="AC12" s="30"/>
      <c r="AD12" s="40"/>
      <c r="AE12" s="29"/>
      <c r="AF12" s="28"/>
      <c r="AG12" s="40"/>
      <c r="AH12" s="40"/>
      <c r="AI12" s="40"/>
    </row>
    <row r="13" spans="1:35" s="12" customFormat="1" ht="24.75" customHeight="1">
      <c r="A13" s="14">
        <v>6</v>
      </c>
      <c r="B13" s="17"/>
      <c r="C13" s="18"/>
      <c r="D13" s="19"/>
      <c r="E13" s="19"/>
      <c r="F13" s="18"/>
      <c r="G13" s="383">
        <f>IF(J13="X",'Ineligibility Reasons'!$A$4,"")&amp;IF(K13="X",'Ineligibility Reasons'!$A$5,"")&amp;IF(L13="X",'Ineligibility Reasons'!$A$6,"")&amp;IF(M13="X",'Ineligibility Reasons'!$A$7,"")&amp;IF(N13="X",'Ineligibility Reasons'!$A$9,"")&amp;IF(O13="X",'Ineligibility Reasons'!$A$10,"")&amp;IF(P13="X",'Ineligibility Reasons'!$A$11,"")&amp;IF(Q13="X",'Ineligibility Reasons'!$A$12,"")&amp;IF(R13="X",'Ineligibility Reasons'!$A$13,"")&amp;IF(S13="X",'Ineligibility Reasons'!$A$14,"")&amp;IF(T13="X",'Ineligibility Reasons'!$A$16,"")&amp;IF(U13="X",'Ineligibility Reasons'!$A$17,"")&amp;IF(V13="X",'Ineligibility Reasons'!$A$18,"")&amp;IF(W13="X",'Ineligibility Reasons'!$A$19,"")&amp;IF(X13="X",'Ineligibility Reasons'!$A$20,"")&amp;IF(Y13="X",'Ineligibility Reasons'!$A$21,"")&amp;IF(Z13="X",'Ineligibility Reasons'!$A$22,"")&amp;IF(AA13="X",'Ineligibility Reasons'!$A$23,"")&amp;IF('Schedule 2'!AE13="X",'Ineligibility Reasons'!$A$29,"")&amp;IF('Schedule 2'!AF13="X",'Ineligibility Reasons'!$A$30,"")&amp;IF('Schedule 2'!AG13="X",'Ineligibility Reasons'!$A$31,"")&amp;IF(AH13="X",'Ineligibility Reasons'!$A$32,"")&amp;IF('Schedule 2'!AI13="X",'Ineligibility Reasons'!$A$33,"")&amp;IF(AB13="X",'Ineligibility Reasons'!$A$25,"")&amp;IF(AC13="X",'Ineligibility Reasons'!$A$26,"")&amp;IF('Schedule 2'!AD13="X",'Ineligibility Reasons'!$A$27,"")</f>
      </c>
      <c r="H13" s="384"/>
      <c r="I13" s="229"/>
      <c r="J13" s="29"/>
      <c r="K13" s="40"/>
      <c r="L13" s="40"/>
      <c r="M13" s="40"/>
      <c r="N13" s="29"/>
      <c r="O13" s="28"/>
      <c r="P13" s="28"/>
      <c r="Q13" s="28"/>
      <c r="R13" s="40"/>
      <c r="S13" s="74"/>
      <c r="T13" s="93"/>
      <c r="U13" s="28"/>
      <c r="V13" s="28"/>
      <c r="W13" s="28"/>
      <c r="X13" s="28"/>
      <c r="Y13" s="28"/>
      <c r="Z13" s="40"/>
      <c r="AA13" s="40"/>
      <c r="AB13" s="29"/>
      <c r="AC13" s="30"/>
      <c r="AD13" s="40"/>
      <c r="AE13" s="29"/>
      <c r="AF13" s="28"/>
      <c r="AG13" s="40"/>
      <c r="AH13" s="40"/>
      <c r="AI13" s="40"/>
    </row>
    <row r="14" spans="1:35" s="12" customFormat="1" ht="24.75" customHeight="1">
      <c r="A14" s="14">
        <v>7</v>
      </c>
      <c r="B14" s="17"/>
      <c r="C14" s="18"/>
      <c r="D14" s="19"/>
      <c r="E14" s="19"/>
      <c r="F14" s="18"/>
      <c r="G14" s="383">
        <f>IF(J14="X",'Ineligibility Reasons'!$A$4,"")&amp;IF(K14="X",'Ineligibility Reasons'!$A$5,"")&amp;IF(L14="X",'Ineligibility Reasons'!$A$6,"")&amp;IF(M14="X",'Ineligibility Reasons'!$A$7,"")&amp;IF(N14="X",'Ineligibility Reasons'!$A$9,"")&amp;IF(O14="X",'Ineligibility Reasons'!$A$10,"")&amp;IF(P14="X",'Ineligibility Reasons'!$A$11,"")&amp;IF(Q14="X",'Ineligibility Reasons'!$A$12,"")&amp;IF(R14="X",'Ineligibility Reasons'!$A$13,"")&amp;IF(S14="X",'Ineligibility Reasons'!$A$14,"")&amp;IF(T14="X",'Ineligibility Reasons'!$A$16,"")&amp;IF(U14="X",'Ineligibility Reasons'!$A$17,"")&amp;IF(V14="X",'Ineligibility Reasons'!$A$18,"")&amp;IF(W14="X",'Ineligibility Reasons'!$A$19,"")&amp;IF(X14="X",'Ineligibility Reasons'!$A$20,"")&amp;IF(Y14="X",'Ineligibility Reasons'!$A$21,"")&amp;IF(Z14="X",'Ineligibility Reasons'!$A$22,"")&amp;IF(AA14="X",'Ineligibility Reasons'!$A$23,"")&amp;IF('Schedule 2'!AE14="X",'Ineligibility Reasons'!$A$29,"")&amp;IF('Schedule 2'!AF14="X",'Ineligibility Reasons'!$A$30,"")&amp;IF('Schedule 2'!AG14="X",'Ineligibility Reasons'!$A$31,"")&amp;IF(AH14="X",'Ineligibility Reasons'!$A$32,"")&amp;IF('Schedule 2'!AI14="X",'Ineligibility Reasons'!$A$33,"")&amp;IF(AB14="X",'Ineligibility Reasons'!$A$25,"")&amp;IF(AC14="X",'Ineligibility Reasons'!$A$26,"")&amp;IF('Schedule 2'!AD14="X",'Ineligibility Reasons'!$A$27,"")</f>
      </c>
      <c r="H14" s="384"/>
      <c r="I14" s="229"/>
      <c r="J14" s="29"/>
      <c r="K14" s="40"/>
      <c r="L14" s="40"/>
      <c r="M14" s="40"/>
      <c r="N14" s="29"/>
      <c r="O14" s="28"/>
      <c r="P14" s="28"/>
      <c r="Q14" s="28"/>
      <c r="R14" s="40"/>
      <c r="S14" s="74"/>
      <c r="T14" s="93"/>
      <c r="U14" s="28"/>
      <c r="V14" s="28"/>
      <c r="W14" s="28"/>
      <c r="X14" s="28"/>
      <c r="Y14" s="28"/>
      <c r="Z14" s="40"/>
      <c r="AA14" s="40"/>
      <c r="AB14" s="29"/>
      <c r="AC14" s="30"/>
      <c r="AD14" s="40"/>
      <c r="AE14" s="29"/>
      <c r="AF14" s="28"/>
      <c r="AG14" s="40"/>
      <c r="AH14" s="40"/>
      <c r="AI14" s="40"/>
    </row>
    <row r="15" spans="1:35" s="12" customFormat="1" ht="24.75" customHeight="1">
      <c r="A15" s="14">
        <v>8</v>
      </c>
      <c r="B15" s="17"/>
      <c r="C15" s="18"/>
      <c r="D15" s="19"/>
      <c r="E15" s="19"/>
      <c r="F15" s="18"/>
      <c r="G15" s="383">
        <f>IF(J15="X",'Ineligibility Reasons'!$A$4,"")&amp;IF(K15="X",'Ineligibility Reasons'!$A$5,"")&amp;IF(L15="X",'Ineligibility Reasons'!$A$6,"")&amp;IF(M15="X",'Ineligibility Reasons'!$A$7,"")&amp;IF(N15="X",'Ineligibility Reasons'!$A$9,"")&amp;IF(O15="X",'Ineligibility Reasons'!$A$10,"")&amp;IF(P15="X",'Ineligibility Reasons'!$A$11,"")&amp;IF(Q15="X",'Ineligibility Reasons'!$A$12,"")&amp;IF(R15="X",'Ineligibility Reasons'!$A$13,"")&amp;IF(S15="X",'Ineligibility Reasons'!$A$14,"")&amp;IF(T15="X",'Ineligibility Reasons'!$A$16,"")&amp;IF(U15="X",'Ineligibility Reasons'!$A$17,"")&amp;IF(V15="X",'Ineligibility Reasons'!$A$18,"")&amp;IF(W15="X",'Ineligibility Reasons'!$A$19,"")&amp;IF(X15="X",'Ineligibility Reasons'!$A$20,"")&amp;IF(Y15="X",'Ineligibility Reasons'!$A$21,"")&amp;IF(Z15="X",'Ineligibility Reasons'!$A$22,"")&amp;IF(AA15="X",'Ineligibility Reasons'!$A$23,"")&amp;IF('Schedule 2'!AE15="X",'Ineligibility Reasons'!$A$29,"")&amp;IF('Schedule 2'!AF15="X",'Ineligibility Reasons'!$A$30,"")&amp;IF('Schedule 2'!AG15="X",'Ineligibility Reasons'!$A$31,"")&amp;IF(AH15="X",'Ineligibility Reasons'!$A$32,"")&amp;IF('Schedule 2'!AI15="X",'Ineligibility Reasons'!$A$33,"")&amp;IF(AB15="X",'Ineligibility Reasons'!$A$25,"")&amp;IF(AC15="X",'Ineligibility Reasons'!$A$26,"")&amp;IF('Schedule 2'!AD15="X",'Ineligibility Reasons'!$A$27,"")</f>
      </c>
      <c r="H15" s="384"/>
      <c r="I15" s="229"/>
      <c r="J15" s="29"/>
      <c r="K15" s="40"/>
      <c r="L15" s="40"/>
      <c r="M15" s="40"/>
      <c r="N15" s="29"/>
      <c r="O15" s="28"/>
      <c r="P15" s="28"/>
      <c r="Q15" s="28"/>
      <c r="R15" s="40"/>
      <c r="S15" s="74"/>
      <c r="T15" s="93"/>
      <c r="U15" s="28"/>
      <c r="V15" s="28"/>
      <c r="W15" s="28"/>
      <c r="X15" s="28"/>
      <c r="Y15" s="28"/>
      <c r="Z15" s="40"/>
      <c r="AA15" s="40"/>
      <c r="AB15" s="29"/>
      <c r="AC15" s="30"/>
      <c r="AD15" s="40"/>
      <c r="AE15" s="29"/>
      <c r="AF15" s="28"/>
      <c r="AG15" s="40"/>
      <c r="AH15" s="40"/>
      <c r="AI15" s="40"/>
    </row>
    <row r="16" spans="1:35" s="12" customFormat="1" ht="24.75" customHeight="1">
      <c r="A16" s="14">
        <v>9</v>
      </c>
      <c r="B16" s="17"/>
      <c r="C16" s="18"/>
      <c r="D16" s="19"/>
      <c r="E16" s="19"/>
      <c r="F16" s="18"/>
      <c r="G16" s="383">
        <f>IF(J16="X",'Ineligibility Reasons'!$A$4,"")&amp;IF(K16="X",'Ineligibility Reasons'!$A$5,"")&amp;IF(L16="X",'Ineligibility Reasons'!$A$6,"")&amp;IF(M16="X",'Ineligibility Reasons'!$A$7,"")&amp;IF(N16="X",'Ineligibility Reasons'!$A$9,"")&amp;IF(O16="X",'Ineligibility Reasons'!$A$10,"")&amp;IF(P16="X",'Ineligibility Reasons'!$A$11,"")&amp;IF(Q16="X",'Ineligibility Reasons'!$A$12,"")&amp;IF(R16="X",'Ineligibility Reasons'!$A$13,"")&amp;IF(S16="X",'Ineligibility Reasons'!$A$14,"")&amp;IF(T16="X",'Ineligibility Reasons'!$A$16,"")&amp;IF(U16="X",'Ineligibility Reasons'!$A$17,"")&amp;IF(V16="X",'Ineligibility Reasons'!$A$18,"")&amp;IF(W16="X",'Ineligibility Reasons'!$A$19,"")&amp;IF(X16="X",'Ineligibility Reasons'!$A$20,"")&amp;IF(Y16="X",'Ineligibility Reasons'!$A$21,"")&amp;IF(Z16="X",'Ineligibility Reasons'!$A$22,"")&amp;IF(AA16="X",'Ineligibility Reasons'!$A$23,"")&amp;IF('Schedule 2'!AE16="X",'Ineligibility Reasons'!$A$29,"")&amp;IF('Schedule 2'!AF16="X",'Ineligibility Reasons'!$A$30,"")&amp;IF('Schedule 2'!AG16="X",'Ineligibility Reasons'!$A$31,"")&amp;IF(AH16="X",'Ineligibility Reasons'!$A$32,"")&amp;IF('Schedule 2'!AI16="X",'Ineligibility Reasons'!$A$33,"")&amp;IF(AB16="X",'Ineligibility Reasons'!$A$25,"")&amp;IF(AC16="X",'Ineligibility Reasons'!$A$26,"")&amp;IF('Schedule 2'!AD16="X",'Ineligibility Reasons'!$A$27,"")</f>
      </c>
      <c r="H16" s="384"/>
      <c r="I16" s="229"/>
      <c r="J16" s="29"/>
      <c r="K16" s="40"/>
      <c r="L16" s="40"/>
      <c r="M16" s="40"/>
      <c r="N16" s="29"/>
      <c r="O16" s="28"/>
      <c r="P16" s="28"/>
      <c r="Q16" s="28"/>
      <c r="R16" s="40"/>
      <c r="S16" s="74"/>
      <c r="T16" s="93"/>
      <c r="U16" s="28"/>
      <c r="V16" s="28"/>
      <c r="W16" s="28"/>
      <c r="X16" s="28"/>
      <c r="Y16" s="28"/>
      <c r="Z16" s="40"/>
      <c r="AA16" s="40"/>
      <c r="AB16" s="29"/>
      <c r="AC16" s="30"/>
      <c r="AD16" s="40"/>
      <c r="AE16" s="29"/>
      <c r="AF16" s="28"/>
      <c r="AG16" s="40"/>
      <c r="AH16" s="40"/>
      <c r="AI16" s="40"/>
    </row>
    <row r="17" spans="1:35" s="12" customFormat="1" ht="24.75" customHeight="1" thickBot="1">
      <c r="A17" s="60">
        <v>10</v>
      </c>
      <c r="B17" s="62"/>
      <c r="C17" s="63"/>
      <c r="D17" s="64"/>
      <c r="E17" s="64"/>
      <c r="F17" s="63"/>
      <c r="G17" s="392">
        <f>IF(J17="X",'Ineligibility Reasons'!$A$4,"")&amp;IF(K17="X",'Ineligibility Reasons'!$A$5,"")&amp;IF(L17="X",'Ineligibility Reasons'!$A$6,"")&amp;IF(M17="X",'Ineligibility Reasons'!$A$7,"")&amp;IF(N17="X",'Ineligibility Reasons'!$A$9,"")&amp;IF(O17="X",'Ineligibility Reasons'!$A$10,"")&amp;IF(P17="X",'Ineligibility Reasons'!$A$11,"")&amp;IF(Q17="X",'Ineligibility Reasons'!$A$12,"")&amp;IF(R17="X",'Ineligibility Reasons'!$A$13,"")&amp;IF(S17="X",'Ineligibility Reasons'!$A$14,"")&amp;IF(T17="X",'Ineligibility Reasons'!$A$16,"")&amp;IF(U17="X",'Ineligibility Reasons'!$A$17,"")&amp;IF(V17="X",'Ineligibility Reasons'!$A$18,"")&amp;IF(W17="X",'Ineligibility Reasons'!$A$19,"")&amp;IF(X17="X",'Ineligibility Reasons'!$A$20,"")&amp;IF(Y17="X",'Ineligibility Reasons'!$A$21,"")&amp;IF(Z17="X",'Ineligibility Reasons'!$A$22,"")&amp;IF(AA17="X",'Ineligibility Reasons'!$A$23,"")&amp;IF('Schedule 2'!AE17="X",'Ineligibility Reasons'!$A$29,"")&amp;IF('Schedule 2'!AF17="X",'Ineligibility Reasons'!$A$30,"")&amp;IF('Schedule 2'!AG17="X",'Ineligibility Reasons'!$A$31,"")&amp;IF(AH17="X",'Ineligibility Reasons'!$A$32,"")&amp;IF('Schedule 2'!AI17="X",'Ineligibility Reasons'!$A$33,"")&amp;IF(AB17="X",'Ineligibility Reasons'!$A$25,"")&amp;IF(AC17="X",'Ineligibility Reasons'!$A$26,"")&amp;IF('Schedule 2'!AD17="X",'Ineligibility Reasons'!$A$27,"")</f>
      </c>
      <c r="H17" s="393"/>
      <c r="I17" s="230"/>
      <c r="J17" s="31"/>
      <c r="K17" s="33"/>
      <c r="L17" s="33"/>
      <c r="M17" s="33"/>
      <c r="N17" s="31"/>
      <c r="O17" s="32"/>
      <c r="P17" s="32"/>
      <c r="Q17" s="32"/>
      <c r="R17" s="33"/>
      <c r="S17" s="75"/>
      <c r="T17" s="94"/>
      <c r="U17" s="32"/>
      <c r="V17" s="32"/>
      <c r="W17" s="32"/>
      <c r="X17" s="32"/>
      <c r="Y17" s="32"/>
      <c r="Z17" s="33"/>
      <c r="AA17" s="33"/>
      <c r="AB17" s="31"/>
      <c r="AC17" s="34"/>
      <c r="AD17" s="33"/>
      <c r="AE17" s="31"/>
      <c r="AF17" s="32"/>
      <c r="AG17" s="33"/>
      <c r="AH17" s="33"/>
      <c r="AI17" s="33"/>
    </row>
    <row r="18" spans="1:9" s="140" customFormat="1" ht="24.75" customHeight="1" thickBot="1">
      <c r="A18" s="161" t="s">
        <v>194</v>
      </c>
      <c r="B18" s="119">
        <f>IF(ISBLANK('Cover Page'!$A$4),"",COUNTA(B8:B17))</f>
      </c>
      <c r="C18" s="119">
        <f>IF(ISBLANK('Cover Page'!$A$4),"",COUNTA(C8:C17))</f>
      </c>
      <c r="D18" s="119">
        <f>IF(ISBLANK('Cover Page'!$A$4),"",COUNTA(D8:D17))</f>
      </c>
      <c r="E18" s="119">
        <f>IF(ISBLANK('Cover Page'!$A$4),"",COUNTA(E8:E17))</f>
      </c>
      <c r="F18" s="119">
        <f>IF(ISBLANK('Cover Page'!$A$4),"",COUNTA(F8:F17))</f>
      </c>
      <c r="G18" s="162">
        <f>IF(ISBLANK('Cover Page'!A4),"",COUNTA(G8:G17)-COUNTIF(G8:G17,""))</f>
      </c>
      <c r="H18" s="168"/>
      <c r="I18" s="138"/>
    </row>
    <row r="19" spans="1:9" s="144" customFormat="1" ht="18" customHeight="1" thickTop="1">
      <c r="A19" s="105"/>
      <c r="B19" s="382" t="s">
        <v>168</v>
      </c>
      <c r="C19" s="382"/>
      <c r="D19" s="382"/>
      <c r="E19" s="382"/>
      <c r="F19" s="382"/>
      <c r="G19" s="382"/>
      <c r="H19" s="382"/>
      <c r="I19" s="231"/>
    </row>
    <row r="20" spans="1:8" s="144" customFormat="1" ht="18" customHeight="1">
      <c r="A20" s="105"/>
      <c r="B20" s="385" t="s">
        <v>41</v>
      </c>
      <c r="C20" s="385"/>
      <c r="D20" s="385"/>
      <c r="E20" s="385"/>
      <c r="F20" s="385"/>
      <c r="G20" s="385"/>
      <c r="H20" s="385"/>
    </row>
    <row r="66" ht="11.25" hidden="1">
      <c r="B66" s="3" t="s">
        <v>3</v>
      </c>
    </row>
    <row r="67" ht="11.25" hidden="1">
      <c r="B67" s="3" t="s">
        <v>4</v>
      </c>
    </row>
    <row r="68" ht="11.25" hidden="1">
      <c r="B68" s="4">
        <v>1</v>
      </c>
    </row>
    <row r="69" ht="11.25" hidden="1">
      <c r="B69" s="4">
        <v>2</v>
      </c>
    </row>
    <row r="70" ht="11.25" hidden="1">
      <c r="B70" s="4">
        <v>3</v>
      </c>
    </row>
    <row r="71" ht="11.25" hidden="1">
      <c r="B71" s="4">
        <v>4</v>
      </c>
    </row>
    <row r="72" ht="11.25" hidden="1">
      <c r="B72" s="4">
        <v>5</v>
      </c>
    </row>
    <row r="73" ht="11.25" hidden="1">
      <c r="B73" s="4">
        <v>6</v>
      </c>
    </row>
    <row r="74" ht="11.25" hidden="1">
      <c r="B74" s="4">
        <v>7</v>
      </c>
    </row>
    <row r="75" ht="11.25" hidden="1">
      <c r="B75" s="4">
        <v>8</v>
      </c>
    </row>
    <row r="76" ht="11.25" hidden="1">
      <c r="B76" s="4">
        <v>9</v>
      </c>
    </row>
    <row r="77" ht="11.25" hidden="1">
      <c r="B77" s="4">
        <v>10</v>
      </c>
    </row>
    <row r="78" ht="11.25" hidden="1">
      <c r="B78" s="4">
        <v>11</v>
      </c>
    </row>
    <row r="79" ht="11.25" hidden="1">
      <c r="B79" s="4">
        <v>12</v>
      </c>
    </row>
  </sheetData>
  <sheetProtection password="DE89" sheet="1" formatRows="0"/>
  <mergeCells count="29">
    <mergeCell ref="N6:S6"/>
    <mergeCell ref="AE6:AI6"/>
    <mergeCell ref="T6:AA6"/>
    <mergeCell ref="G9:H9"/>
    <mergeCell ref="G10:H10"/>
    <mergeCell ref="J6:M6"/>
    <mergeCell ref="G16:H16"/>
    <mergeCell ref="AB6:AD6"/>
    <mergeCell ref="G11:H11"/>
    <mergeCell ref="G14:H14"/>
    <mergeCell ref="G15:H15"/>
    <mergeCell ref="B20:H20"/>
    <mergeCell ref="B1:H1"/>
    <mergeCell ref="B2:H2"/>
    <mergeCell ref="B3:H3"/>
    <mergeCell ref="B6:B7"/>
    <mergeCell ref="G6:H7"/>
    <mergeCell ref="G8:H8"/>
    <mergeCell ref="G17:H17"/>
    <mergeCell ref="C6:C7"/>
    <mergeCell ref="F6:F7"/>
    <mergeCell ref="D6:D7"/>
    <mergeCell ref="E6:E7"/>
    <mergeCell ref="A6:A7"/>
    <mergeCell ref="A5:G5"/>
    <mergeCell ref="A4:H4"/>
    <mergeCell ref="B19:H19"/>
    <mergeCell ref="G12:H12"/>
    <mergeCell ref="G13:H13"/>
  </mergeCells>
  <dataValidations count="4">
    <dataValidation type="list" allowBlank="1" showInputMessage="1" showErrorMessage="1" sqref="H5">
      <formula1>"Yes,No"</formula1>
    </dataValidation>
    <dataValidation type="list" allowBlank="1" showInputMessage="1" showErrorMessage="1" sqref="B8:B17">
      <formula1>"K4,K5-0.5 FTE,K5-0.6 FTE,K5-1.0 FTE,1,2,3,4,5,6,7,8,9,10,11,12"</formula1>
    </dataValidation>
    <dataValidation type="list" allowBlank="1" showInputMessage="1" showErrorMessage="1" sqref="F8:F17">
      <formula1>"Full,Partial"</formula1>
    </dataValidation>
    <dataValidation type="list" allowBlank="1" showDropDown="1" showInputMessage="1" showErrorMessage="1" prompt="Insert &quot;X&quot; if this Reason is applicable." error="Input X if the reason is applicable.  If not applicable, leave this cell blank." sqref="J8:AI17">
      <formula1>"X,x"</formula1>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4&amp;R&amp;"Arial,Regular"&amp;8PI-SNSP-0102 (10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33"/>
  <sheetViews>
    <sheetView workbookViewId="0" topLeftCell="A1">
      <selection activeCell="J12" sqref="J12"/>
    </sheetView>
  </sheetViews>
  <sheetFormatPr defaultColWidth="9.140625" defaultRowHeight="15"/>
  <cols>
    <col min="1" max="1" width="109.57421875" style="69" customWidth="1"/>
    <col min="2" max="16384" width="9.140625" style="5" customWidth="1"/>
  </cols>
  <sheetData>
    <row r="1" ht="38.25">
      <c r="A1" s="35" t="s">
        <v>136</v>
      </c>
    </row>
    <row r="2" ht="12.75">
      <c r="A2" s="36"/>
    </row>
    <row r="3" s="22" customFormat="1" ht="12.75">
      <c r="A3" s="37" t="s">
        <v>145</v>
      </c>
    </row>
    <row r="4" s="22" customFormat="1" ht="14.25" customHeight="1">
      <c r="A4" s="38" t="s">
        <v>55</v>
      </c>
    </row>
    <row r="5" s="22" customFormat="1" ht="14.25" customHeight="1">
      <c r="A5" s="38" t="s">
        <v>146</v>
      </c>
    </row>
    <row r="6" s="22" customFormat="1" ht="14.25" customHeight="1">
      <c r="A6" s="38" t="s">
        <v>147</v>
      </c>
    </row>
    <row r="7" s="22" customFormat="1" ht="14.25" customHeight="1">
      <c r="A7" s="38" t="s">
        <v>148</v>
      </c>
    </row>
    <row r="8" s="22" customFormat="1" ht="18" customHeight="1">
      <c r="A8" s="99" t="s">
        <v>111</v>
      </c>
    </row>
    <row r="9" s="22" customFormat="1" ht="14.25" customHeight="1">
      <c r="A9" s="38" t="s">
        <v>149</v>
      </c>
    </row>
    <row r="10" s="22" customFormat="1" ht="14.25" customHeight="1">
      <c r="A10" s="38" t="s">
        <v>150</v>
      </c>
    </row>
    <row r="11" s="22" customFormat="1" ht="14.25" customHeight="1">
      <c r="A11" s="38" t="s">
        <v>151</v>
      </c>
    </row>
    <row r="12" s="22" customFormat="1" ht="29.25" customHeight="1">
      <c r="A12" s="38" t="s">
        <v>152</v>
      </c>
    </row>
    <row r="13" s="22" customFormat="1" ht="29.25" customHeight="1">
      <c r="A13" s="38" t="s">
        <v>153</v>
      </c>
    </row>
    <row r="14" s="22" customFormat="1" ht="12.75" customHeight="1">
      <c r="A14" s="38" t="s">
        <v>298</v>
      </c>
    </row>
    <row r="15" s="22" customFormat="1" ht="18" customHeight="1">
      <c r="A15" s="99" t="s">
        <v>28</v>
      </c>
    </row>
    <row r="16" s="22" customFormat="1" ht="14.25" customHeight="1">
      <c r="A16" s="38" t="s">
        <v>299</v>
      </c>
    </row>
    <row r="17" s="22" customFormat="1" ht="14.25" customHeight="1">
      <c r="A17" s="38" t="s">
        <v>300</v>
      </c>
    </row>
    <row r="18" s="22" customFormat="1" ht="29.25" customHeight="1">
      <c r="A18" s="39" t="s">
        <v>341</v>
      </c>
    </row>
    <row r="19" s="22" customFormat="1" ht="40.5" customHeight="1">
      <c r="A19" s="38" t="s">
        <v>301</v>
      </c>
    </row>
    <row r="20" s="22" customFormat="1" ht="17.25" customHeight="1">
      <c r="A20" s="38" t="s">
        <v>302</v>
      </c>
    </row>
    <row r="21" s="22" customFormat="1" ht="29.25" customHeight="1">
      <c r="A21" s="38" t="s">
        <v>303</v>
      </c>
    </row>
    <row r="22" s="22" customFormat="1" ht="29.25" customHeight="1">
      <c r="A22" s="38" t="s">
        <v>323</v>
      </c>
    </row>
    <row r="23" s="22" customFormat="1" ht="25.5">
      <c r="A23" s="57" t="s">
        <v>304</v>
      </c>
    </row>
    <row r="24" s="22" customFormat="1" ht="18" customHeight="1">
      <c r="A24" s="100" t="s">
        <v>138</v>
      </c>
    </row>
    <row r="25" s="22" customFormat="1" ht="14.25" customHeight="1">
      <c r="A25" s="57" t="s">
        <v>305</v>
      </c>
    </row>
    <row r="26" s="22" customFormat="1" ht="14.25" customHeight="1">
      <c r="A26" s="57" t="s">
        <v>306</v>
      </c>
    </row>
    <row r="27" s="22" customFormat="1" ht="14.25" customHeight="1">
      <c r="A27" s="57" t="s">
        <v>307</v>
      </c>
    </row>
    <row r="28" s="22" customFormat="1" ht="18" customHeight="1">
      <c r="A28" s="99" t="s">
        <v>29</v>
      </c>
    </row>
    <row r="29" s="22" customFormat="1" ht="14.25" customHeight="1">
      <c r="A29" s="57" t="s">
        <v>308</v>
      </c>
    </row>
    <row r="30" s="22" customFormat="1" ht="30" customHeight="1">
      <c r="A30" s="38" t="s">
        <v>309</v>
      </c>
    </row>
    <row r="31" s="22" customFormat="1" ht="14.25" customHeight="1">
      <c r="A31" s="38" t="s">
        <v>310</v>
      </c>
    </row>
    <row r="32" s="22" customFormat="1" ht="14.25" customHeight="1">
      <c r="A32" s="58" t="s">
        <v>311</v>
      </c>
    </row>
    <row r="33" s="22" customFormat="1" ht="14.25" customHeight="1">
      <c r="A33" s="58" t="s">
        <v>312</v>
      </c>
    </row>
  </sheetData>
  <sheetProtection password="DE89" sheet="1"/>
  <printOptions gridLines="1" horizontalCentered="1"/>
  <pageMargins left="0.25" right="0.25" top="0.5" bottom="0.5" header="0.3" footer="0.3"/>
  <pageSetup fitToHeight="2" fitToWidth="1" horizontalDpi="600" verticalDpi="600" orientation="portrait" scale="99"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22"/>
  <sheetViews>
    <sheetView showGridLines="0" workbookViewId="0" topLeftCell="A1">
      <pane xSplit="5" ySplit="8" topLeftCell="F9" activePane="bottomRight" state="frozen"/>
      <selection pane="topLeft" activeCell="U91" sqref="U91"/>
      <selection pane="topRight" activeCell="U91" sqref="U91"/>
      <selection pane="bottomLeft" activeCell="U91" sqref="U91"/>
      <selection pane="bottomRight" activeCell="U91" sqref="U91"/>
    </sheetView>
  </sheetViews>
  <sheetFormatPr defaultColWidth="9.140625" defaultRowHeight="15"/>
  <cols>
    <col min="1" max="1" width="5.00390625" style="105" bestFit="1" customWidth="1"/>
    <col min="2" max="2" width="9.8515625" style="4" customWidth="1"/>
    <col min="3" max="3" width="8.421875" style="4" customWidth="1"/>
    <col min="4" max="5" width="13.140625" style="4" customWidth="1"/>
    <col min="6" max="6" width="11.140625" style="4" customWidth="1"/>
    <col min="7" max="7" width="10.140625" style="105" customWidth="1"/>
    <col min="8" max="9" width="13.140625" style="4" customWidth="1"/>
    <col min="10" max="10" width="11.140625" style="4" customWidth="1"/>
    <col min="11" max="11" width="15.140625" style="4" customWidth="1"/>
    <col min="12" max="12" width="24.57421875" style="4" customWidth="1"/>
    <col min="13" max="13" width="0.71875" style="26" customWidth="1"/>
    <col min="14" max="15" width="0" style="104" hidden="1" customWidth="1"/>
    <col min="16" max="16" width="0" style="105" hidden="1" customWidth="1"/>
    <col min="17" max="16384" width="9.140625" style="4" customWidth="1"/>
  </cols>
  <sheetData>
    <row r="1" spans="2:12" ht="13.5" customHeight="1">
      <c r="B1" s="412" t="str">
        <f>IF(ISBLANK('Cover Page'!A4),"School Name",'Cover Page'!A4)</f>
        <v>School Name</v>
      </c>
      <c r="C1" s="412"/>
      <c r="D1" s="412"/>
      <c r="E1" s="412"/>
      <c r="F1" s="412"/>
      <c r="G1" s="412"/>
      <c r="H1" s="412"/>
      <c r="I1" s="412"/>
      <c r="J1" s="412"/>
      <c r="K1" s="412"/>
      <c r="L1" s="412"/>
    </row>
    <row r="2" spans="2:12" ht="13.5" customHeight="1">
      <c r="B2" s="413" t="str">
        <f>'Schedule 2'!B2</f>
        <v>September 20, 2019 SNSP Enrollment Audit</v>
      </c>
      <c r="C2" s="413"/>
      <c r="D2" s="413"/>
      <c r="E2" s="413"/>
      <c r="F2" s="413"/>
      <c r="G2" s="413"/>
      <c r="H2" s="413"/>
      <c r="I2" s="413"/>
      <c r="J2" s="413"/>
      <c r="K2" s="413"/>
      <c r="L2" s="413"/>
    </row>
    <row r="3" spans="2:12" ht="13.5" customHeight="1">
      <c r="B3" s="413" t="s">
        <v>198</v>
      </c>
      <c r="C3" s="413"/>
      <c r="D3" s="413"/>
      <c r="E3" s="413"/>
      <c r="F3" s="413"/>
      <c r="G3" s="413"/>
      <c r="H3" s="413"/>
      <c r="I3" s="413"/>
      <c r="J3" s="413"/>
      <c r="K3" s="413"/>
      <c r="L3" s="413"/>
    </row>
    <row r="4" spans="1:16" s="12" customFormat="1" ht="81.75" customHeight="1" thickBot="1">
      <c r="A4" s="381" t="s">
        <v>395</v>
      </c>
      <c r="B4" s="381"/>
      <c r="C4" s="381"/>
      <c r="D4" s="381"/>
      <c r="E4" s="381"/>
      <c r="F4" s="381"/>
      <c r="G4" s="381"/>
      <c r="H4" s="381"/>
      <c r="I4" s="381"/>
      <c r="J4" s="381"/>
      <c r="K4" s="381"/>
      <c r="L4" s="381"/>
      <c r="M4" s="112"/>
      <c r="N4" s="122"/>
      <c r="O4" s="122"/>
      <c r="P4" s="114"/>
    </row>
    <row r="5" spans="1:13" ht="27" customHeight="1" thickTop="1">
      <c r="A5" s="414" t="s">
        <v>333</v>
      </c>
      <c r="B5" s="414"/>
      <c r="C5" s="414"/>
      <c r="D5" s="414"/>
      <c r="E5" s="414"/>
      <c r="F5" s="414"/>
      <c r="G5" s="414"/>
      <c r="H5" s="414"/>
      <c r="I5" s="414"/>
      <c r="J5" s="414"/>
      <c r="K5" s="414"/>
      <c r="L5" s="252"/>
      <c r="M5" s="112"/>
    </row>
    <row r="6" spans="1:12" ht="19.5" customHeight="1" thickBot="1">
      <c r="A6" s="415" t="s">
        <v>335</v>
      </c>
      <c r="B6" s="415"/>
      <c r="C6" s="415"/>
      <c r="D6" s="415"/>
      <c r="E6" s="415"/>
      <c r="F6" s="415"/>
      <c r="G6" s="415"/>
      <c r="H6" s="415"/>
      <c r="I6" s="415"/>
      <c r="J6" s="415"/>
      <c r="K6" s="415"/>
      <c r="L6" s="253"/>
    </row>
    <row r="7" spans="1:16" s="12" customFormat="1" ht="23.25" customHeight="1" thickTop="1">
      <c r="A7" s="114"/>
      <c r="B7" s="403" t="s">
        <v>161</v>
      </c>
      <c r="C7" s="404"/>
      <c r="D7" s="404"/>
      <c r="E7" s="404"/>
      <c r="F7" s="405"/>
      <c r="G7" s="406" t="s">
        <v>314</v>
      </c>
      <c r="H7" s="407"/>
      <c r="I7" s="407"/>
      <c r="J7" s="408"/>
      <c r="K7" s="409" t="s">
        <v>315</v>
      </c>
      <c r="L7" s="389"/>
      <c r="M7" s="27"/>
      <c r="N7" s="122"/>
      <c r="O7" s="122"/>
      <c r="P7" s="114"/>
    </row>
    <row r="8" spans="1:16" s="105" customFormat="1" ht="33.75" customHeight="1">
      <c r="A8" s="115" t="s">
        <v>45</v>
      </c>
      <c r="B8" s="257" t="s">
        <v>160</v>
      </c>
      <c r="C8" s="281" t="s">
        <v>78</v>
      </c>
      <c r="D8" s="106" t="s">
        <v>156</v>
      </c>
      <c r="E8" s="106" t="s">
        <v>157</v>
      </c>
      <c r="F8" s="116" t="s">
        <v>110</v>
      </c>
      <c r="G8" s="108" t="s">
        <v>162</v>
      </c>
      <c r="H8" s="283" t="s">
        <v>163</v>
      </c>
      <c r="I8" s="282" t="s">
        <v>164</v>
      </c>
      <c r="J8" s="258" t="s">
        <v>297</v>
      </c>
      <c r="K8" s="410"/>
      <c r="L8" s="391"/>
      <c r="M8" s="65"/>
      <c r="N8" s="123" t="s">
        <v>169</v>
      </c>
      <c r="O8" s="123" t="s">
        <v>295</v>
      </c>
      <c r="P8" s="255" t="s">
        <v>317</v>
      </c>
    </row>
    <row r="9" spans="1:16" s="12" customFormat="1" ht="30" customHeight="1">
      <c r="A9" s="290">
        <v>1</v>
      </c>
      <c r="B9" s="117"/>
      <c r="C9" s="19"/>
      <c r="D9" s="19"/>
      <c r="E9" s="19"/>
      <c r="F9" s="109"/>
      <c r="G9" s="120"/>
      <c r="H9" s="107"/>
      <c r="I9" s="107"/>
      <c r="J9" s="109"/>
      <c r="K9" s="401"/>
      <c r="L9" s="401"/>
      <c r="M9" s="302"/>
      <c r="N9" s="122" t="str">
        <f>IF(G9="","No",IF(G9=B9,"No","Yes"))</f>
        <v>No</v>
      </c>
      <c r="O9" s="122" t="str">
        <f>IF(J9="","No",IF(J9=F9,"No","Yes"))</f>
        <v>No</v>
      </c>
      <c r="P9" s="114" t="str">
        <f>IF(J9="","OK",IF(G9="","Error","OK"))</f>
        <v>OK</v>
      </c>
    </row>
    <row r="10" spans="1:16" s="12" customFormat="1" ht="30" customHeight="1">
      <c r="A10" s="290">
        <v>2</v>
      </c>
      <c r="B10" s="117"/>
      <c r="C10" s="19"/>
      <c r="D10" s="19"/>
      <c r="E10" s="19"/>
      <c r="F10" s="109"/>
      <c r="G10" s="120"/>
      <c r="H10" s="107"/>
      <c r="I10" s="107"/>
      <c r="J10" s="109"/>
      <c r="K10" s="411"/>
      <c r="L10" s="411"/>
      <c r="M10" s="302"/>
      <c r="N10" s="122" t="str">
        <f aca="true" t="shared" si="0" ref="N10:N18">IF(G10="","No",IF(G10=B10,"No","Yes"))</f>
        <v>No</v>
      </c>
      <c r="O10" s="122" t="str">
        <f aca="true" t="shared" si="1" ref="O10:O18">IF(J10="","No",IF(J10=F10,"No","Yes"))</f>
        <v>No</v>
      </c>
      <c r="P10" s="114" t="str">
        <f aca="true" t="shared" si="2" ref="P10:P18">IF(J10="","OK",IF(G10="","Error","OK"))</f>
        <v>OK</v>
      </c>
    </row>
    <row r="11" spans="1:16" s="12" customFormat="1" ht="30" customHeight="1">
      <c r="A11" s="290">
        <v>3</v>
      </c>
      <c r="B11" s="117"/>
      <c r="C11" s="19"/>
      <c r="D11" s="19"/>
      <c r="E11" s="19"/>
      <c r="F11" s="109"/>
      <c r="G11" s="120"/>
      <c r="H11" s="107"/>
      <c r="I11" s="107"/>
      <c r="J11" s="109"/>
      <c r="K11" s="411"/>
      <c r="L11" s="411"/>
      <c r="M11" s="302"/>
      <c r="N11" s="122" t="str">
        <f t="shared" si="0"/>
        <v>No</v>
      </c>
      <c r="O11" s="122" t="str">
        <f t="shared" si="1"/>
        <v>No</v>
      </c>
      <c r="P11" s="114" t="str">
        <f t="shared" si="2"/>
        <v>OK</v>
      </c>
    </row>
    <row r="12" spans="1:16" s="12" customFormat="1" ht="30" customHeight="1">
      <c r="A12" s="290">
        <v>4</v>
      </c>
      <c r="B12" s="117"/>
      <c r="C12" s="19"/>
      <c r="D12" s="19"/>
      <c r="E12" s="19"/>
      <c r="F12" s="109"/>
      <c r="G12" s="120"/>
      <c r="H12" s="107"/>
      <c r="I12" s="107"/>
      <c r="J12" s="109"/>
      <c r="K12" s="401"/>
      <c r="L12" s="401"/>
      <c r="M12" s="302"/>
      <c r="N12" s="122" t="str">
        <f t="shared" si="0"/>
        <v>No</v>
      </c>
      <c r="O12" s="122" t="str">
        <f t="shared" si="1"/>
        <v>No</v>
      </c>
      <c r="P12" s="114" t="str">
        <f t="shared" si="2"/>
        <v>OK</v>
      </c>
    </row>
    <row r="13" spans="1:16" s="12" customFormat="1" ht="30" customHeight="1">
      <c r="A13" s="290">
        <v>5</v>
      </c>
      <c r="B13" s="117"/>
      <c r="C13" s="19"/>
      <c r="D13" s="19"/>
      <c r="E13" s="19"/>
      <c r="F13" s="109"/>
      <c r="G13" s="120"/>
      <c r="H13" s="107"/>
      <c r="I13" s="107"/>
      <c r="J13" s="109"/>
      <c r="K13" s="401"/>
      <c r="L13" s="401"/>
      <c r="M13" s="302"/>
      <c r="N13" s="122" t="str">
        <f t="shared" si="0"/>
        <v>No</v>
      </c>
      <c r="O13" s="122" t="str">
        <f t="shared" si="1"/>
        <v>No</v>
      </c>
      <c r="P13" s="114" t="str">
        <f t="shared" si="2"/>
        <v>OK</v>
      </c>
    </row>
    <row r="14" spans="1:16" s="12" customFormat="1" ht="30" customHeight="1">
      <c r="A14" s="290">
        <v>6</v>
      </c>
      <c r="B14" s="117"/>
      <c r="C14" s="19"/>
      <c r="D14" s="19"/>
      <c r="E14" s="19"/>
      <c r="F14" s="109"/>
      <c r="G14" s="120"/>
      <c r="H14" s="107"/>
      <c r="I14" s="107"/>
      <c r="J14" s="109"/>
      <c r="K14" s="411"/>
      <c r="L14" s="411"/>
      <c r="M14" s="302"/>
      <c r="N14" s="122" t="str">
        <f t="shared" si="0"/>
        <v>No</v>
      </c>
      <c r="O14" s="122" t="str">
        <f t="shared" si="1"/>
        <v>No</v>
      </c>
      <c r="P14" s="114" t="str">
        <f t="shared" si="2"/>
        <v>OK</v>
      </c>
    </row>
    <row r="15" spans="1:16" s="12" customFormat="1" ht="30" customHeight="1">
      <c r="A15" s="290">
        <v>7</v>
      </c>
      <c r="B15" s="117"/>
      <c r="C15" s="19"/>
      <c r="D15" s="19"/>
      <c r="E15" s="19"/>
      <c r="F15" s="109"/>
      <c r="G15" s="120"/>
      <c r="H15" s="107"/>
      <c r="I15" s="107"/>
      <c r="J15" s="109"/>
      <c r="K15" s="401"/>
      <c r="L15" s="401"/>
      <c r="M15" s="302"/>
      <c r="N15" s="122" t="str">
        <f t="shared" si="0"/>
        <v>No</v>
      </c>
      <c r="O15" s="122" t="str">
        <f t="shared" si="1"/>
        <v>No</v>
      </c>
      <c r="P15" s="114" t="str">
        <f t="shared" si="2"/>
        <v>OK</v>
      </c>
    </row>
    <row r="16" spans="1:16" s="12" customFormat="1" ht="30" customHeight="1">
      <c r="A16" s="290">
        <v>8</v>
      </c>
      <c r="B16" s="117"/>
      <c r="C16" s="19"/>
      <c r="D16" s="19"/>
      <c r="E16" s="19"/>
      <c r="F16" s="109"/>
      <c r="G16" s="120"/>
      <c r="H16" s="107"/>
      <c r="I16" s="107"/>
      <c r="J16" s="109"/>
      <c r="K16" s="411"/>
      <c r="L16" s="411"/>
      <c r="M16" s="302"/>
      <c r="N16" s="122" t="str">
        <f t="shared" si="0"/>
        <v>No</v>
      </c>
      <c r="O16" s="122" t="str">
        <f t="shared" si="1"/>
        <v>No</v>
      </c>
      <c r="P16" s="114" t="str">
        <f t="shared" si="2"/>
        <v>OK</v>
      </c>
    </row>
    <row r="17" spans="1:16" s="12" customFormat="1" ht="30" customHeight="1">
      <c r="A17" s="290">
        <v>9</v>
      </c>
      <c r="B17" s="117"/>
      <c r="C17" s="19"/>
      <c r="D17" s="19"/>
      <c r="E17" s="19"/>
      <c r="F17" s="109"/>
      <c r="G17" s="120"/>
      <c r="H17" s="107"/>
      <c r="I17" s="107"/>
      <c r="J17" s="109"/>
      <c r="K17" s="411"/>
      <c r="L17" s="411"/>
      <c r="M17" s="302"/>
      <c r="N17" s="122" t="str">
        <f t="shared" si="0"/>
        <v>No</v>
      </c>
      <c r="O17" s="122" t="str">
        <f t="shared" si="1"/>
        <v>No</v>
      </c>
      <c r="P17" s="114" t="str">
        <f t="shared" si="2"/>
        <v>OK</v>
      </c>
    </row>
    <row r="18" spans="1:16" s="12" customFormat="1" ht="30" customHeight="1" thickBot="1">
      <c r="A18" s="141">
        <v>10</v>
      </c>
      <c r="B18" s="118"/>
      <c r="C18" s="64"/>
      <c r="D18" s="64"/>
      <c r="E18" s="64"/>
      <c r="F18" s="111"/>
      <c r="G18" s="121"/>
      <c r="H18" s="110"/>
      <c r="I18" s="110"/>
      <c r="J18" s="111"/>
      <c r="K18" s="401"/>
      <c r="L18" s="401"/>
      <c r="M18" s="302"/>
      <c r="N18" s="122" t="str">
        <f t="shared" si="0"/>
        <v>No</v>
      </c>
      <c r="O18" s="122" t="str">
        <f t="shared" si="1"/>
        <v>No</v>
      </c>
      <c r="P18" s="114" t="str">
        <f t="shared" si="2"/>
        <v>OK</v>
      </c>
    </row>
    <row r="19" spans="1:16" s="140" customFormat="1" ht="30.75" customHeight="1" thickBot="1">
      <c r="A19" s="161" t="s">
        <v>194</v>
      </c>
      <c r="B19" s="137">
        <f>IF(ISBLANK('Cover Page'!$A$4),"",COUNTA(B9:B18))</f>
      </c>
      <c r="C19" s="137">
        <f>IF(ISBLANK('Cover Page'!$A$4),"",COUNTA(C9:C18))</f>
      </c>
      <c r="D19" s="137">
        <f>IF(ISBLANK('Cover Page'!$A$4),"",COUNTA(D9:D18))</f>
      </c>
      <c r="E19" s="137">
        <f>IF(ISBLANK('Cover Page'!$A$4),"",COUNTA(E9:E18))</f>
      </c>
      <c r="F19" s="137">
        <f>IF(ISBLANK('Cover Page'!$A$4),"",COUNTA(F9:F18))</f>
      </c>
      <c r="G19" s="162"/>
      <c r="H19" s="163"/>
      <c r="I19" s="163"/>
      <c r="J19" s="163"/>
      <c r="K19" s="232"/>
      <c r="L19" s="232"/>
      <c r="M19" s="212"/>
      <c r="N19" s="139"/>
      <c r="O19" s="139"/>
      <c r="P19" s="256"/>
    </row>
    <row r="20" spans="2:13" ht="21" customHeight="1" thickTop="1">
      <c r="B20" s="402"/>
      <c r="C20" s="402"/>
      <c r="D20" s="402"/>
      <c r="E20" s="402"/>
      <c r="F20" s="402"/>
      <c r="G20" s="402"/>
      <c r="H20" s="402"/>
      <c r="I20" s="402"/>
      <c r="J20" s="402"/>
      <c r="K20" s="402"/>
      <c r="L20" s="402"/>
      <c r="M20" s="402"/>
    </row>
    <row r="21" spans="2:13" ht="18" customHeight="1">
      <c r="B21" s="382" t="s">
        <v>168</v>
      </c>
      <c r="C21" s="382"/>
      <c r="D21" s="382"/>
      <c r="E21" s="382"/>
      <c r="F21" s="382"/>
      <c r="G21" s="382"/>
      <c r="H21" s="382"/>
      <c r="I21" s="382"/>
      <c r="J21" s="382"/>
      <c r="K21" s="382"/>
      <c r="L21" s="382"/>
      <c r="M21" s="113"/>
    </row>
    <row r="22" spans="2:12" ht="18" customHeight="1">
      <c r="B22" s="385" t="s">
        <v>41</v>
      </c>
      <c r="C22" s="385"/>
      <c r="D22" s="385"/>
      <c r="E22" s="385"/>
      <c r="F22" s="385"/>
      <c r="G22" s="385"/>
      <c r="H22" s="385"/>
      <c r="I22" s="385"/>
      <c r="J22" s="385"/>
      <c r="K22" s="385"/>
      <c r="L22" s="385"/>
    </row>
  </sheetData>
  <sheetProtection password="DE89" sheet="1" formatRows="0"/>
  <mergeCells count="22">
    <mergeCell ref="K10:L10"/>
    <mergeCell ref="K11:L11"/>
    <mergeCell ref="K16:L16"/>
    <mergeCell ref="K17:L17"/>
    <mergeCell ref="B1:L1"/>
    <mergeCell ref="B2:L2"/>
    <mergeCell ref="B3:L3"/>
    <mergeCell ref="A5:K5"/>
    <mergeCell ref="A6:K6"/>
    <mergeCell ref="K14:L14"/>
    <mergeCell ref="A4:L4"/>
    <mergeCell ref="K9:L9"/>
    <mergeCell ref="B22:L22"/>
    <mergeCell ref="K18:L18"/>
    <mergeCell ref="B20:M20"/>
    <mergeCell ref="B21:L21"/>
    <mergeCell ref="B7:F7"/>
    <mergeCell ref="G7:J7"/>
    <mergeCell ref="K7:L8"/>
    <mergeCell ref="K15:L15"/>
    <mergeCell ref="K12:L12"/>
    <mergeCell ref="K13:L13"/>
  </mergeCells>
  <dataValidations count="4">
    <dataValidation type="list" allowBlank="1" showInputMessage="1" showErrorMessage="1" sqref="L6">
      <formula1>"Yes,No"</formula1>
    </dataValidation>
    <dataValidation type="whole" allowBlank="1" showInputMessage="1" showErrorMessage="1" error="If the auditor did not identify any required correction(s) where the DPI Pupil Information Report, Application file, or Transfer Request file information was correct, insert 0." sqref="L5">
      <formula1>0</formula1>
      <formula2>1000</formula2>
    </dataValidation>
    <dataValidation type="list" allowBlank="1" showInputMessage="1" showErrorMessage="1" sqref="J9:J18 F9:F18">
      <formula1>"Full,Partial"</formula1>
    </dataValidation>
    <dataValidation type="list" allowBlank="1" showInputMessage="1" showErrorMessage="1" sqref="G9:G18 B9:B18">
      <formula1>"K4,K5-0.5 FTE,K5-0.6 FTE,K5-1.0 FTE,1,2,3,4,5,6,7,8,9,10,11,12"</formula1>
    </dataValidation>
  </dataValidations>
  <printOptions horizontalCentered="1"/>
  <pageMargins left="0.5" right="0.5" top="0.5" bottom="0.5" header="0.3" footer="0.3"/>
  <pageSetup fitToHeight="100" fitToWidth="1" horizontalDpi="600" verticalDpi="600" orientation="landscape" scale="86" r:id="rId1"/>
  <headerFooter>
    <oddHeader>&amp;L&amp;"Arial,Regular"&amp;8Page 5&amp;R&amp;"Arial,Regular"&amp;8PI-SNSP-0102 (10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showGridLines="0" workbookViewId="0" topLeftCell="A1">
      <pane ySplit="6" topLeftCell="A7" activePane="bottomLeft" state="frozen"/>
      <selection pane="topLeft" activeCell="U91" sqref="U91"/>
      <selection pane="bottomLeft" activeCell="U91" sqref="U91"/>
    </sheetView>
  </sheetViews>
  <sheetFormatPr defaultColWidth="9.140625" defaultRowHeight="15"/>
  <cols>
    <col min="1" max="1" width="5.28125" style="105" customWidth="1"/>
    <col min="2" max="2" width="11.00390625" style="4" bestFit="1" customWidth="1"/>
    <col min="3" max="3" width="8.421875" style="4" customWidth="1"/>
    <col min="4" max="5" width="18.7109375" style="4" customWidth="1"/>
    <col min="6" max="6" width="11.28125" style="4" customWidth="1"/>
    <col min="7" max="7" width="26.140625" style="4" customWidth="1"/>
    <col min="8" max="8" width="30.421875" style="4" customWidth="1"/>
    <col min="9" max="16384" width="9.140625" style="4" customWidth="1"/>
  </cols>
  <sheetData>
    <row r="1" spans="2:8" ht="13.5" customHeight="1">
      <c r="B1" s="412" t="str">
        <f>IF(ISBLANK('Cover Page'!A4),"School Name",'Cover Page'!A4)</f>
        <v>School Name</v>
      </c>
      <c r="C1" s="412"/>
      <c r="D1" s="412"/>
      <c r="E1" s="412"/>
      <c r="F1" s="412"/>
      <c r="G1" s="412"/>
      <c r="H1" s="412"/>
    </row>
    <row r="2" spans="2:8" ht="13.5" customHeight="1">
      <c r="B2" s="413" t="str">
        <f>'Schedule 2'!B2</f>
        <v>September 20, 2019 SNSP Enrollment Audit</v>
      </c>
      <c r="C2" s="413"/>
      <c r="D2" s="413"/>
      <c r="E2" s="413"/>
      <c r="F2" s="413"/>
      <c r="G2" s="413"/>
      <c r="H2" s="413"/>
    </row>
    <row r="3" spans="2:8" ht="13.5" customHeight="1">
      <c r="B3" s="413" t="s">
        <v>313</v>
      </c>
      <c r="C3" s="413"/>
      <c r="D3" s="413"/>
      <c r="E3" s="413"/>
      <c r="F3" s="413"/>
      <c r="G3" s="413"/>
      <c r="H3" s="413"/>
    </row>
    <row r="4" spans="1:8" ht="85.5" customHeight="1" thickBot="1">
      <c r="A4" s="381" t="s">
        <v>394</v>
      </c>
      <c r="B4" s="381"/>
      <c r="C4" s="381"/>
      <c r="D4" s="381"/>
      <c r="E4" s="381"/>
      <c r="F4" s="381"/>
      <c r="G4" s="381"/>
      <c r="H4" s="381"/>
    </row>
    <row r="5" spans="1:8" ht="19.5" customHeight="1" thickBot="1" thickTop="1">
      <c r="A5" s="420" t="s">
        <v>334</v>
      </c>
      <c r="B5" s="420"/>
      <c r="C5" s="420"/>
      <c r="D5" s="420"/>
      <c r="E5" s="420"/>
      <c r="F5" s="420"/>
      <c r="G5" s="420"/>
      <c r="H5" s="254"/>
    </row>
    <row r="6" spans="1:8" s="105" customFormat="1" ht="49.5" customHeight="1" thickTop="1">
      <c r="A6" s="284" t="s">
        <v>45</v>
      </c>
      <c r="B6" s="101" t="s">
        <v>165</v>
      </c>
      <c r="C6" s="102" t="s">
        <v>78</v>
      </c>
      <c r="D6" s="103" t="s">
        <v>166</v>
      </c>
      <c r="E6" s="103" t="s">
        <v>167</v>
      </c>
      <c r="F6" s="103" t="s">
        <v>110</v>
      </c>
      <c r="G6" s="418" t="s">
        <v>324</v>
      </c>
      <c r="H6" s="419"/>
    </row>
    <row r="7" spans="1:8" s="12" customFormat="1" ht="30" customHeight="1">
      <c r="A7" s="14">
        <v>1</v>
      </c>
      <c r="B7" s="17"/>
      <c r="C7" s="19"/>
      <c r="D7" s="19"/>
      <c r="E7" s="19"/>
      <c r="F7" s="19"/>
      <c r="G7" s="416"/>
      <c r="H7" s="401"/>
    </row>
    <row r="8" spans="1:8" s="12" customFormat="1" ht="30" customHeight="1">
      <c r="A8" s="14">
        <v>2</v>
      </c>
      <c r="B8" s="17"/>
      <c r="C8" s="19"/>
      <c r="D8" s="19"/>
      <c r="E8" s="19"/>
      <c r="F8" s="19"/>
      <c r="G8" s="417"/>
      <c r="H8" s="411"/>
    </row>
    <row r="9" spans="1:8" s="12" customFormat="1" ht="30" customHeight="1">
      <c r="A9" s="14">
        <v>3</v>
      </c>
      <c r="B9" s="17"/>
      <c r="C9" s="19"/>
      <c r="D9" s="19"/>
      <c r="E9" s="19"/>
      <c r="F9" s="19"/>
      <c r="G9" s="417"/>
      <c r="H9" s="411"/>
    </row>
    <row r="10" spans="1:8" s="12" customFormat="1" ht="30" customHeight="1">
      <c r="A10" s="14">
        <v>4</v>
      </c>
      <c r="B10" s="17"/>
      <c r="C10" s="19"/>
      <c r="D10" s="19"/>
      <c r="E10" s="19"/>
      <c r="F10" s="19"/>
      <c r="G10" s="416"/>
      <c r="H10" s="401"/>
    </row>
    <row r="11" spans="1:8" s="12" customFormat="1" ht="30" customHeight="1">
      <c r="A11" s="14">
        <v>5</v>
      </c>
      <c r="B11" s="17"/>
      <c r="C11" s="19"/>
      <c r="D11" s="19"/>
      <c r="E11" s="19"/>
      <c r="F11" s="19"/>
      <c r="G11" s="416"/>
      <c r="H11" s="401"/>
    </row>
    <row r="12" spans="1:8" s="12" customFormat="1" ht="30" customHeight="1">
      <c r="A12" s="14">
        <v>6</v>
      </c>
      <c r="B12" s="17"/>
      <c r="C12" s="19"/>
      <c r="D12" s="19"/>
      <c r="E12" s="19"/>
      <c r="F12" s="19"/>
      <c r="G12" s="417"/>
      <c r="H12" s="411"/>
    </row>
    <row r="13" spans="1:8" s="12" customFormat="1" ht="30" customHeight="1">
      <c r="A13" s="14">
        <v>7</v>
      </c>
      <c r="B13" s="17"/>
      <c r="C13" s="19"/>
      <c r="D13" s="19"/>
      <c r="E13" s="19"/>
      <c r="F13" s="19"/>
      <c r="G13" s="416"/>
      <c r="H13" s="401"/>
    </row>
    <row r="14" spans="1:8" s="12" customFormat="1" ht="30" customHeight="1">
      <c r="A14" s="14">
        <v>8</v>
      </c>
      <c r="B14" s="17"/>
      <c r="C14" s="19"/>
      <c r="D14" s="19"/>
      <c r="E14" s="19"/>
      <c r="F14" s="19"/>
      <c r="G14" s="417"/>
      <c r="H14" s="411"/>
    </row>
    <row r="15" spans="1:8" s="12" customFormat="1" ht="30" customHeight="1">
      <c r="A15" s="14">
        <v>9</v>
      </c>
      <c r="B15" s="17"/>
      <c r="C15" s="19"/>
      <c r="D15" s="19"/>
      <c r="E15" s="19"/>
      <c r="F15" s="19"/>
      <c r="G15" s="417"/>
      <c r="H15" s="411"/>
    </row>
    <row r="16" spans="1:8" s="12" customFormat="1" ht="30" customHeight="1" thickBot="1">
      <c r="A16" s="60">
        <v>10</v>
      </c>
      <c r="B16" s="20"/>
      <c r="C16" s="21"/>
      <c r="D16" s="21"/>
      <c r="E16" s="21"/>
      <c r="F16" s="21"/>
      <c r="G16" s="416"/>
      <c r="H16" s="401"/>
    </row>
    <row r="17" spans="1:8" s="140" customFormat="1" ht="30" customHeight="1" thickBot="1">
      <c r="A17" s="213" t="s">
        <v>194</v>
      </c>
      <c r="B17" s="137">
        <f>IF(ISBLANK('Cover Page'!$A$4),"",COUNTA(B7:B16))</f>
      </c>
      <c r="C17" s="119">
        <f>IF(ISBLANK('Cover Page'!$A$4),"",COUNTA(C7:C16))</f>
      </c>
      <c r="D17" s="119">
        <f>IF(ISBLANK('Cover Page'!$A$4),"",COUNTA(D7:D16))</f>
      </c>
      <c r="E17" s="119">
        <f>IF(ISBLANK('Cover Page'!$A$4),"",COUNTA(E7:E16))</f>
      </c>
      <c r="F17" s="119">
        <f>IF(ISBLANK('Cover Page'!$A$4),"",COUNTA(F7:F16))</f>
      </c>
      <c r="G17" s="163">
        <f>IF(ISBLANK('Cover Page'!$A$4),"",COUNTA(G7:G16))</f>
      </c>
      <c r="H17" s="232"/>
    </row>
    <row r="18" spans="2:8" ht="18" customHeight="1" thickTop="1">
      <c r="B18" s="382" t="s">
        <v>168</v>
      </c>
      <c r="C18" s="382"/>
      <c r="D18" s="382"/>
      <c r="E18" s="382"/>
      <c r="F18" s="382"/>
      <c r="G18" s="382"/>
      <c r="H18" s="382"/>
    </row>
    <row r="19" spans="2:8" ht="12" customHeight="1">
      <c r="B19" s="385" t="s">
        <v>41</v>
      </c>
      <c r="C19" s="385"/>
      <c r="D19" s="385"/>
      <c r="E19" s="385"/>
      <c r="F19" s="385"/>
      <c r="G19" s="385"/>
      <c r="H19" s="385"/>
    </row>
  </sheetData>
  <sheetProtection password="DE89" sheet="1" formatRows="0"/>
  <mergeCells count="18">
    <mergeCell ref="G14:H14"/>
    <mergeCell ref="G15:H15"/>
    <mergeCell ref="B1:H1"/>
    <mergeCell ref="B2:H2"/>
    <mergeCell ref="B3:H3"/>
    <mergeCell ref="A4:H4"/>
    <mergeCell ref="G6:H6"/>
    <mergeCell ref="A5:G5"/>
    <mergeCell ref="B19:H19"/>
    <mergeCell ref="G16:H16"/>
    <mergeCell ref="B18:H18"/>
    <mergeCell ref="G7:H7"/>
    <mergeCell ref="G12:H12"/>
    <mergeCell ref="G13:H13"/>
    <mergeCell ref="G8:H8"/>
    <mergeCell ref="G9:H9"/>
    <mergeCell ref="G10:H10"/>
    <mergeCell ref="G11:H11"/>
  </mergeCells>
  <dataValidations count="3">
    <dataValidation type="list" allowBlank="1" showInputMessage="1" showErrorMessage="1" sqref="H5">
      <formula1>"Yes,No"</formula1>
    </dataValidation>
    <dataValidation type="list" allowBlank="1" showInputMessage="1" showErrorMessage="1" sqref="B7:B16">
      <formula1>"K4,K5-0.5 FTE,K5-0.6 FTE,K5-1.0 FTE,1,2,3,4,5,6,7,8,9,10,11,12"</formula1>
    </dataValidation>
    <dataValidation type="list" allowBlank="1" showInputMessage="1" showErrorMessage="1" sqref="F7:F16">
      <formula1>"Full,Partial"</formula1>
    </dataValidation>
  </dataValidations>
  <printOptions horizontalCentered="1"/>
  <pageMargins left="0.5" right="0.5" top="0.5" bottom="0.5" header="0.3" footer="0.3"/>
  <pageSetup fitToHeight="100" fitToWidth="1" horizontalDpi="600" verticalDpi="600" orientation="landscape" scale="98" r:id="rId1"/>
  <headerFooter>
    <oddHeader>&amp;L&amp;"Arial,Regular"&amp;8Page 6&amp;R&amp;"Arial,Regular"&amp;8PI-SNSP-0102 (10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Addie, Kathy   DPI</cp:lastModifiedBy>
  <cp:lastPrinted>2019-11-08T17:33:47Z</cp:lastPrinted>
  <dcterms:created xsi:type="dcterms:W3CDTF">2009-04-21T15:59:52Z</dcterms:created>
  <dcterms:modified xsi:type="dcterms:W3CDTF">2019-11-08T17:42:33Z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