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248" tabRatio="875"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state="hidden" r:id="rId11"/>
    <sheet name="Counts" sheetId="12" r:id="rId12"/>
  </sheets>
  <definedNames>
    <definedName name="_xlnm._FilterDatabase" localSheetId="11" hidden="1">'Counts'!$A$1:$AC$1</definedName>
    <definedName name="_xlfn.COUNTIFS"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Page'!$A$1:$E$27</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2'!$A$1:$H$20</definedName>
    <definedName name="_xlnm.Print_Area" localSheetId="7">'Schedule 3'!$A$1:$M$22</definedName>
    <definedName name="_xlnm.Print_Area" localSheetId="8">'Schedule 4'!$A$1:$H$19</definedName>
    <definedName name="_xlnm.Print_Area" localSheetId="9">'Schedule 5'!$A$1:$I$31</definedName>
    <definedName name="_xlnm.Print_Area" localSheetId="10">'Schedule 6'!$A$1:$H$40</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non-Title I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For each pupil on the Summer School Schedule 6, there must be a grade, application #, pupil first name, pupil last name, scholarship type, reported days attended, and audited days attended.  There are three columns to the right of each line that indicate if required information is complete.  Resolve any items that have a "No" in the error columns.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<sst xmlns="http://schemas.openxmlformats.org/spreadsheetml/2006/main" count="594" uniqueCount="381">
  <si>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</si>
  <si>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</si>
  <si>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</si>
  <si>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</si>
  <si>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</si>
  <si>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</si>
  <si>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</si>
  <si>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</si>
  <si>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</si>
  <si>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</si>
  <si>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</si>
  <si>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</si>
  <si>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</si>
  <si>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</si>
  <si>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</si>
  <si>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</si>
  <si>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</si>
  <si>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</si>
  <si>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</si>
  <si>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</si>
  <si>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</si>
  <si>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</si>
  <si>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</si>
  <si>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</si>
  <si>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</si>
  <si>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</si>
  <si>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</si>
  <si>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</si>
  <si>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</si>
  <si>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</si>
  <si>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</si>
  <si>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</si>
  <si>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</si>
  <si>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</si>
  <si>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</si>
  <si>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</si>
  <si>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</si>
  <si>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</si>
  <si>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</si>
  <si>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</si>
  <si>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</si>
  <si>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</si>
  <si>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</si>
  <si>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</si>
  <si>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</si>
  <si>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</si>
  <si>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</si>
  <si>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</si>
  <si>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</si>
  <si>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</si>
  <si>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</si>
  <si>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Racine Parental Choice Program (RPCP)</t>
  </si>
  <si>
    <t>Milwaukee Parental Choice Program (MPCP)</t>
  </si>
  <si>
    <t>Wisconsin Parental Choice Program (WPCP)</t>
  </si>
  <si>
    <t>School City</t>
  </si>
  <si>
    <t xml:space="preserve">1) The student did not attend either on, or before and after the count date. </t>
  </si>
  <si>
    <t>General Application</t>
  </si>
  <si>
    <t>Attendance &amp; Age</t>
  </si>
  <si>
    <t>Milwaukee</t>
  </si>
  <si>
    <t>Concordia Lutheran School</t>
  </si>
  <si>
    <t>Racine</t>
  </si>
  <si>
    <t>Heritage Christian Schools</t>
  </si>
  <si>
    <t>Lighthouse Christian School</t>
  </si>
  <si>
    <t>Renaissance School</t>
  </si>
  <si>
    <t>Saint Marcus Lutheran School</t>
  </si>
  <si>
    <t>Tamarack Waldorf School</t>
  </si>
  <si>
    <t>Wells Street Academy</t>
  </si>
  <si>
    <t>Granville Lutheran School</t>
  </si>
  <si>
    <t>Milwaukee Lutheran High School</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</si>
  <si>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</si>
  <si>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</si>
  <si>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</si>
  <si>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</si>
  <si>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</si>
  <si>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</si>
  <si>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</si>
  <si>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</si>
  <si>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</si>
  <si>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</si>
  <si>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Grades 1-12 (1.0 FTE)</t>
  </si>
  <si>
    <t>App #</t>
  </si>
  <si>
    <t>SNSP Pupils</t>
  </si>
  <si>
    <t>K4 PARENTAL OUTREACH</t>
  </si>
  <si>
    <t>FTE</t>
  </si>
  <si>
    <t>All Pupil Count Exceeds SNSP Pupil Count</t>
  </si>
  <si>
    <t>Sturtevant</t>
  </si>
  <si>
    <t>Divine Redeemer Lutheran School</t>
  </si>
  <si>
    <t>Hartland</t>
  </si>
  <si>
    <t>New Berlin</t>
  </si>
  <si>
    <t>Holy Family School</t>
  </si>
  <si>
    <t>Whitefish Bay</t>
  </si>
  <si>
    <t>Medford</t>
  </si>
  <si>
    <t>Brookfield</t>
  </si>
  <si>
    <t>Lake Country Lutheran High School</t>
  </si>
  <si>
    <t>Madison</t>
  </si>
  <si>
    <t>Lutheran Special School &amp; Education Services</t>
  </si>
  <si>
    <t>Greendale</t>
  </si>
  <si>
    <t>Montessori School of Waukesha</t>
  </si>
  <si>
    <t>Waukesha</t>
  </si>
  <si>
    <t>Northwest Lutheran School</t>
  </si>
  <si>
    <t>Pius XI Catholic High School</t>
  </si>
  <si>
    <t>Saint Coletta Day School</t>
  </si>
  <si>
    <t>Saint Martini Lutheran School</t>
  </si>
  <si>
    <t>Sheboygan</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</si>
  <si>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</si>
  <si>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</si>
  <si>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</si>
  <si>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</si>
  <si>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</si>
  <si>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</si>
  <si>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</si>
  <si>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</si>
  <si>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</si>
  <si>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</si>
  <si>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</si>
  <si>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</si>
  <si>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</si>
  <si>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</si>
  <si>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</si>
  <si>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</si>
  <si>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</si>
  <si>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</si>
  <si>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</si>
  <si>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</si>
  <si>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</si>
  <si>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</si>
  <si>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</si>
  <si>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</si>
  <si>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</si>
  <si>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</si>
  <si>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r>
      <t xml:space="preserve">K4-8 Payment Eligibility </t>
    </r>
    <r>
      <rPr>
        <b/>
        <i/>
        <sz val="8"/>
        <color indexed="8"/>
        <rFont val="Arial"/>
        <family val="2"/>
      </rPr>
      <t>Ln 8 x Ln 9</t>
    </r>
  </si>
  <si>
    <t>9-12 GRADE PAYMENT ELIGIBILITY</t>
  </si>
  <si>
    <r>
      <t xml:space="preserve">Grades 9-12 </t>
    </r>
    <r>
      <rPr>
        <i/>
        <sz val="8"/>
        <color indexed="8"/>
        <rFont val="Arial"/>
        <family val="2"/>
      </rPr>
      <t>(1.0 FTE)</t>
    </r>
  </si>
  <si>
    <r>
      <t xml:space="preserve">9-12 Payment Eligibility </t>
    </r>
    <r>
      <rPr>
        <b/>
        <i/>
        <sz val="8"/>
        <color indexed="8"/>
        <rFont val="Arial"/>
        <family val="2"/>
      </rPr>
      <t>Ln 11 x Ln 12</t>
    </r>
  </si>
  <si>
    <t>K-8 GRADE PAYMENT ELIGIBILITY</t>
  </si>
  <si>
    <t>Partial Scholarship</t>
  </si>
  <si>
    <t>Total</t>
  </si>
  <si>
    <t>TENTATIVE AMOUNT DUE FROM (TO) STATE</t>
  </si>
  <si>
    <t>Schedule 1-1:  Pupil Enrollment Count Schedule</t>
  </si>
  <si>
    <t>Hales Corners</t>
  </si>
  <si>
    <t>Saint Mary's Springs Academy</t>
  </si>
  <si>
    <t>Fond du Lac</t>
  </si>
  <si>
    <t>Menomonee Falls</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</si>
  <si>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</si>
  <si>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</si>
  <si>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K4-8 Payment Rate (50% of annual payment)</t>
  </si>
  <si>
    <t>9-12 Payment Rate (50% of annual payment)</t>
  </si>
  <si>
    <r>
      <t xml:space="preserve">Total Pupil Count and FTE </t>
    </r>
    <r>
      <rPr>
        <b/>
        <i/>
        <sz val="8"/>
        <color indexed="8"/>
        <rFont val="Arial"/>
        <family val="2"/>
      </rPr>
      <t>Sum Lines 1 -7</t>
    </r>
  </si>
  <si>
    <t>1. Schedule 1-1: The All Pupil count is greater than the SNSP pupil count for one or more FTE categories</t>
  </si>
  <si>
    <t>Transfer Request Ineligibility Reasons</t>
  </si>
  <si>
    <t>Transfer Requests</t>
  </si>
  <si>
    <t>Email Address</t>
  </si>
  <si>
    <t>Include This Page Immediately Behind the Cover Page</t>
  </si>
  <si>
    <t>TOTAL HEADCOUNT AND FTE</t>
  </si>
  <si>
    <t>Wauwatosa</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</si>
  <si>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</si>
  <si>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</si>
  <si>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</si>
  <si>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</si>
  <si>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</si>
  <si>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</si>
  <si>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</si>
  <si>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</si>
  <si>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</si>
  <si>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</si>
  <si>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</si>
  <si>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</si>
  <si>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</si>
  <si>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</si>
  <si>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</si>
  <si>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</si>
  <si>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</si>
  <si>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</si>
  <si>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</si>
  <si>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</si>
  <si>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</si>
  <si>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</si>
  <si>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</si>
  <si>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</si>
  <si>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</si>
  <si>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</si>
  <si>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</si>
  <si>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</si>
  <si>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</si>
  <si>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</si>
  <si>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</si>
  <si>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</si>
  <si>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</si>
  <si>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</si>
  <si>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</si>
  <si>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Audited Payment Difference</t>
  </si>
  <si>
    <t>HC Added to Count</t>
  </si>
  <si>
    <t>HC Removed from Count</t>
  </si>
  <si>
    <t>Grades K-8</t>
  </si>
  <si>
    <t>Grade Selected</t>
  </si>
  <si>
    <t>Grade Category</t>
  </si>
  <si>
    <t>Schedule 5: Tentative Payment Eligibility Calculation</t>
  </si>
  <si>
    <t>Ln</t>
  </si>
  <si>
    <t>Headcount Removed</t>
  </si>
  <si>
    <t>Headcount Added</t>
  </si>
  <si>
    <t>Reported Headcount</t>
  </si>
  <si>
    <t>Summary of Pupil Headcount After Audit Adjustments for Summer School</t>
  </si>
  <si>
    <t>Audited Payment</t>
  </si>
  <si>
    <t>Original Payment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</si>
  <si>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</si>
  <si>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</si>
  <si>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</si>
  <si>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</si>
  <si>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</si>
  <si>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</si>
  <si>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</si>
  <si>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</si>
  <si>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SNSP summer school. </t>
    </r>
  </si>
  <si>
    <t>If there are changes to the summer school days attended, include the summer school grade, application number, pupil first name, pupil last name, and scholarship type.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auditor approving the addition of the student must be attached to the Enrollment Audit.  If additional lines are needed for summer school changes contact the DPI.</t>
  </si>
  <si>
    <t>Partial Grades K-8</t>
  </si>
  <si>
    <t>Partial Grades 9-12</t>
  </si>
  <si>
    <t>Schedule 6:  Summer School</t>
  </si>
  <si>
    <t>Summer School Payments Issued</t>
  </si>
  <si>
    <t>Total Summer School Payment Eligibility</t>
  </si>
  <si>
    <t>School Name with City Choice Match</t>
  </si>
  <si>
    <t>City-Mail</t>
  </si>
  <si>
    <t>Aquinas High</t>
  </si>
  <si>
    <t>La Crosse</t>
  </si>
  <si>
    <t>Aquinas Middle</t>
  </si>
  <si>
    <t>Beautiful Savior Lutheran School</t>
  </si>
  <si>
    <t>Bethlehem Evangelical Lutheran School</t>
  </si>
  <si>
    <t>Blessed Sacrament Elementary</t>
  </si>
  <si>
    <t>Cathedral Elementary</t>
  </si>
  <si>
    <t>Catholic East Elementary</t>
  </si>
  <si>
    <t>Central Wisconsin Christian School</t>
  </si>
  <si>
    <t>Waupun</t>
  </si>
  <si>
    <t>Christ St. Peter Lutheran School</t>
  </si>
  <si>
    <t>Cross Trainers Academy</t>
  </si>
  <si>
    <t>Crown of Life Christian Academy, Inc.</t>
  </si>
  <si>
    <t>Fort Atkinson</t>
  </si>
  <si>
    <t>Divine Savior Catholic School</t>
  </si>
  <si>
    <t>Kiel</t>
  </si>
  <si>
    <t>Good Shepherd Evangelical Lutheran School - West Bend</t>
  </si>
  <si>
    <t>West Bend</t>
  </si>
  <si>
    <t>High Point Christian School</t>
  </si>
  <si>
    <t>Hillel Academy</t>
  </si>
  <si>
    <t>Holy Ghost Elementary School</t>
  </si>
  <si>
    <t>Chippewa Falls</t>
  </si>
  <si>
    <t>Holy Rosary Catholic School - Medford</t>
  </si>
  <si>
    <t>Immanuel Lutheran School - Brookfield</t>
  </si>
  <si>
    <t>Kettle Moraine Lutheran High School</t>
  </si>
  <si>
    <t>Jackson</t>
  </si>
  <si>
    <t>Mary Queen of Saints Catholic Academy</t>
  </si>
  <si>
    <t>West Allis</t>
  </si>
  <si>
    <t>Messmer Catholic Schools</t>
  </si>
  <si>
    <t>Newman Catholic Elementary School - Rothschild</t>
  </si>
  <si>
    <t>Wausau</t>
  </si>
  <si>
    <t>Newman Catholic Elementary School - Wausau</t>
  </si>
  <si>
    <t>Newman Catholic High</t>
  </si>
  <si>
    <t>Newman Catholic Middle</t>
  </si>
  <si>
    <t>Northwest Catholic School</t>
  </si>
  <si>
    <t>Notre Dame de la Baie Academy</t>
  </si>
  <si>
    <t>Green Bay</t>
  </si>
  <si>
    <t>Notre Dame School of Milwaukee</t>
  </si>
  <si>
    <t>Our Lady Queen of Peace</t>
  </si>
  <si>
    <t>Pilgrim Lutheran School - Wauwatosa</t>
  </si>
  <si>
    <t>Prince of Peace</t>
  </si>
  <si>
    <t>Randolph Christian School Society, Inc.</t>
  </si>
  <si>
    <t>Randolph</t>
  </si>
  <si>
    <t>Roncalli High School</t>
  </si>
  <si>
    <t>Manitowoc</t>
  </si>
  <si>
    <t>Saint Augustine Preparatory Academy - Milwaukee</t>
  </si>
  <si>
    <t>Saint Catherine School</t>
  </si>
  <si>
    <t>Saint Charles Borromeo Catholic School</t>
  </si>
  <si>
    <t>Saint John XXIII Catholic School - Port Washington</t>
  </si>
  <si>
    <t>Port Washington</t>
  </si>
  <si>
    <t>Saint Joseph Catholic Academy - Kenosha</t>
  </si>
  <si>
    <t>Kenosha</t>
  </si>
  <si>
    <t>Saint Joseph Catholic School - Boyd</t>
  </si>
  <si>
    <t>Boyd</t>
  </si>
  <si>
    <t>Saint Lucas Lutheran School</t>
  </si>
  <si>
    <t>Franklin</t>
  </si>
  <si>
    <t>Saint Mary School - Algoma</t>
  </si>
  <si>
    <t>Algoma</t>
  </si>
  <si>
    <t>Saint Patricks Elementary</t>
  </si>
  <si>
    <t>Saint Paul Lutheran School - Luxemburg</t>
  </si>
  <si>
    <t>Luxemburg</t>
  </si>
  <si>
    <t>Saint Paul Lutheran School - Sheboygan</t>
  </si>
  <si>
    <t>Saint Rafael the Archangel School</t>
  </si>
  <si>
    <t>Saint Roman Parish School</t>
  </si>
  <si>
    <t>Saint Thomas Aquinas Academy - Milwaukee</t>
  </si>
  <si>
    <t>Shining Star Christian Schools, Inc.</t>
  </si>
  <si>
    <t>Shoreland Lutheran High School</t>
  </si>
  <si>
    <t>Somers</t>
  </si>
  <si>
    <t>Stevens Point Christian Academy</t>
  </si>
  <si>
    <t>Stevens Point</t>
  </si>
  <si>
    <t>Torah Academy of Milwaukee</t>
  </si>
  <si>
    <t>Glendale</t>
  </si>
  <si>
    <t>TransCenter for Youth</t>
  </si>
  <si>
    <t>Winnebago Lutheran Academy</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</si>
  <si>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</si>
  <si>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</si>
  <si>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</si>
  <si>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</si>
  <si>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</si>
  <si>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</si>
  <si>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</si>
  <si>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</si>
  <si>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</si>
  <si>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</si>
  <si>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</si>
  <si>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</si>
  <si>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</si>
  <si>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</si>
  <si>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</si>
  <si>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</si>
  <si>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All Pupil Headcount</t>
  </si>
  <si>
    <t>All Pupil FTE</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</si>
  <si>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</si>
  <si>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t>The payment eligibility shown is subject to final determination by the DPI and may be changed upon the DPI's review of the report.</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</si>
  <si>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</si>
  <si>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</si>
  <si>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r>
      <t xml:space="preserve">Total Headcount and FTE </t>
    </r>
    <r>
      <rPr>
        <i/>
        <sz val="8"/>
        <color indexed="8"/>
        <rFont val="Arial"/>
        <family val="2"/>
      </rPr>
      <t>Sum Lines 8 and 11</t>
    </r>
  </si>
  <si>
    <t>2. Schedule 3: The box requiring the number of eligible pupils where the auditor identified required correction(s) but DPI's information was correct was not completed</t>
  </si>
  <si>
    <t>Counted</t>
  </si>
  <si>
    <t>2) Schedule 3: Applications Requiring Corrections</t>
  </si>
  <si>
    <t>3) Schedule 4: Pupil Additions</t>
  </si>
  <si>
    <t>4) Applications with auditor identified corrections that had correct information in OAS</t>
  </si>
  <si>
    <t>FINAL DETERMINATION OF WHETHER THE PUPIL IS ELIGIBILE FOR THE SNSP IS MADE BY THE DPI.
No payment to or from the school is due until the certification of the enrollment audit by DPI.</t>
  </si>
  <si>
    <t>Summary of Results</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</si>
  <si>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</si>
  <si>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</si>
  <si>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</si>
  <si>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</si>
  <si>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</si>
  <si>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</si>
  <si>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13) A complete and signed lease agreement, utility bill or letter, government correspondence, letter from a public service agency for a homeless individual, current wage statement, or W2 form was not provided.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</si>
  <si>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</si>
  <si>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</si>
  <si>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</si>
  <si>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</si>
  <si>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</si>
  <si>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</si>
  <si>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</si>
  <si>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</si>
  <si>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</si>
  <si>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</si>
  <si>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</si>
  <si>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</si>
  <si>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</si>
  <si>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</si>
  <si>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</si>
  <si>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r>
      <t xml:space="preserve">Amount Due From (To) State For Summer School </t>
    </r>
    <r>
      <rPr>
        <b/>
        <i/>
        <sz val="8"/>
        <color indexed="8"/>
        <rFont val="Arial"/>
        <family val="2"/>
      </rPr>
      <t>Line 18 Less Line 19</t>
    </r>
  </si>
  <si>
    <r>
      <t xml:space="preserve">Total Tentative Adjustment Due From (To) State </t>
    </r>
    <r>
      <rPr>
        <b/>
        <i/>
        <sz val="8"/>
        <color indexed="8"/>
        <rFont val="Arial"/>
        <family val="2"/>
      </rPr>
      <t>Sum Lines 17 and 20</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</si>
  <si>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</si>
  <si>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</si>
  <si>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</si>
  <si>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</si>
  <si>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</si>
  <si>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</si>
  <si>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10. Schedule 6: Summer School information is not complete</t>
  </si>
  <si>
    <t xml:space="preserve">17) Continuing Student—The parent/guardian name on the DPI Pupil Information Report does not match the residency documentation and an Alternative Residency form was not completed. </t>
  </si>
  <si>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</si>
  <si>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r>
      <t xml:space="preserve">Payment Eligibility </t>
    </r>
    <r>
      <rPr>
        <i/>
        <sz val="8"/>
        <color indexed="8"/>
        <rFont val="Arial"/>
        <family val="2"/>
      </rPr>
      <t>Sum Lines 10 and 13</t>
    </r>
  </si>
  <si>
    <t>Total Expected February and May Payments</t>
  </si>
  <si>
    <r>
      <t xml:space="preserve">Amount Due From (To) State </t>
    </r>
    <r>
      <rPr>
        <b/>
        <i/>
        <sz val="8"/>
        <color indexed="8"/>
        <rFont val="Arial"/>
        <family val="2"/>
      </rPr>
      <t>Line 15 Less Line 16</t>
    </r>
  </si>
  <si>
    <t>January 11, 2019 SNSP Enrollment Audit</t>
  </si>
  <si>
    <t>The following pupils have not been paid for the applicable count date. Based on our audit, these pupils meet the attendance criteria. If an application or transfer request listed below was audited as part of the January 2019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</si>
  <si>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the January 2019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</si>
  <si>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r>
      <rPr>
        <b/>
        <sz val="8"/>
        <color indexed="8"/>
        <rFont val="Arial"/>
        <family val="2"/>
      </rPr>
      <t>INSTRUCTIONS:</t>
    </r>
    <r>
      <rPr>
        <sz val="8"/>
        <color indexed="8"/>
        <rFont val="Arial"/>
        <family val="2"/>
      </rPr>
      <t xml:space="preserve">  Complete and return the report by </t>
    </r>
    <r>
      <rPr>
        <b/>
        <sz val="8"/>
        <color indexed="8"/>
        <rFont val="Arial"/>
        <family val="2"/>
      </rPr>
      <t>MAY 1, 2019.</t>
    </r>
    <r>
      <rPr>
        <sz val="8"/>
        <color indexed="8"/>
        <rFont val="Arial"/>
        <family val="2"/>
      </rPr>
      <t xml:space="preserve"> Faxed forms are not accepted. 
Refer to detailed instructions on the Excel Instructions sheet.</t>
    </r>
  </si>
  <si>
    <t>5) K4 Parental Outreach Result</t>
  </si>
  <si>
    <t>Martin Luther High School - Greendale</t>
  </si>
  <si>
    <t>Mount Olive Lutheran School - Milwaukee</t>
  </si>
  <si>
    <t>Saint Martin of Tours Parish School - Franklin</t>
  </si>
  <si>
    <t>February &amp; May Payments</t>
  </si>
  <si>
    <t>1) Schedule 2: Ineligible Pupils</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</si>
  <si>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</si>
  <si>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The following pupils require a correction to DPI's pupil data, had a grade or scholarship type change, or required a change in the FTE. Based on our audit, these pupils meet the attendance criteria. If an application or transfer request listed below was audited as part of the January 2019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</si>
  <si>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</si>
  <si>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</si>
  <si>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</si>
  <si>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</si>
  <si>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</si>
  <si>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</si>
  <si>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</si>
  <si>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r>
      <t xml:space="preserve">Wisconsin Department of Public Instruction
</t>
    </r>
    <r>
      <rPr>
        <b/>
        <sz val="8"/>
        <color indexed="8"/>
        <rFont val="Arial"/>
        <family val="2"/>
      </rPr>
      <t>SPECIAL NEEDS SCHOLARSHIP PROGRAM
ENROLLMENT AUDIT FOR FEBRUARY AND MAY 2019
PAYMENT ELIGIBILITY AS OF JANUARY 11, 2019</t>
    </r>
    <r>
      <rPr>
        <sz val="8"/>
        <color indexed="8"/>
        <rFont val="Arial"/>
        <family val="2"/>
      </rPr>
      <t xml:space="preserve">
PI-SNSP-0103 (10 Lines) (Rev 3-19)</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</si>
</sst>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s>
  <fonts count="69">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i/>
      <sz val="8"/>
      <color indexed="8"/>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b/>
      <u val="single"/>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u val="single"/>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right style="thin"/>
      <top style="medium"/>
      <bottom style="medium"/>
    </border>
    <border>
      <left>
        <color indexed="63"/>
      </left>
      <right style="thin"/>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style="thin"/>
      <top>
        <color indexed="63"/>
      </top>
      <bottom style="medium"/>
    </border>
    <border>
      <left/>
      <right>
        <color indexed="63"/>
      </right>
      <top style="thin"/>
      <bottom style="double"/>
    </border>
    <border>
      <left/>
      <right style="thin"/>
      <top>
        <color indexed="63"/>
      </top>
      <bottom/>
    </border>
    <border>
      <left style="thin"/>
      <right/>
      <top style="medium"/>
      <bottom style="mediu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right>
        <color indexed="63"/>
      </right>
      <top style="thin"/>
      <bottom style="medium"/>
    </border>
    <border>
      <left>
        <color indexed="63"/>
      </left>
      <right>
        <color indexed="63"/>
      </right>
      <top style="medium"/>
      <bottom style="medium"/>
    </border>
    <border>
      <left>
        <color indexed="63"/>
      </left>
      <right>
        <color indexed="63"/>
      </right>
      <top style="medium"/>
      <bottom style="double"/>
    </border>
    <border>
      <left style="thin"/>
      <right/>
      <top style="medium"/>
      <bottom style="double"/>
    </border>
    <border>
      <left>
        <color indexed="63"/>
      </left>
      <right>
        <color indexed="63"/>
      </right>
      <top style="double"/>
      <bottom style="double"/>
    </border>
    <border>
      <left style="medium"/>
      <right/>
      <top style="thin"/>
      <bottom style="thin"/>
    </border>
    <border>
      <left style="medium"/>
      <right>
        <color indexed="63"/>
      </right>
      <top>
        <color indexed="63"/>
      </top>
      <bottom>
        <color indexed="63"/>
      </bottom>
    </border>
    <border>
      <left style="thin"/>
      <right style="medium"/>
      <top>
        <color indexed="63"/>
      </top>
      <bottom style="thin"/>
    </border>
    <border>
      <left style="medium"/>
      <right/>
      <top style="medium"/>
      <bottom style="medium"/>
    </border>
    <border>
      <left style="medium"/>
      <right>
        <color indexed="63"/>
      </right>
      <top style="medium"/>
      <bottom style="double"/>
    </border>
    <border>
      <left style="thin"/>
      <right style="medium"/>
      <top style="medium"/>
      <bottom style="double"/>
    </border>
    <border>
      <left>
        <color indexed="63"/>
      </left>
      <right>
        <color indexed="63"/>
      </right>
      <top style="double"/>
      <bottom>
        <color indexed="63"/>
      </bottom>
    </border>
    <border>
      <left/>
      <right style="medium"/>
      <top style="thin"/>
      <bottom style="thin"/>
    </border>
    <border>
      <left/>
      <right/>
      <top style="thin"/>
      <bottom/>
    </border>
    <border>
      <left style="medium"/>
      <right style="thin"/>
      <top>
        <color indexed="63"/>
      </top>
      <bottom style="thin"/>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medium"/>
      <top/>
      <bottom/>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right style="thin"/>
      <top style="thin"/>
      <bottom style="double"/>
    </border>
    <border>
      <left style="thin"/>
      <right/>
      <top style="double"/>
      <bottom style="thin"/>
    </border>
    <border>
      <left style="thin"/>
      <right style="thin"/>
      <top>
        <color indexed="63"/>
      </top>
      <bottom style="medium"/>
    </border>
    <border>
      <left style="thin"/>
      <right style="thin"/>
      <top/>
      <bottom style="double"/>
    </border>
    <border>
      <left style="medium"/>
      <right style="thin"/>
      <top style="thin"/>
      <bottom style="double"/>
    </border>
    <border>
      <left style="thin"/>
      <right style="medium"/>
      <top style="thin"/>
      <bottom style="double"/>
    </border>
    <border>
      <left style="medium"/>
      <right/>
      <top/>
      <bottom style="thin"/>
    </border>
    <border>
      <left style="thin"/>
      <right>
        <color indexed="63"/>
      </right>
      <top style="double"/>
      <bottom style="double"/>
    </border>
    <border>
      <left style="medium"/>
      <right style="thin"/>
      <top>
        <color indexed="63"/>
      </top>
      <bottom/>
    </border>
    <border>
      <left>
        <color indexed="63"/>
      </left>
      <right style="medium"/>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color indexed="63"/>
      </left>
      <right style="medium"/>
      <top style="double"/>
      <bottom style="thin"/>
    </border>
    <border>
      <left style="medium"/>
      <right>
        <color indexed="63"/>
      </right>
      <top style="medium"/>
      <bottom style="thin"/>
    </border>
    <border>
      <left/>
      <right style="medium"/>
      <top style="medium"/>
      <bottom style="thin"/>
    </border>
    <border>
      <left/>
      <right>
        <color indexed="63"/>
      </right>
      <top style="medium"/>
      <bottom style="thin"/>
    </border>
    <border>
      <left>
        <color indexed="63"/>
      </left>
      <right style="thin"/>
      <top style="double"/>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496">
    <xf numFmtId="0" fontId="0" fillId="0" borderId="0" xfId="0" applyFont="1" applyAlignment="1">
      <alignment/>
    </xf>
    <xf numFmtId="0" fontId="57" fillId="0" borderId="0" xfId="0" applyFont="1" applyAlignment="1">
      <alignment horizontal="left" readingOrder="1"/>
    </xf>
    <xf numFmtId="0" fontId="58" fillId="0" borderId="0" xfId="0" applyFont="1" applyAlignment="1">
      <alignment horizontal="left" readingOrder="1"/>
    </xf>
    <xf numFmtId="0" fontId="59" fillId="0" borderId="0" xfId="0" applyFont="1" applyAlignment="1" applyProtection="1">
      <alignment horizontal="right"/>
      <protection/>
    </xf>
    <xf numFmtId="0" fontId="59" fillId="0" borderId="0" xfId="0" applyFont="1" applyAlignment="1" applyProtection="1">
      <alignment/>
      <protection/>
    </xf>
    <xf numFmtId="0" fontId="60" fillId="0" borderId="0" xfId="0" applyFont="1" applyFill="1" applyAlignment="1" applyProtection="1">
      <alignment horizontal="justify"/>
      <protection/>
    </xf>
    <xf numFmtId="0" fontId="60" fillId="0" borderId="0" xfId="0" applyFont="1" applyAlignment="1">
      <alignment/>
    </xf>
    <xf numFmtId="0" fontId="59"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9" fillId="0" borderId="0" xfId="59" applyFont="1" applyProtection="1">
      <alignment/>
      <protection/>
    </xf>
    <xf numFmtId="0" fontId="6" fillId="0" borderId="12" xfId="0" applyFont="1" applyBorder="1" applyAlignment="1" applyProtection="1">
      <alignment vertical="center"/>
      <protection/>
    </xf>
    <xf numFmtId="0" fontId="59" fillId="0" borderId="0" xfId="0" applyFont="1" applyAlignment="1" applyProtection="1">
      <alignment vertical="center"/>
      <protection/>
    </xf>
    <xf numFmtId="0" fontId="59" fillId="33" borderId="11" xfId="0" applyFont="1" applyFill="1" applyBorder="1" applyAlignment="1" applyProtection="1">
      <alignment horizontal="center" vertical="center"/>
      <protection/>
    </xf>
    <xf numFmtId="0" fontId="59" fillId="0" borderId="13" xfId="0" applyFont="1" applyBorder="1" applyAlignment="1" applyProtection="1">
      <alignment horizontal="center" vertical="center"/>
      <protection/>
    </xf>
    <xf numFmtId="0" fontId="59" fillId="0" borderId="14" xfId="0" applyFont="1" applyBorder="1" applyAlignment="1" applyProtection="1">
      <alignment horizontal="center" vertical="center"/>
      <protection/>
    </xf>
    <xf numFmtId="0" fontId="59" fillId="0" borderId="15" xfId="0" applyFont="1" applyBorder="1" applyAlignment="1" applyProtection="1">
      <alignment horizontal="center" vertical="center"/>
      <protection/>
    </xf>
    <xf numFmtId="0" fontId="61" fillId="32" borderId="13" xfId="0" applyFont="1" applyFill="1" applyBorder="1" applyAlignment="1" applyProtection="1">
      <alignment horizontal="center" vertical="center" wrapText="1"/>
      <protection locked="0"/>
    </xf>
    <xf numFmtId="0" fontId="61" fillId="32" borderId="16" xfId="0" applyFont="1" applyFill="1" applyBorder="1" applyAlignment="1" applyProtection="1">
      <alignment horizontal="center" vertical="center" wrapText="1"/>
      <protection locked="0"/>
    </xf>
    <xf numFmtId="0" fontId="61" fillId="32" borderId="16" xfId="0" applyFont="1" applyFill="1" applyBorder="1" applyAlignment="1" applyProtection="1">
      <alignment vertical="center" wrapText="1"/>
      <protection locked="0"/>
    </xf>
    <xf numFmtId="0" fontId="61" fillId="32" borderId="14" xfId="0" applyFont="1" applyFill="1" applyBorder="1" applyAlignment="1" applyProtection="1">
      <alignment horizontal="center" vertical="center" wrapText="1"/>
      <protection locked="0"/>
    </xf>
    <xf numFmtId="0" fontId="61" fillId="32" borderId="17" xfId="0" applyFont="1" applyFill="1" applyBorder="1" applyAlignment="1" applyProtection="1">
      <alignment vertical="center" wrapText="1"/>
      <protection locked="0"/>
    </xf>
    <xf numFmtId="0" fontId="60" fillId="0" borderId="0" xfId="0" applyFont="1" applyFill="1" applyAlignment="1" applyProtection="1">
      <alignment horizontal="justify" vertical="top"/>
      <protection/>
    </xf>
    <xf numFmtId="0" fontId="59" fillId="34" borderId="0" xfId="0" applyFont="1" applyFill="1" applyAlignment="1" applyProtection="1">
      <alignment/>
      <protection/>
    </xf>
    <xf numFmtId="0" fontId="59" fillId="2" borderId="18" xfId="0" applyFont="1" applyFill="1" applyBorder="1" applyAlignment="1" applyProtection="1">
      <alignment horizontal="right"/>
      <protection/>
    </xf>
    <xf numFmtId="0" fontId="59" fillId="0" borderId="19" xfId="0" applyFont="1" applyBorder="1" applyAlignment="1" applyProtection="1">
      <alignment horizontal="left" vertical="center"/>
      <protection/>
    </xf>
    <xf numFmtId="0" fontId="59" fillId="0" borderId="0" xfId="0" applyFont="1" applyBorder="1" applyAlignment="1" applyProtection="1">
      <alignment/>
      <protection/>
    </xf>
    <xf numFmtId="0" fontId="59" fillId="0" borderId="20" xfId="0" applyFont="1" applyBorder="1" applyAlignment="1" applyProtection="1">
      <alignment horizontal="center" vertical="center"/>
      <protection/>
    </xf>
    <xf numFmtId="0" fontId="59" fillId="0" borderId="21" xfId="0" applyFont="1" applyBorder="1" applyAlignment="1" applyProtection="1">
      <alignment horizontal="center" vertical="center"/>
      <protection/>
    </xf>
    <xf numFmtId="0" fontId="59" fillId="0" borderId="0" xfId="0" applyFont="1" applyBorder="1" applyAlignment="1" applyProtection="1">
      <alignment vertical="center"/>
      <protection/>
    </xf>
    <xf numFmtId="0" fontId="61" fillId="32" borderId="16" xfId="0" applyFont="1" applyFill="1" applyBorder="1" applyAlignment="1" applyProtection="1">
      <alignment horizontal="center" vertical="center"/>
      <protection locked="0"/>
    </xf>
    <xf numFmtId="0" fontId="61" fillId="32" borderId="22" xfId="0" applyFont="1" applyFill="1" applyBorder="1" applyAlignment="1" applyProtection="1">
      <alignment horizontal="center" vertical="center"/>
      <protection locked="0"/>
    </xf>
    <xf numFmtId="0" fontId="61" fillId="32" borderId="13" xfId="0" applyFont="1" applyFill="1" applyBorder="1" applyAlignment="1" applyProtection="1">
      <alignment horizontal="center" vertical="center"/>
      <protection locked="0"/>
    </xf>
    <xf numFmtId="0" fontId="61" fillId="32" borderId="23" xfId="0" applyFont="1" applyFill="1" applyBorder="1" applyAlignment="1" applyProtection="1">
      <alignment horizontal="center" vertical="center"/>
      <protection locked="0"/>
    </xf>
    <xf numFmtId="0" fontId="61" fillId="32" borderId="24" xfId="0" applyFont="1" applyFill="1" applyBorder="1" applyAlignment="1" applyProtection="1">
      <alignment horizontal="center" vertical="center"/>
      <protection locked="0"/>
    </xf>
    <xf numFmtId="0" fontId="61" fillId="32" borderId="25" xfId="0" applyFont="1" applyFill="1" applyBorder="1" applyAlignment="1" applyProtection="1">
      <alignment horizontal="center" vertical="center"/>
      <protection locked="0"/>
    </xf>
    <xf numFmtId="0" fontId="61" fillId="32" borderId="26"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2" fillId="0" borderId="0" xfId="0" applyFont="1" applyFill="1" applyAlignment="1" applyProtection="1">
      <alignment horizontal="justify" wrapText="1"/>
      <protection/>
    </xf>
    <xf numFmtId="0" fontId="63" fillId="0" borderId="16" xfId="0" applyFont="1" applyFill="1" applyBorder="1" applyAlignment="1" applyProtection="1">
      <alignment horizontal="justify" vertical="top" wrapText="1"/>
      <protection/>
    </xf>
    <xf numFmtId="0" fontId="60" fillId="0" borderId="16" xfId="0" applyFont="1" applyFill="1" applyBorder="1" applyAlignment="1" applyProtection="1">
      <alignment horizontal="justify" vertical="top" wrapText="1"/>
      <protection/>
    </xf>
    <xf numFmtId="0" fontId="60" fillId="0" borderId="16" xfId="0" applyFont="1" applyFill="1" applyBorder="1" applyAlignment="1" applyProtection="1">
      <alignment horizontal="justify" vertical="top"/>
      <protection/>
    </xf>
    <xf numFmtId="0" fontId="61"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9" fillId="0" borderId="27" xfId="0" applyFont="1" applyBorder="1" applyAlignment="1" applyProtection="1">
      <alignment vertical="center"/>
      <protection/>
    </xf>
    <xf numFmtId="0" fontId="59" fillId="0" borderId="14" xfId="0" applyFont="1" applyBorder="1" applyAlignment="1" applyProtection="1">
      <alignment vertical="center"/>
      <protection/>
    </xf>
    <xf numFmtId="0" fontId="64" fillId="36" borderId="11" xfId="0" applyFont="1" applyFill="1" applyBorder="1" applyAlignment="1" applyProtection="1">
      <alignment horizontal="center"/>
      <protection/>
    </xf>
    <xf numFmtId="0" fontId="64" fillId="0" borderId="0" xfId="0" applyFont="1" applyAlignment="1" applyProtection="1">
      <alignment vertical="center"/>
      <protection/>
    </xf>
    <xf numFmtId="0" fontId="59" fillId="36" borderId="11" xfId="0" applyFont="1" applyFill="1" applyBorder="1" applyAlignment="1" applyProtection="1">
      <alignment horizont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60" fillId="0" borderId="16" xfId="0" applyNumberFormat="1" applyFont="1" applyFill="1" applyBorder="1" applyAlignment="1" applyProtection="1">
      <alignment horizontal="justify" vertical="top" wrapText="1"/>
      <protection/>
    </xf>
    <xf numFmtId="0" fontId="60" fillId="32" borderId="16" xfId="0" applyFont="1" applyFill="1" applyBorder="1" applyAlignment="1" applyProtection="1">
      <alignment horizontal="justify" vertical="top" wrapText="1"/>
      <protection locked="0"/>
    </xf>
    <xf numFmtId="0" fontId="59" fillId="33" borderId="28" xfId="0" applyFont="1" applyFill="1" applyBorder="1" applyAlignment="1" applyProtection="1">
      <alignment horizontal="center" vertical="center"/>
      <protection/>
    </xf>
    <xf numFmtId="0" fontId="59" fillId="0" borderId="26" xfId="0" applyFont="1" applyBorder="1" applyAlignment="1" applyProtection="1">
      <alignment horizontal="center" vertical="center"/>
      <protection/>
    </xf>
    <xf numFmtId="0" fontId="59" fillId="0" borderId="29" xfId="0" applyFont="1" applyBorder="1" applyAlignment="1" applyProtection="1">
      <alignment horizontal="center" vertical="center"/>
      <protection/>
    </xf>
    <xf numFmtId="0" fontId="59" fillId="0" borderId="30" xfId="0" applyFont="1" applyBorder="1" applyAlignment="1" applyProtection="1">
      <alignment horizontal="center" vertical="center"/>
      <protection/>
    </xf>
    <xf numFmtId="0" fontId="61" fillId="32" borderId="26" xfId="0" applyFont="1" applyFill="1" applyBorder="1" applyAlignment="1" applyProtection="1">
      <alignment horizontal="center" vertical="center" wrapText="1"/>
      <protection locked="0"/>
    </xf>
    <xf numFmtId="0" fontId="61" fillId="32" borderId="24" xfId="0" applyFont="1" applyFill="1" applyBorder="1" applyAlignment="1" applyProtection="1">
      <alignment horizontal="center" vertical="center" wrapText="1"/>
      <protection locked="0"/>
    </xf>
    <xf numFmtId="0" fontId="61" fillId="32" borderId="24" xfId="0" applyFont="1" applyFill="1" applyBorder="1" applyAlignment="1" applyProtection="1">
      <alignment vertical="center" wrapText="1"/>
      <protection locked="0"/>
    </xf>
    <xf numFmtId="0" fontId="64" fillId="0" borderId="0" xfId="0" applyFont="1" applyFill="1" applyBorder="1" applyAlignment="1" applyProtection="1">
      <alignment horizontal="center"/>
      <protection/>
    </xf>
    <xf numFmtId="0" fontId="59" fillId="0" borderId="31" xfId="0" applyFont="1" applyBorder="1" applyAlignment="1" applyProtection="1">
      <alignment horizontal="center" vertical="center"/>
      <protection/>
    </xf>
    <xf numFmtId="173" fontId="59" fillId="0" borderId="9" xfId="0" applyNumberFormat="1" applyFont="1" applyBorder="1" applyAlignment="1" applyProtection="1">
      <alignment vertical="center"/>
      <protection/>
    </xf>
    <xf numFmtId="173" fontId="64" fillId="0" borderId="32" xfId="0" applyNumberFormat="1" applyFont="1" applyBorder="1" applyAlignment="1" applyProtection="1">
      <alignment vertical="center"/>
      <protection/>
    </xf>
    <xf numFmtId="49" fontId="61" fillId="32" borderId="33" xfId="0" applyNumberFormat="1" applyFont="1" applyFill="1" applyBorder="1" applyAlignment="1" applyProtection="1">
      <alignment horizontal="center" vertical="center"/>
      <protection locked="0"/>
    </xf>
    <xf numFmtId="0" fontId="60" fillId="0" borderId="0" xfId="0" applyFont="1" applyFill="1" applyAlignment="1" applyProtection="1">
      <alignment horizontal="justify" wrapText="1"/>
      <protection/>
    </xf>
    <xf numFmtId="0" fontId="64" fillId="0" borderId="34" xfId="0" applyFont="1" applyBorder="1" applyAlignment="1" applyProtection="1">
      <alignment horizontal="center" textRotation="90" wrapText="1"/>
      <protection/>
    </xf>
    <xf numFmtId="41" fontId="61" fillId="32" borderId="35" xfId="46" applyNumberFormat="1" applyFont="1" applyFill="1" applyBorder="1" applyAlignment="1" applyProtection="1">
      <alignment horizontal="center" vertical="center"/>
      <protection locked="0"/>
    </xf>
    <xf numFmtId="0" fontId="64" fillId="0" borderId="9" xfId="0" applyFont="1" applyBorder="1" applyAlignment="1" applyProtection="1">
      <alignment vertical="center"/>
      <protection/>
    </xf>
    <xf numFmtId="0" fontId="64" fillId="0" borderId="36" xfId="0" applyFont="1" applyBorder="1" applyAlignment="1" applyProtection="1">
      <alignment vertical="center"/>
      <protection/>
    </xf>
    <xf numFmtId="0" fontId="61" fillId="32" borderId="37" xfId="0" applyFont="1" applyFill="1" applyBorder="1" applyAlignment="1" applyProtection="1">
      <alignment horizontal="center" vertical="center"/>
      <protection locked="0"/>
    </xf>
    <xf numFmtId="0" fontId="61" fillId="32" borderId="38" xfId="0" applyFont="1" applyFill="1" applyBorder="1" applyAlignment="1" applyProtection="1">
      <alignment horizontal="center" vertical="center"/>
      <protection locked="0"/>
    </xf>
    <xf numFmtId="0" fontId="64" fillId="0" borderId="19" xfId="0" applyFont="1" applyFill="1" applyBorder="1" applyAlignment="1" applyProtection="1">
      <alignment vertical="center"/>
      <protection/>
    </xf>
    <xf numFmtId="0" fontId="59" fillId="0" borderId="19" xfId="0" applyFont="1" applyBorder="1" applyAlignment="1" applyProtection="1">
      <alignment/>
      <protection/>
    </xf>
    <xf numFmtId="0" fontId="64" fillId="0" borderId="19" xfId="0" applyFont="1" applyFill="1" applyBorder="1" applyAlignment="1" applyProtection="1">
      <alignment vertical="center" wrapText="1"/>
      <protection/>
    </xf>
    <xf numFmtId="3" fontId="59" fillId="0" borderId="23" xfId="0" applyNumberFormat="1" applyFont="1" applyBorder="1" applyAlignment="1" applyProtection="1">
      <alignment vertical="center"/>
      <protection/>
    </xf>
    <xf numFmtId="173" fontId="59" fillId="0" borderId="39" xfId="0" applyNumberFormat="1" applyFont="1" applyBorder="1" applyAlignment="1" applyProtection="1">
      <alignment vertical="center"/>
      <protection/>
    </xf>
    <xf numFmtId="173" fontId="59" fillId="0" borderId="40" xfId="0" applyNumberFormat="1" applyFont="1" applyBorder="1" applyAlignment="1" applyProtection="1">
      <alignment vertical="center"/>
      <protection/>
    </xf>
    <xf numFmtId="0" fontId="59" fillId="36" borderId="41" xfId="0" applyFont="1" applyFill="1" applyBorder="1" applyAlignment="1" applyProtection="1">
      <alignment vertical="center" wrapText="1"/>
      <protection/>
    </xf>
    <xf numFmtId="44" fontId="59" fillId="0" borderId="42" xfId="46" applyFont="1" applyBorder="1" applyAlignment="1" applyProtection="1">
      <alignment vertical="center"/>
      <protection/>
    </xf>
    <xf numFmtId="0" fontId="64" fillId="36" borderId="43" xfId="0" applyFont="1" applyFill="1" applyBorder="1" applyAlignment="1" applyProtection="1">
      <alignment vertical="center" wrapText="1"/>
      <protection/>
    </xf>
    <xf numFmtId="44" fontId="64" fillId="0" borderId="42" xfId="0" applyNumberFormat="1" applyFont="1" applyBorder="1" applyAlignment="1" applyProtection="1">
      <alignment vertical="center"/>
      <protection/>
    </xf>
    <xf numFmtId="44" fontId="64" fillId="0" borderId="32" xfId="0" applyNumberFormat="1" applyFont="1" applyBorder="1" applyAlignment="1" applyProtection="1">
      <alignment vertical="center"/>
      <protection/>
    </xf>
    <xf numFmtId="0" fontId="59" fillId="0" borderId="44" xfId="0" applyFont="1" applyBorder="1" applyAlignment="1" applyProtection="1">
      <alignment vertical="center"/>
      <protection/>
    </xf>
    <xf numFmtId="0" fontId="59" fillId="0" borderId="45" xfId="0" applyFont="1" applyFill="1" applyBorder="1" applyAlignment="1" applyProtection="1">
      <alignment vertical="center" wrapText="1"/>
      <protection/>
    </xf>
    <xf numFmtId="0" fontId="64" fillId="0" borderId="46" xfId="0" applyFont="1" applyFill="1" applyBorder="1" applyAlignment="1" applyProtection="1">
      <alignment vertical="center" wrapText="1"/>
      <protection/>
    </xf>
    <xf numFmtId="0" fontId="64" fillId="0" borderId="45" xfId="0" applyFont="1" applyFill="1" applyBorder="1" applyAlignment="1" applyProtection="1">
      <alignment vertical="center" wrapText="1"/>
      <protection/>
    </xf>
    <xf numFmtId="0" fontId="64" fillId="0" borderId="32" xfId="0" applyFont="1" applyFill="1" applyBorder="1" applyAlignment="1" applyProtection="1">
      <alignment vertical="center"/>
      <protection/>
    </xf>
    <xf numFmtId="0" fontId="59" fillId="0" borderId="32" xfId="0" applyFont="1" applyFill="1" applyBorder="1" applyAlignment="1" applyProtection="1">
      <alignment vertical="center"/>
      <protection/>
    </xf>
    <xf numFmtId="0" fontId="64" fillId="0" borderId="47" xfId="0" applyFont="1" applyFill="1" applyBorder="1" applyAlignment="1" applyProtection="1">
      <alignment vertical="center"/>
      <protection/>
    </xf>
    <xf numFmtId="0" fontId="64" fillId="0" borderId="48" xfId="0" applyFont="1" applyBorder="1" applyAlignment="1" applyProtection="1">
      <alignment/>
      <protection/>
    </xf>
    <xf numFmtId="0" fontId="64" fillId="0" borderId="19" xfId="0" applyFont="1" applyBorder="1" applyAlignment="1" applyProtection="1">
      <alignment wrapText="1"/>
      <protection/>
    </xf>
    <xf numFmtId="0" fontId="59" fillId="0" borderId="28" xfId="0" applyFont="1" applyBorder="1" applyAlignment="1" applyProtection="1">
      <alignment vertical="center" wrapText="1"/>
      <protection/>
    </xf>
    <xf numFmtId="0" fontId="64" fillId="0" borderId="34" xfId="0" applyFont="1" applyBorder="1" applyAlignment="1" applyProtection="1">
      <alignment horizontal="center" vertical="center" wrapText="1"/>
      <protection/>
    </xf>
    <xf numFmtId="0" fontId="59" fillId="36" borderId="20" xfId="0" applyFont="1" applyFill="1" applyBorder="1" applyAlignment="1" applyProtection="1">
      <alignment vertical="center" wrapText="1"/>
      <protection/>
    </xf>
    <xf numFmtId="0" fontId="64" fillId="36" borderId="15" xfId="0" applyFont="1" applyFill="1" applyBorder="1" applyAlignment="1" applyProtection="1">
      <alignment vertical="center" wrapText="1"/>
      <protection/>
    </xf>
    <xf numFmtId="0" fontId="64" fillId="0" borderId="49" xfId="0" applyFont="1" applyBorder="1" applyAlignment="1" applyProtection="1">
      <alignment horizontal="center" vertical="center" wrapText="1"/>
      <protection/>
    </xf>
    <xf numFmtId="0" fontId="64" fillId="0" borderId="37" xfId="0" applyFont="1" applyBorder="1" applyAlignment="1" applyProtection="1">
      <alignment horizontal="center" vertical="center" wrapText="1"/>
      <protection/>
    </xf>
    <xf numFmtId="3" fontId="59" fillId="0" borderId="50" xfId="42" applyNumberFormat="1" applyFont="1" applyBorder="1" applyAlignment="1" applyProtection="1">
      <alignment vertical="center"/>
      <protection/>
    </xf>
    <xf numFmtId="173" fontId="59" fillId="0" borderId="51" xfId="0" applyNumberFormat="1" applyFont="1" applyBorder="1" applyAlignment="1" applyProtection="1">
      <alignment vertical="center"/>
      <protection/>
    </xf>
    <xf numFmtId="3" fontId="59" fillId="0" borderId="22" xfId="42" applyNumberFormat="1" applyFont="1" applyBorder="1" applyAlignment="1" applyProtection="1">
      <alignment vertical="center"/>
      <protection/>
    </xf>
    <xf numFmtId="173" fontId="59" fillId="0" borderId="37" xfId="0" applyNumberFormat="1" applyFont="1" applyBorder="1" applyAlignment="1" applyProtection="1">
      <alignment vertical="center"/>
      <protection/>
    </xf>
    <xf numFmtId="173" fontId="59" fillId="0" borderId="38" xfId="0" applyNumberFormat="1" applyFont="1" applyBorder="1" applyAlignment="1" applyProtection="1">
      <alignment vertical="center"/>
      <protection/>
    </xf>
    <xf numFmtId="173" fontId="64" fillId="0" borderId="52" xfId="0" applyNumberFormat="1" applyFont="1" applyBorder="1" applyAlignment="1" applyProtection="1">
      <alignment vertical="center"/>
      <protection/>
    </xf>
    <xf numFmtId="173" fontId="64" fillId="0" borderId="42" xfId="0" applyNumberFormat="1" applyFont="1" applyBorder="1" applyAlignment="1" applyProtection="1">
      <alignment vertical="center"/>
      <protection/>
    </xf>
    <xf numFmtId="0" fontId="59" fillId="36" borderId="52" xfId="0" applyFont="1" applyFill="1" applyBorder="1" applyAlignment="1" applyProtection="1">
      <alignment vertical="center" wrapText="1"/>
      <protection/>
    </xf>
    <xf numFmtId="44" fontId="59" fillId="0" borderId="42" xfId="46" applyFont="1" applyFill="1" applyBorder="1" applyAlignment="1" applyProtection="1">
      <alignment vertical="center"/>
      <protection/>
    </xf>
    <xf numFmtId="0" fontId="64" fillId="36" borderId="53" xfId="0" applyFont="1" applyFill="1" applyBorder="1" applyAlignment="1" applyProtection="1">
      <alignment vertical="center" wrapText="1"/>
      <protection/>
    </xf>
    <xf numFmtId="3" fontId="59" fillId="0" borderId="13" xfId="0" applyNumberFormat="1" applyFont="1" applyBorder="1" applyAlignment="1" applyProtection="1">
      <alignment vertical="center"/>
      <protection/>
    </xf>
    <xf numFmtId="3" fontId="64" fillId="0" borderId="20" xfId="0" applyNumberFormat="1" applyFont="1" applyBorder="1" applyAlignment="1" applyProtection="1">
      <alignment vertical="center"/>
      <protection/>
    </xf>
    <xf numFmtId="0" fontId="59" fillId="0" borderId="34" xfId="0" applyFont="1" applyBorder="1" applyAlignment="1" applyProtection="1">
      <alignment horizontal="center" vertical="center"/>
      <protection/>
    </xf>
    <xf numFmtId="44" fontId="64" fillId="0" borderId="54" xfId="46" applyFont="1" applyFill="1" applyBorder="1" applyAlignment="1" applyProtection="1">
      <alignment vertical="center"/>
      <protection/>
    </xf>
    <xf numFmtId="0" fontId="59" fillId="36" borderId="55" xfId="0" applyFont="1" applyFill="1" applyBorder="1" applyAlignment="1" applyProtection="1">
      <alignment horizontal="center"/>
      <protection/>
    </xf>
    <xf numFmtId="0" fontId="64" fillId="36" borderId="55" xfId="0" applyFont="1" applyFill="1" applyBorder="1" applyAlignment="1" applyProtection="1">
      <alignment horizontal="center"/>
      <protection/>
    </xf>
    <xf numFmtId="0" fontId="64" fillId="0" borderId="56" xfId="0" applyFont="1" applyFill="1" applyBorder="1" applyAlignment="1" applyProtection="1">
      <alignment horizontal="center" vertical="center"/>
      <protection/>
    </xf>
    <xf numFmtId="44" fontId="59" fillId="36" borderId="32" xfId="46" applyFont="1" applyFill="1" applyBorder="1" applyAlignment="1" applyProtection="1">
      <alignment vertical="center"/>
      <protection/>
    </xf>
    <xf numFmtId="0" fontId="64" fillId="36" borderId="55" xfId="0" applyFont="1" applyFill="1" applyBorder="1" applyAlignment="1" applyProtection="1">
      <alignment vertical="center"/>
      <protection/>
    </xf>
    <xf numFmtId="0" fontId="61" fillId="32" borderId="36" xfId="0" applyFont="1" applyFill="1" applyBorder="1" applyAlignment="1" applyProtection="1">
      <alignment horizontal="center" vertical="center"/>
      <protection locked="0"/>
    </xf>
    <xf numFmtId="0" fontId="61" fillId="32" borderId="44" xfId="0" applyFont="1" applyFill="1" applyBorder="1" applyAlignment="1" applyProtection="1">
      <alignment horizontal="center" vertical="center"/>
      <protection locked="0"/>
    </xf>
    <xf numFmtId="0" fontId="64" fillId="0" borderId="48" xfId="0" applyFont="1" applyBorder="1" applyAlignment="1" applyProtection="1">
      <alignment wrapText="1"/>
      <protection/>
    </xf>
    <xf numFmtId="0" fontId="59" fillId="0" borderId="48" xfId="0" applyFont="1" applyBorder="1" applyAlignment="1" applyProtection="1">
      <alignment/>
      <protection/>
    </xf>
    <xf numFmtId="0" fontId="6" fillId="0" borderId="57" xfId="59" applyFont="1" applyFill="1" applyBorder="1" applyAlignment="1" applyProtection="1">
      <alignment vertical="center"/>
      <protection/>
    </xf>
    <xf numFmtId="3" fontId="59" fillId="0" borderId="58" xfId="0" applyNumberFormat="1" applyFont="1" applyBorder="1" applyAlignment="1" applyProtection="1">
      <alignment vertical="center"/>
      <protection/>
    </xf>
    <xf numFmtId="0" fontId="64" fillId="36" borderId="11" xfId="0" applyFont="1" applyFill="1" applyBorder="1" applyAlignment="1" applyProtection="1">
      <alignment vertical="center"/>
      <protection/>
    </xf>
    <xf numFmtId="44" fontId="59" fillId="0" borderId="9" xfId="46" applyFont="1" applyFill="1" applyBorder="1" applyAlignment="1" applyProtection="1">
      <alignment vertical="center"/>
      <protection/>
    </xf>
    <xf numFmtId="44" fontId="59" fillId="0" borderId="25" xfId="46" applyFont="1" applyFill="1" applyBorder="1" applyAlignment="1" applyProtection="1">
      <alignment vertical="center"/>
      <protection/>
    </xf>
    <xf numFmtId="44" fontId="64" fillId="0" borderId="35" xfId="0" applyNumberFormat="1" applyFont="1" applyBorder="1" applyAlignment="1" applyProtection="1">
      <alignment vertical="center"/>
      <protection/>
    </xf>
    <xf numFmtId="0" fontId="59" fillId="0" borderId="36" xfId="0" applyFont="1" applyFill="1" applyBorder="1" applyAlignment="1" applyProtection="1">
      <alignment horizontal="center" vertical="center"/>
      <protection/>
    </xf>
    <xf numFmtId="0" fontId="64" fillId="0" borderId="36" xfId="0" applyFont="1" applyFill="1" applyBorder="1" applyAlignment="1" applyProtection="1">
      <alignment horizontal="center" vertical="center"/>
      <protection/>
    </xf>
    <xf numFmtId="0" fontId="59" fillId="0" borderId="0" xfId="0" applyFont="1" applyFill="1" applyAlignment="1" applyProtection="1">
      <alignment vertical="center"/>
      <protection/>
    </xf>
    <xf numFmtId="0" fontId="63" fillId="0" borderId="16" xfId="0" applyFont="1" applyFill="1" applyBorder="1" applyAlignment="1" applyProtection="1">
      <alignment horizontal="justify" wrapText="1"/>
      <protection/>
    </xf>
    <xf numFmtId="0" fontId="63" fillId="0" borderId="16" xfId="0" applyNumberFormat="1" applyFont="1" applyFill="1" applyBorder="1" applyAlignment="1" applyProtection="1">
      <alignment horizontal="justify" wrapText="1"/>
      <protection/>
    </xf>
    <xf numFmtId="0" fontId="64" fillId="0" borderId="59" xfId="0" applyFont="1" applyBorder="1" applyAlignment="1" applyProtection="1">
      <alignment horizontal="center" wrapText="1"/>
      <protection/>
    </xf>
    <xf numFmtId="0" fontId="64" fillId="0" borderId="60" xfId="0" applyFont="1" applyBorder="1" applyAlignment="1" applyProtection="1">
      <alignment horizontal="center" wrapText="1"/>
      <protection/>
    </xf>
    <xf numFmtId="0" fontId="64" fillId="0" borderId="61" xfId="0" applyFont="1" applyFill="1" applyBorder="1" applyAlignment="1" applyProtection="1">
      <alignment horizontal="center" wrapText="1"/>
      <protection/>
    </xf>
    <xf numFmtId="0" fontId="59" fillId="0" borderId="0" xfId="0" applyFont="1" applyBorder="1" applyAlignment="1" applyProtection="1">
      <alignment horizontal="center"/>
      <protection/>
    </xf>
    <xf numFmtId="0" fontId="59" fillId="0" borderId="0" xfId="0" applyFont="1" applyAlignment="1" applyProtection="1">
      <alignment horizontal="center"/>
      <protection/>
    </xf>
    <xf numFmtId="0" fontId="64" fillId="0" borderId="62" xfId="0" applyFont="1" applyFill="1" applyBorder="1" applyAlignment="1" applyProtection="1">
      <alignment horizontal="center" wrapText="1"/>
      <protection/>
    </xf>
    <xf numFmtId="0" fontId="61" fillId="32" borderId="9" xfId="0" applyFont="1" applyFill="1" applyBorder="1" applyAlignment="1" applyProtection="1">
      <alignment vertical="center" wrapText="1"/>
      <protection locked="0"/>
    </xf>
    <xf numFmtId="0" fontId="64" fillId="0" borderId="58" xfId="0" applyFont="1" applyFill="1" applyBorder="1" applyAlignment="1" applyProtection="1">
      <alignment horizontal="center" wrapText="1"/>
      <protection/>
    </xf>
    <xf numFmtId="0" fontId="61" fillId="32" borderId="37" xfId="0" applyFont="1" applyFill="1" applyBorder="1" applyAlignment="1" applyProtection="1">
      <alignment vertical="center" wrapText="1"/>
      <protection locked="0"/>
    </xf>
    <xf numFmtId="0" fontId="61" fillId="32" borderId="25" xfId="0" applyFont="1" applyFill="1" applyBorder="1" applyAlignment="1" applyProtection="1">
      <alignment vertical="center" wrapText="1"/>
      <protection locked="0"/>
    </xf>
    <xf numFmtId="0" fontId="61" fillId="32" borderId="38" xfId="0" applyFont="1" applyFill="1" applyBorder="1" applyAlignment="1" applyProtection="1">
      <alignment vertical="center" wrapText="1"/>
      <protection locked="0"/>
    </xf>
    <xf numFmtId="0" fontId="64" fillId="0" borderId="0" xfId="0" applyFont="1" applyBorder="1" applyAlignment="1" applyProtection="1">
      <alignment horizontal="left" vertical="center" wrapText="1"/>
      <protection/>
    </xf>
    <xf numFmtId="0" fontId="65" fillId="0" borderId="0" xfId="0" applyFont="1" applyBorder="1" applyAlignment="1" applyProtection="1">
      <alignment horizontal="center"/>
      <protection/>
    </xf>
    <xf numFmtId="0" fontId="59" fillId="0" borderId="0" xfId="0" applyFont="1" applyAlignment="1" applyProtection="1">
      <alignment horizontal="center" vertical="center"/>
      <protection/>
    </xf>
    <xf numFmtId="0" fontId="64" fillId="0" borderId="36" xfId="0" applyFont="1" applyBorder="1" applyAlignment="1" applyProtection="1">
      <alignment horizontal="center" textRotation="90"/>
      <protection/>
    </xf>
    <xf numFmtId="0" fontId="64" fillId="0" borderId="63" xfId="0" applyFont="1" applyFill="1" applyBorder="1" applyAlignment="1" applyProtection="1">
      <alignment horizontal="center" wrapText="1"/>
      <protection/>
    </xf>
    <xf numFmtId="0" fontId="61" fillId="32" borderId="22" xfId="0" applyFont="1" applyFill="1" applyBorder="1" applyAlignment="1" applyProtection="1">
      <alignment horizontal="center" vertical="center" wrapText="1"/>
      <protection locked="0"/>
    </xf>
    <xf numFmtId="0" fontId="61" fillId="32" borderId="2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61" fillId="32" borderId="49" xfId="0" applyFont="1" applyFill="1" applyBorder="1" applyAlignment="1" applyProtection="1">
      <alignment horizontal="center" vertical="center" wrapText="1"/>
      <protection locked="0"/>
    </xf>
    <xf numFmtId="0" fontId="61" fillId="32" borderId="64" xfId="0" applyFont="1" applyFill="1" applyBorder="1" applyAlignment="1" applyProtection="1">
      <alignment horizontal="center" vertical="center" wrapText="1"/>
      <protection locked="0"/>
    </xf>
    <xf numFmtId="0" fontId="59" fillId="0" borderId="0" xfId="0" applyFont="1" applyBorder="1" applyAlignment="1" applyProtection="1">
      <alignment horizontal="center" vertical="center"/>
      <protection/>
    </xf>
    <xf numFmtId="0" fontId="59" fillId="0" borderId="0" xfId="0" applyFont="1" applyBorder="1" applyAlignment="1" applyProtection="1">
      <alignment horizontal="center" wrapText="1"/>
      <protection/>
    </xf>
    <xf numFmtId="166" fontId="64"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9" fillId="0" borderId="16" xfId="0" applyFont="1" applyBorder="1" applyAlignment="1" applyProtection="1">
      <alignment horizontal="center" vertical="center"/>
      <protection/>
    </xf>
    <xf numFmtId="3" fontId="61" fillId="32" borderId="16" xfId="0" applyNumberFormat="1" applyFont="1" applyFill="1" applyBorder="1" applyAlignment="1" applyProtection="1">
      <alignment horizontal="center" vertical="center"/>
      <protection locked="0"/>
    </xf>
    <xf numFmtId="3" fontId="61" fillId="32" borderId="9" xfId="0" applyNumberFormat="1" applyFont="1" applyFill="1" applyBorder="1" applyAlignment="1" applyProtection="1">
      <alignment horizontal="center" vertical="center"/>
      <protection locked="0"/>
    </xf>
    <xf numFmtId="0" fontId="59" fillId="0" borderId="16" xfId="0" applyFont="1" applyBorder="1" applyAlignment="1" applyProtection="1">
      <alignment vertical="center"/>
      <protection/>
    </xf>
    <xf numFmtId="43" fontId="59" fillId="0" borderId="9" xfId="0" applyNumberFormat="1" applyFont="1" applyBorder="1" applyAlignment="1" applyProtection="1">
      <alignment vertical="center"/>
      <protection/>
    </xf>
    <xf numFmtId="0" fontId="59" fillId="0" borderId="17" xfId="0" applyFont="1" applyBorder="1" applyAlignment="1" applyProtection="1">
      <alignment horizontal="center" vertical="center"/>
      <protection/>
    </xf>
    <xf numFmtId="0" fontId="59" fillId="0" borderId="65" xfId="0" applyFont="1" applyBorder="1" applyAlignment="1" applyProtection="1">
      <alignment horizontal="center" vertical="center"/>
      <protection/>
    </xf>
    <xf numFmtId="0" fontId="59" fillId="0" borderId="66" xfId="0" applyFont="1" applyBorder="1" applyAlignment="1" applyProtection="1">
      <alignment/>
      <protection/>
    </xf>
    <xf numFmtId="0" fontId="59" fillId="0" borderId="34" xfId="0" applyFont="1" applyBorder="1" applyAlignment="1" applyProtection="1">
      <alignment/>
      <protection/>
    </xf>
    <xf numFmtId="0" fontId="64" fillId="0" borderId="65" xfId="0" applyFont="1" applyBorder="1" applyAlignment="1" applyProtection="1">
      <alignment horizontal="center" vertical="center"/>
      <protection/>
    </xf>
    <xf numFmtId="44" fontId="59" fillId="0" borderId="0" xfId="0" applyNumberFormat="1" applyFont="1" applyAlignment="1" applyProtection="1">
      <alignment/>
      <protection/>
    </xf>
    <xf numFmtId="0" fontId="5" fillId="0" borderId="67"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9" fillId="0" borderId="57" xfId="0" applyFont="1" applyBorder="1" applyAlignment="1" applyProtection="1">
      <alignment horizontal="center" vertical="center"/>
      <protection/>
    </xf>
    <xf numFmtId="0" fontId="64" fillId="0" borderId="13" xfId="0" applyFont="1" applyFill="1" applyBorder="1" applyAlignment="1" applyProtection="1">
      <alignment horizontal="center" vertical="center"/>
      <protection/>
    </xf>
    <xf numFmtId="0" fontId="59" fillId="0" borderId="0" xfId="0" applyFont="1" applyBorder="1" applyAlignment="1" applyProtection="1">
      <alignment/>
      <protection/>
    </xf>
    <xf numFmtId="0" fontId="59" fillId="0" borderId="0" xfId="0" applyFont="1" applyAlignment="1" applyProtection="1">
      <alignment/>
      <protection/>
    </xf>
    <xf numFmtId="0" fontId="64" fillId="0" borderId="66" xfId="0" applyFont="1" applyBorder="1" applyAlignment="1" applyProtection="1">
      <alignment horizontal="center" vertical="center" wrapText="1"/>
      <protection/>
    </xf>
    <xf numFmtId="40" fontId="59" fillId="0" borderId="0" xfId="46" applyNumberFormat="1" applyFont="1" applyAlignment="1" applyProtection="1">
      <alignment/>
      <protection/>
    </xf>
    <xf numFmtId="0" fontId="59" fillId="0" borderId="0" xfId="0" applyFont="1" applyAlignment="1">
      <alignment/>
    </xf>
    <xf numFmtId="9" fontId="59" fillId="0" borderId="0" xfId="65" applyFont="1" applyAlignment="1" applyProtection="1">
      <alignment/>
      <protection/>
    </xf>
    <xf numFmtId="0" fontId="59" fillId="0" borderId="68" xfId="0" applyFont="1" applyBorder="1" applyAlignment="1" applyProtection="1">
      <alignment horizontal="center" vertical="center"/>
      <protection/>
    </xf>
    <xf numFmtId="43" fontId="59" fillId="0" borderId="66" xfId="0" applyNumberFormat="1" applyFont="1" applyBorder="1" applyAlignment="1" applyProtection="1">
      <alignment vertical="center"/>
      <protection/>
    </xf>
    <xf numFmtId="44" fontId="59" fillId="0" borderId="66" xfId="46" applyFont="1" applyBorder="1" applyAlignment="1" applyProtection="1">
      <alignment vertical="center"/>
      <protection/>
    </xf>
    <xf numFmtId="44" fontId="59" fillId="0" borderId="65" xfId="0" applyNumberFormat="1" applyFont="1" applyBorder="1" applyAlignment="1" applyProtection="1">
      <alignment vertical="center" wrapText="1"/>
      <protection/>
    </xf>
    <xf numFmtId="0" fontId="59" fillId="0" borderId="65" xfId="0" applyFont="1" applyBorder="1" applyAlignment="1" applyProtection="1">
      <alignment vertical="center" wrapText="1"/>
      <protection/>
    </xf>
    <xf numFmtId="0" fontId="59" fillId="0" borderId="65" xfId="0" applyFont="1" applyBorder="1" applyAlignment="1" applyProtection="1">
      <alignment vertical="center"/>
      <protection/>
    </xf>
    <xf numFmtId="44" fontId="59" fillId="0" borderId="0" xfId="0" applyNumberFormat="1" applyFont="1" applyAlignment="1" applyProtection="1">
      <alignment vertical="center"/>
      <protection/>
    </xf>
    <xf numFmtId="0" fontId="61" fillId="32" borderId="33" xfId="0" applyFont="1" applyFill="1" applyBorder="1" applyAlignment="1" applyProtection="1">
      <alignment horizontal="center" vertical="center"/>
      <protection locked="0"/>
    </xf>
    <xf numFmtId="0" fontId="61" fillId="32" borderId="69" xfId="0" applyFont="1" applyFill="1" applyBorder="1" applyAlignment="1" applyProtection="1">
      <alignment horizontal="center" vertical="center"/>
      <protection locked="0"/>
    </xf>
    <xf numFmtId="0" fontId="61" fillId="32" borderId="9" xfId="0" applyFont="1" applyFill="1" applyBorder="1" applyAlignment="1" applyProtection="1">
      <alignment horizontal="center" vertical="center" wrapText="1"/>
      <protection locked="0"/>
    </xf>
    <xf numFmtId="0" fontId="64" fillId="0" borderId="27" xfId="0" applyFont="1" applyFill="1" applyBorder="1" applyAlignment="1" applyProtection="1">
      <alignment horizontal="center" wrapText="1"/>
      <protection/>
    </xf>
    <xf numFmtId="43" fontId="61" fillId="32" borderId="16" xfId="46" applyNumberFormat="1" applyFont="1" applyFill="1" applyBorder="1" applyAlignment="1" applyProtection="1">
      <alignment horizontal="center" vertical="center"/>
      <protection locked="0"/>
    </xf>
    <xf numFmtId="9" fontId="59" fillId="0" borderId="0" xfId="65" applyFont="1" applyAlignment="1" applyProtection="1">
      <alignment horizontal="center"/>
      <protection/>
    </xf>
    <xf numFmtId="0" fontId="5" fillId="0" borderId="15" xfId="0" applyFont="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66" fillId="35" borderId="18" xfId="61" applyFont="1" applyFill="1" applyBorder="1" applyAlignment="1" applyProtection="1">
      <alignment horizontal="center" vertical="center"/>
      <protection/>
    </xf>
    <xf numFmtId="0" fontId="13" fillId="0" borderId="0" xfId="61" applyFont="1" applyFill="1" applyBorder="1" applyAlignment="1" applyProtection="1">
      <alignment horizontal="center" vertical="center"/>
      <protection/>
    </xf>
    <xf numFmtId="0" fontId="66"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46" xfId="0" applyFont="1" applyFill="1" applyBorder="1" applyAlignment="1" applyProtection="1">
      <alignment vertical="center"/>
      <protection/>
    </xf>
    <xf numFmtId="0" fontId="64" fillId="0" borderId="28" xfId="0" applyFont="1" applyFill="1" applyBorder="1" applyAlignment="1" applyProtection="1">
      <alignment horizontal="center" vertical="center"/>
      <protection/>
    </xf>
    <xf numFmtId="0" fontId="64" fillId="0" borderId="58" xfId="0" applyFont="1" applyBorder="1" applyAlignment="1" applyProtection="1">
      <alignment horizontal="center" vertical="center"/>
      <protection/>
    </xf>
    <xf numFmtId="44" fontId="59" fillId="0" borderId="66" xfId="46" applyFont="1" applyFill="1" applyBorder="1" applyAlignment="1" applyProtection="1">
      <alignment vertical="center"/>
      <protection/>
    </xf>
    <xf numFmtId="3" fontId="59" fillId="0" borderId="9" xfId="0" applyNumberFormat="1" applyFont="1" applyFill="1" applyBorder="1" applyAlignment="1" applyProtection="1">
      <alignment/>
      <protection/>
    </xf>
    <xf numFmtId="3" fontId="59" fillId="0" borderId="16" xfId="0" applyNumberFormat="1" applyFont="1" applyFill="1" applyBorder="1" applyAlignment="1" applyProtection="1">
      <alignment/>
      <protection/>
    </xf>
    <xf numFmtId="0" fontId="59" fillId="0" borderId="17" xfId="0" applyFont="1" applyBorder="1" applyAlignment="1" applyProtection="1">
      <alignment vertical="center"/>
      <protection/>
    </xf>
    <xf numFmtId="0" fontId="64" fillId="0" borderId="46" xfId="0" applyFont="1" applyBorder="1" applyAlignment="1" applyProtection="1">
      <alignment vertical="center"/>
      <protection/>
    </xf>
    <xf numFmtId="0" fontId="64" fillId="0" borderId="67" xfId="0" applyFont="1" applyBorder="1" applyAlignment="1" applyProtection="1">
      <alignment horizontal="center" vertical="center"/>
      <protection/>
    </xf>
    <xf numFmtId="0" fontId="5" fillId="37" borderId="33" xfId="0" applyFont="1" applyFill="1" applyBorder="1" applyAlignment="1" applyProtection="1">
      <alignment horizontal="center" vertical="center"/>
      <protection/>
    </xf>
    <xf numFmtId="0" fontId="5" fillId="37" borderId="30" xfId="0" applyFont="1" applyFill="1" applyBorder="1" applyAlignment="1" applyProtection="1">
      <alignment horizontal="center" vertical="center"/>
      <protection/>
    </xf>
    <xf numFmtId="41" fontId="5" fillId="37" borderId="30" xfId="0" applyNumberFormat="1" applyFont="1" applyFill="1" applyBorder="1" applyAlignment="1" applyProtection="1">
      <alignment vertical="center"/>
      <protection/>
    </xf>
    <xf numFmtId="3" fontId="59" fillId="34" borderId="16" xfId="0" applyNumberFormat="1" applyFont="1" applyFill="1" applyBorder="1" applyAlignment="1" applyProtection="1">
      <alignment horizontal="center" vertical="center"/>
      <protection/>
    </xf>
    <xf numFmtId="3" fontId="59" fillId="0" borderId="16" xfId="0" applyNumberFormat="1" applyFont="1" applyFill="1" applyBorder="1" applyAlignment="1" applyProtection="1">
      <alignment horizontal="center" vertical="center"/>
      <protection/>
    </xf>
    <xf numFmtId="3" fontId="59" fillId="0" borderId="16" xfId="0" applyNumberFormat="1" applyFont="1" applyFill="1" applyBorder="1" applyAlignment="1" applyProtection="1">
      <alignment vertical="center"/>
      <protection/>
    </xf>
    <xf numFmtId="3" fontId="59" fillId="37" borderId="17" xfId="0" applyNumberFormat="1" applyFont="1" applyFill="1" applyBorder="1" applyAlignment="1" applyProtection="1">
      <alignment vertical="center"/>
      <protection/>
    </xf>
    <xf numFmtId="3" fontId="59" fillId="37" borderId="62" xfId="0" applyNumberFormat="1" applyFont="1" applyFill="1" applyBorder="1" applyAlignment="1" applyProtection="1">
      <alignment vertical="center"/>
      <protection/>
    </xf>
    <xf numFmtId="3" fontId="59" fillId="37" borderId="70" xfId="0" applyNumberFormat="1" applyFont="1" applyFill="1" applyBorder="1" applyAlignment="1" applyProtection="1">
      <alignment vertical="center"/>
      <protection/>
    </xf>
    <xf numFmtId="3" fontId="59" fillId="0" borderId="67" xfId="0" applyNumberFormat="1" applyFont="1" applyFill="1" applyBorder="1" applyAlignment="1" applyProtection="1">
      <alignment horizontal="center" vertical="center"/>
      <protection/>
    </xf>
    <xf numFmtId="3" fontId="59" fillId="0" borderId="67" xfId="0" applyNumberFormat="1" applyFont="1" applyBorder="1" applyAlignment="1" applyProtection="1">
      <alignment horizontal="center" vertical="center"/>
      <protection/>
    </xf>
    <xf numFmtId="3" fontId="59" fillId="37" borderId="71" xfId="0" applyNumberFormat="1" applyFont="1" applyFill="1" applyBorder="1" applyAlignment="1" applyProtection="1">
      <alignment vertical="center"/>
      <protection/>
    </xf>
    <xf numFmtId="3" fontId="59" fillId="0" borderId="67" xfId="0" applyNumberFormat="1" applyFont="1" applyFill="1" applyBorder="1" applyAlignment="1" applyProtection="1">
      <alignment vertical="center"/>
      <protection/>
    </xf>
    <xf numFmtId="3" fontId="59" fillId="0" borderId="47" xfId="0" applyNumberFormat="1" applyFont="1" applyFill="1" applyBorder="1" applyAlignment="1" applyProtection="1">
      <alignment vertical="center"/>
      <protection/>
    </xf>
    <xf numFmtId="3" fontId="59" fillId="34" borderId="16" xfId="0" applyNumberFormat="1" applyFont="1" applyFill="1" applyBorder="1" applyAlignment="1" applyProtection="1">
      <alignment vertical="center"/>
      <protection/>
    </xf>
    <xf numFmtId="3" fontId="59" fillId="34" borderId="9" xfId="0" applyNumberFormat="1" applyFont="1" applyFill="1" applyBorder="1" applyAlignment="1" applyProtection="1">
      <alignment vertical="center"/>
      <protection/>
    </xf>
    <xf numFmtId="3" fontId="59" fillId="0" borderId="67" xfId="0" applyNumberFormat="1" applyFont="1" applyBorder="1" applyAlignment="1" applyProtection="1">
      <alignment horizontal="right" vertical="center"/>
      <protection/>
    </xf>
    <xf numFmtId="3" fontId="59" fillId="0" borderId="16" xfId="0" applyNumberFormat="1" applyFont="1" applyFill="1" applyBorder="1" applyAlignment="1" applyProtection="1">
      <alignment horizontal="right" vertical="center"/>
      <protection/>
    </xf>
    <xf numFmtId="3" fontId="59" fillId="0" borderId="9" xfId="0" applyNumberFormat="1" applyFont="1" applyFill="1" applyBorder="1" applyAlignment="1" applyProtection="1">
      <alignment vertical="center"/>
      <protection/>
    </xf>
    <xf numFmtId="3" fontId="59" fillId="0" borderId="17" xfId="0" applyNumberFormat="1" applyFont="1" applyFill="1" applyBorder="1" applyAlignment="1" applyProtection="1">
      <alignment vertical="center"/>
      <protection/>
    </xf>
    <xf numFmtId="3" fontId="59" fillId="0" borderId="13" xfId="0" applyNumberFormat="1" applyFont="1" applyFill="1" applyBorder="1" applyAlignment="1" applyProtection="1">
      <alignment vertical="center"/>
      <protection/>
    </xf>
    <xf numFmtId="3" fontId="59" fillId="0" borderId="14" xfId="0" applyNumberFormat="1" applyFont="1" applyFill="1" applyBorder="1" applyAlignment="1" applyProtection="1">
      <alignment vertical="center"/>
      <protection/>
    </xf>
    <xf numFmtId="3" fontId="59" fillId="0" borderId="27" xfId="0" applyNumberFormat="1" applyFont="1" applyFill="1" applyBorder="1" applyAlignment="1" applyProtection="1">
      <alignment vertical="center"/>
      <protection/>
    </xf>
    <xf numFmtId="173" fontId="59" fillId="0" borderId="66" xfId="0" applyNumberFormat="1" applyFont="1" applyBorder="1" applyAlignment="1" applyProtection="1">
      <alignment vertical="center"/>
      <protection/>
    </xf>
    <xf numFmtId="3" fontId="59" fillId="0" borderId="72" xfId="0" applyNumberFormat="1" applyFont="1" applyBorder="1" applyAlignment="1" applyProtection="1">
      <alignment vertical="center"/>
      <protection/>
    </xf>
    <xf numFmtId="173" fontId="59" fillId="0" borderId="73" xfId="0" applyNumberFormat="1" applyFont="1" applyBorder="1" applyAlignment="1" applyProtection="1">
      <alignment vertical="center"/>
      <protection/>
    </xf>
    <xf numFmtId="0" fontId="67" fillId="0" borderId="27" xfId="0" applyFont="1" applyBorder="1" applyAlignment="1" applyProtection="1">
      <alignment/>
      <protection/>
    </xf>
    <xf numFmtId="0" fontId="59" fillId="0" borderId="57" xfId="0" applyFont="1" applyBorder="1" applyAlignment="1" applyProtection="1">
      <alignment/>
      <protection/>
    </xf>
    <xf numFmtId="0" fontId="67" fillId="0" borderId="57" xfId="0" applyFont="1" applyBorder="1" applyAlignment="1" applyProtection="1">
      <alignment/>
      <protection/>
    </xf>
    <xf numFmtId="0" fontId="67" fillId="0" borderId="57" xfId="0" applyFont="1" applyBorder="1" applyAlignment="1" applyProtection="1">
      <alignment horizontal="center"/>
      <protection/>
    </xf>
    <xf numFmtId="0" fontId="67" fillId="0" borderId="14" xfId="0" applyFont="1" applyBorder="1" applyAlignment="1" applyProtection="1">
      <alignment horizontal="center"/>
      <protection/>
    </xf>
    <xf numFmtId="0" fontId="59" fillId="0" borderId="12" xfId="0" applyFont="1" applyBorder="1" applyAlignment="1" applyProtection="1">
      <alignment/>
      <protection/>
    </xf>
    <xf numFmtId="0" fontId="59" fillId="38" borderId="12" xfId="0" applyFont="1" applyFill="1" applyBorder="1" applyAlignment="1" applyProtection="1">
      <alignment/>
      <protection/>
    </xf>
    <xf numFmtId="0" fontId="59" fillId="38" borderId="0" xfId="0" applyFont="1" applyFill="1" applyBorder="1" applyAlignment="1" applyProtection="1">
      <alignment/>
      <protection/>
    </xf>
    <xf numFmtId="0" fontId="59" fillId="0" borderId="31" xfId="0" applyFont="1" applyBorder="1" applyAlignment="1" applyProtection="1">
      <alignment/>
      <protection/>
    </xf>
    <xf numFmtId="0" fontId="64" fillId="0" borderId="51" xfId="0" applyFont="1" applyBorder="1" applyAlignment="1" applyProtection="1">
      <alignment horizontal="center" vertical="center"/>
      <protection/>
    </xf>
    <xf numFmtId="0" fontId="64" fillId="0" borderId="34" xfId="0" applyFont="1" applyBorder="1" applyAlignment="1" applyProtection="1">
      <alignment horizontal="center" vertical="center"/>
      <protection/>
    </xf>
    <xf numFmtId="0" fontId="64" fillId="0" borderId="74"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4" fillId="0" borderId="66" xfId="0" applyFont="1" applyBorder="1" applyAlignment="1" applyProtection="1">
      <alignment horizontal="center" wrapText="1"/>
      <protection/>
    </xf>
    <xf numFmtId="0" fontId="64" fillId="0" borderId="47" xfId="0" applyFont="1" applyBorder="1" applyAlignment="1" applyProtection="1">
      <alignment vertical="center"/>
      <protection/>
    </xf>
    <xf numFmtId="0" fontId="59" fillId="0" borderId="9" xfId="0" applyFont="1" applyBorder="1" applyAlignment="1" applyProtection="1">
      <alignment vertical="center"/>
      <protection/>
    </xf>
    <xf numFmtId="0" fontId="59" fillId="0" borderId="13" xfId="0" applyFont="1" applyBorder="1" applyAlignment="1" applyProtection="1">
      <alignment vertical="center"/>
      <protection/>
    </xf>
    <xf numFmtId="0" fontId="64" fillId="0" borderId="16" xfId="0" applyFont="1" applyBorder="1" applyAlignment="1" applyProtection="1">
      <alignment horizontal="center" wrapText="1"/>
      <protection/>
    </xf>
    <xf numFmtId="0" fontId="64" fillId="0" borderId="9" xfId="0" applyFont="1" applyFill="1" applyBorder="1" applyAlignment="1" applyProtection="1">
      <alignment horizontal="center" wrapText="1"/>
      <protection/>
    </xf>
    <xf numFmtId="0" fontId="64" fillId="0" borderId="16" xfId="0" applyFont="1" applyFill="1" applyBorder="1" applyAlignment="1" applyProtection="1">
      <alignment horizontal="center" wrapText="1"/>
      <protection/>
    </xf>
    <xf numFmtId="0" fontId="59" fillId="0" borderId="25" xfId="0" applyFont="1" applyBorder="1" applyAlignment="1" applyProtection="1">
      <alignment vertical="center"/>
      <protection/>
    </xf>
    <xf numFmtId="0" fontId="64" fillId="0" borderId="28" xfId="0" applyFont="1" applyBorder="1" applyAlignment="1" applyProtection="1">
      <alignment horizontal="center" vertical="center"/>
      <protection/>
    </xf>
    <xf numFmtId="0" fontId="64" fillId="0" borderId="65" xfId="0" applyFont="1" applyBorder="1" applyAlignment="1" applyProtection="1">
      <alignment horizontal="center" wrapText="1"/>
      <protection/>
    </xf>
    <xf numFmtId="0" fontId="64" fillId="0" borderId="66" xfId="0" applyFont="1" applyFill="1" applyBorder="1" applyAlignment="1" applyProtection="1">
      <alignment horizontal="center" wrapText="1"/>
      <protection/>
    </xf>
    <xf numFmtId="0" fontId="64" fillId="0" borderId="65" xfId="0" applyFont="1" applyFill="1" applyBorder="1" applyAlignment="1" applyProtection="1">
      <alignment horizontal="center" wrapText="1"/>
      <protection/>
    </xf>
    <xf numFmtId="0" fontId="64" fillId="0" borderId="34" xfId="0" applyFont="1" applyBorder="1" applyAlignment="1" applyProtection="1">
      <alignment horizontal="center" textRotation="90"/>
      <protection/>
    </xf>
    <xf numFmtId="0" fontId="59" fillId="0" borderId="0" xfId="0" applyFont="1" applyAlignment="1" applyProtection="1">
      <alignment horizontal="center" vertical="center" wrapText="1"/>
      <protection/>
    </xf>
    <xf numFmtId="0" fontId="64" fillId="0" borderId="13" xfId="0" applyFont="1" applyBorder="1" applyAlignment="1" applyProtection="1">
      <alignment horizontal="center" wrapText="1"/>
      <protection/>
    </xf>
    <xf numFmtId="0" fontId="64" fillId="0" borderId="0" xfId="0" applyFont="1" applyAlignment="1" applyProtection="1" quotePrefix="1">
      <alignment horizontal="center"/>
      <protection/>
    </xf>
    <xf numFmtId="0" fontId="64" fillId="0" borderId="0" xfId="0" applyFont="1" applyAlignment="1" applyProtection="1">
      <alignment horizontal="center"/>
      <protection/>
    </xf>
    <xf numFmtId="0" fontId="59" fillId="0" borderId="36" xfId="0" applyFont="1" applyBorder="1" applyAlignment="1" applyProtection="1">
      <alignment vertical="center"/>
      <protection/>
    </xf>
    <xf numFmtId="0" fontId="59" fillId="0" borderId="66" xfId="0" applyFont="1" applyBorder="1" applyAlignment="1" applyProtection="1">
      <alignment vertical="center"/>
      <protection/>
    </xf>
    <xf numFmtId="0" fontId="59" fillId="0" borderId="28" xfId="0" applyFont="1" applyBorder="1" applyAlignment="1" applyProtection="1">
      <alignment vertical="center"/>
      <protection/>
    </xf>
    <xf numFmtId="0" fontId="59" fillId="0" borderId="34" xfId="0" applyFont="1" applyBorder="1" applyAlignment="1" applyProtection="1">
      <alignment vertical="center"/>
      <protection/>
    </xf>
    <xf numFmtId="0" fontId="64" fillId="0" borderId="46" xfId="0" applyFont="1" applyBorder="1" applyAlignment="1" applyProtection="1">
      <alignment horizontal="center" vertical="center"/>
      <protection/>
    </xf>
    <xf numFmtId="0" fontId="64" fillId="0" borderId="66" xfId="0" applyFont="1" applyBorder="1" applyAlignment="1" applyProtection="1">
      <alignment horizontal="center" vertical="center"/>
      <protection/>
    </xf>
    <xf numFmtId="0" fontId="59" fillId="0" borderId="36" xfId="0" applyFont="1" applyBorder="1" applyAlignment="1" applyProtection="1">
      <alignment horizontal="center" vertical="center"/>
      <protection/>
    </xf>
    <xf numFmtId="0" fontId="59"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46" xfId="0" applyFont="1" applyBorder="1" applyAlignment="1" applyProtection="1">
      <alignment horizontal="center" vertical="center"/>
      <protection/>
    </xf>
    <xf numFmtId="0" fontId="6" fillId="2" borderId="6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9" fillId="0" borderId="16" xfId="0" applyFont="1" applyFill="1" applyBorder="1" applyAlignment="1">
      <alignment/>
    </xf>
    <xf numFmtId="0" fontId="59" fillId="0" borderId="16" xfId="0" applyFont="1" applyBorder="1" applyAlignment="1">
      <alignment/>
    </xf>
    <xf numFmtId="0" fontId="6" fillId="0" borderId="16" xfId="0" applyFont="1" applyBorder="1" applyAlignment="1">
      <alignment/>
    </xf>
    <xf numFmtId="0" fontId="59" fillId="34" borderId="16" xfId="0" applyFont="1" applyFill="1" applyBorder="1" applyAlignment="1">
      <alignment/>
    </xf>
    <xf numFmtId="0" fontId="59" fillId="0" borderId="0" xfId="0" applyFont="1" applyBorder="1" applyAlignment="1" applyProtection="1">
      <alignment wrapText="1"/>
      <protection/>
    </xf>
    <xf numFmtId="0" fontId="59" fillId="0" borderId="0" xfId="0" applyFont="1" applyFill="1" applyBorder="1" applyAlignment="1" applyProtection="1">
      <alignment wrapText="1"/>
      <protection/>
    </xf>
    <xf numFmtId="0" fontId="66" fillId="0" borderId="0" xfId="61" applyFont="1" applyFill="1" applyBorder="1" applyAlignment="1" applyProtection="1">
      <alignment horizontal="center" vertical="center"/>
      <protection/>
    </xf>
    <xf numFmtId="3" fontId="61" fillId="32" borderId="16" xfId="0" applyNumberFormat="1" applyFont="1" applyFill="1" applyBorder="1" applyAlignment="1" applyProtection="1">
      <alignment vertical="center"/>
      <protection locked="0"/>
    </xf>
    <xf numFmtId="3" fontId="61" fillId="32" borderId="17" xfId="0" applyNumberFormat="1" applyFont="1" applyFill="1" applyBorder="1" applyAlignment="1" applyProtection="1">
      <alignment vertical="center"/>
      <protection locked="0"/>
    </xf>
    <xf numFmtId="41" fontId="59" fillId="0" borderId="0" xfId="46" applyNumberFormat="1" applyFont="1" applyFill="1" applyBorder="1" applyAlignment="1" applyProtection="1">
      <alignment vertical="center"/>
      <protection/>
    </xf>
    <xf numFmtId="44" fontId="59" fillId="34" borderId="36" xfId="46" applyNumberFormat="1" applyFont="1" applyFill="1" applyBorder="1" applyAlignment="1" applyProtection="1">
      <alignment vertical="center"/>
      <protection/>
    </xf>
    <xf numFmtId="44" fontId="59" fillId="34" borderId="44" xfId="0" applyNumberFormat="1" applyFont="1" applyFill="1" applyBorder="1" applyAlignment="1" applyProtection="1">
      <alignment vertical="center"/>
      <protection/>
    </xf>
    <xf numFmtId="0" fontId="65" fillId="0" borderId="0" xfId="0" applyFont="1" applyAlignment="1" applyProtection="1">
      <alignment horizontal="center"/>
      <protection/>
    </xf>
    <xf numFmtId="44" fontId="59" fillId="34" borderId="0" xfId="46" applyFont="1" applyFill="1" applyBorder="1" applyAlignment="1" applyProtection="1">
      <alignment vertical="center"/>
      <protection locked="0"/>
    </xf>
    <xf numFmtId="37" fontId="5" fillId="0" borderId="46" xfId="46" applyNumberFormat="1" applyFont="1" applyFill="1" applyBorder="1" applyAlignment="1" applyProtection="1">
      <alignment vertical="center"/>
      <protection/>
    </xf>
    <xf numFmtId="0" fontId="5" fillId="36" borderId="17" xfId="0" applyFont="1" applyFill="1" applyBorder="1" applyAlignment="1">
      <alignment horizontal="center" wrapText="1"/>
    </xf>
    <xf numFmtId="0" fontId="5" fillId="36" borderId="16" xfId="0" applyFont="1" applyFill="1" applyBorder="1" applyAlignment="1">
      <alignment horizontal="center" wrapText="1"/>
    </xf>
    <xf numFmtId="0" fontId="5" fillId="36" borderId="62" xfId="0" applyFont="1" applyFill="1" applyBorder="1" applyAlignment="1">
      <alignment horizontal="center" wrapText="1"/>
    </xf>
    <xf numFmtId="174" fontId="59" fillId="0" borderId="16" xfId="0" applyNumberFormat="1" applyFont="1" applyBorder="1" applyAlignment="1">
      <alignment/>
    </xf>
    <xf numFmtId="0" fontId="6" fillId="0" borderId="17" xfId="0" applyFont="1" applyBorder="1" applyAlignment="1">
      <alignment/>
    </xf>
    <xf numFmtId="0" fontId="59" fillId="0" borderId="17" xfId="0" applyFont="1" applyBorder="1" applyAlignment="1">
      <alignment/>
    </xf>
    <xf numFmtId="0" fontId="59" fillId="0" borderId="13" xfId="0" applyFont="1" applyBorder="1" applyAlignment="1">
      <alignment/>
    </xf>
    <xf numFmtId="0" fontId="6" fillId="0" borderId="65" xfId="0" applyFont="1" applyBorder="1" applyAlignment="1">
      <alignment/>
    </xf>
    <xf numFmtId="0" fontId="59" fillId="0" borderId="65" xfId="0" applyFont="1" applyBorder="1" applyAlignment="1">
      <alignment/>
    </xf>
    <xf numFmtId="0" fontId="59" fillId="0" borderId="0" xfId="0" applyFont="1" applyFill="1" applyAlignment="1">
      <alignment/>
    </xf>
    <xf numFmtId="37" fontId="59" fillId="0" borderId="0" xfId="0" applyNumberFormat="1" applyFont="1" applyBorder="1" applyAlignment="1" applyProtection="1">
      <alignment horizontal="center"/>
      <protection/>
    </xf>
    <xf numFmtId="37" fontId="59" fillId="0" borderId="31" xfId="0" applyNumberFormat="1" applyFont="1" applyBorder="1" applyAlignment="1" applyProtection="1">
      <alignment horizontal="center"/>
      <protection/>
    </xf>
    <xf numFmtId="37" fontId="59" fillId="38" borderId="0" xfId="0" applyNumberFormat="1" applyFont="1" applyFill="1" applyBorder="1" applyAlignment="1" applyProtection="1">
      <alignment horizontal="center"/>
      <protection/>
    </xf>
    <xf numFmtId="37" fontId="59" fillId="38" borderId="31" xfId="0" applyNumberFormat="1" applyFont="1" applyFill="1" applyBorder="1" applyAlignment="1" applyProtection="1">
      <alignment horizontal="center"/>
      <protection/>
    </xf>
    <xf numFmtId="0" fontId="59" fillId="0" borderId="0" xfId="0" applyFont="1" applyAlignment="1" applyProtection="1">
      <alignment wrapText="1"/>
      <protection/>
    </xf>
    <xf numFmtId="0" fontId="59" fillId="0" borderId="71" xfId="0" applyFont="1" applyBorder="1" applyAlignment="1" applyProtection="1">
      <alignment vertical="center"/>
      <protection/>
    </xf>
    <xf numFmtId="44" fontId="59" fillId="0" borderId="35" xfId="46" applyFont="1" applyBorder="1" applyAlignment="1" applyProtection="1">
      <alignment vertical="center"/>
      <protection/>
    </xf>
    <xf numFmtId="43" fontId="59" fillId="0" borderId="35" xfId="0" applyNumberFormat="1" applyFont="1" applyBorder="1" applyAlignment="1" applyProtection="1">
      <alignment vertical="center"/>
      <protection/>
    </xf>
    <xf numFmtId="0" fontId="59" fillId="0" borderId="24" xfId="0" applyFont="1" applyBorder="1" applyAlignment="1" applyProtection="1">
      <alignment horizontal="center" vertical="center"/>
      <protection/>
    </xf>
    <xf numFmtId="0" fontId="59" fillId="0" borderId="24" xfId="0" applyFont="1" applyBorder="1" applyAlignment="1" applyProtection="1">
      <alignment vertical="center"/>
      <protection/>
    </xf>
    <xf numFmtId="0" fontId="59" fillId="0" borderId="24" xfId="0" applyFont="1" applyBorder="1" applyAlignment="1" applyProtection="1">
      <alignment vertical="center" wrapText="1"/>
      <protection/>
    </xf>
    <xf numFmtId="44" fontId="59" fillId="0" borderId="24" xfId="0" applyNumberFormat="1" applyFont="1" applyBorder="1" applyAlignment="1" applyProtection="1">
      <alignment vertical="center" wrapText="1"/>
      <protection/>
    </xf>
    <xf numFmtId="44" fontId="59" fillId="0" borderId="25" xfId="46" applyFont="1" applyBorder="1" applyAlignment="1" applyProtection="1">
      <alignment vertical="center"/>
      <protection/>
    </xf>
    <xf numFmtId="43" fontId="59" fillId="0" borderId="25"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69" xfId="0" applyFont="1" applyFill="1" applyBorder="1" applyAlignment="1" applyProtection="1">
      <alignment vertical="center"/>
      <protection locked="0"/>
    </xf>
    <xf numFmtId="0" fontId="8" fillId="32" borderId="35" xfId="0" applyFont="1" applyFill="1" applyBorder="1" applyAlignment="1" applyProtection="1">
      <alignment vertical="center"/>
      <protection locked="0"/>
    </xf>
    <xf numFmtId="0" fontId="8" fillId="32" borderId="75" xfId="0" applyFont="1" applyFill="1" applyBorder="1" applyAlignment="1" applyProtection="1">
      <alignment vertical="center"/>
      <protection locked="0"/>
    </xf>
    <xf numFmtId="0" fontId="59"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4" fillId="0" borderId="27" xfId="0" applyFont="1" applyBorder="1" applyAlignment="1" applyProtection="1">
      <alignment horizontal="center" wrapText="1"/>
      <protection/>
    </xf>
    <xf numFmtId="0" fontId="64" fillId="0" borderId="76" xfId="0" applyFont="1" applyBorder="1" applyAlignment="1" applyProtection="1">
      <alignment horizontal="center" wrapText="1"/>
      <protection/>
    </xf>
    <xf numFmtId="0" fontId="64" fillId="0" borderId="51" xfId="0" applyFont="1" applyFill="1" applyBorder="1" applyAlignment="1" applyProtection="1">
      <alignment horizontal="center" wrapText="1"/>
      <protection/>
    </xf>
    <xf numFmtId="0" fontId="64" fillId="0" borderId="17" xfId="0" applyFont="1" applyBorder="1" applyAlignment="1" applyProtection="1">
      <alignment horizontal="center" wrapText="1"/>
      <protection/>
    </xf>
    <xf numFmtId="44" fontId="64" fillId="0" borderId="17" xfId="0" applyNumberFormat="1" applyFont="1" applyBorder="1" applyAlignment="1" applyProtection="1">
      <alignment horizontal="center" wrapText="1"/>
      <protection/>
    </xf>
    <xf numFmtId="0" fontId="64" fillId="0" borderId="66" xfId="0" applyFont="1" applyFill="1" applyBorder="1" applyAlignment="1" applyProtection="1">
      <alignment horizontal="center" wrapText="1"/>
      <protection/>
    </xf>
    <xf numFmtId="0" fontId="59" fillId="0" borderId="36" xfId="0" applyFont="1" applyBorder="1" applyAlignment="1" applyProtection="1">
      <alignment horizontal="center" vertical="center"/>
      <protection/>
    </xf>
    <xf numFmtId="0" fontId="59" fillId="0" borderId="66" xfId="0" applyFont="1" applyBorder="1" applyAlignment="1" applyProtection="1">
      <alignment horizontal="center" wrapText="1"/>
      <protection/>
    </xf>
    <xf numFmtId="0" fontId="59" fillId="0" borderId="28" xfId="0" applyFont="1" applyBorder="1" applyAlignment="1" applyProtection="1">
      <alignment horizontal="center" wrapText="1"/>
      <protection/>
    </xf>
    <xf numFmtId="0" fontId="59" fillId="0" borderId="34" xfId="0" applyFont="1" applyBorder="1" applyAlignment="1" applyProtection="1">
      <alignment horizontal="center" wrapText="1"/>
      <protection/>
    </xf>
    <xf numFmtId="0" fontId="59" fillId="0" borderId="0" xfId="0" applyFont="1" applyBorder="1" applyAlignment="1" applyProtection="1">
      <alignment vertical="top" wrapText="1"/>
      <protection/>
    </xf>
    <xf numFmtId="0" fontId="59"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9" fillId="0" borderId="19" xfId="0" applyFont="1" applyBorder="1" applyAlignment="1" applyProtection="1">
      <alignment horizontal="justify" vertical="top"/>
      <protection/>
    </xf>
    <xf numFmtId="0" fontId="6" fillId="0" borderId="57" xfId="0" applyFont="1" applyFill="1" applyBorder="1" applyAlignment="1" applyProtection="1">
      <alignment vertical="center"/>
      <protection/>
    </xf>
    <xf numFmtId="0" fontId="8" fillId="32" borderId="28"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xf>
    <xf numFmtId="0" fontId="6" fillId="0" borderId="27" xfId="59" applyFont="1" applyFill="1" applyBorder="1" applyAlignment="1" applyProtection="1">
      <alignment horizontal="left" vertical="center"/>
      <protection/>
    </xf>
    <xf numFmtId="0" fontId="6" fillId="0" borderId="57" xfId="59" applyFont="1" applyFill="1" applyBorder="1" applyAlignment="1" applyProtection="1">
      <alignment horizontal="left" vertical="center"/>
      <protection/>
    </xf>
    <xf numFmtId="0" fontId="59" fillId="34" borderId="0" xfId="0" applyFont="1" applyFill="1" applyBorder="1" applyAlignment="1" applyProtection="1">
      <alignment horizontal="right" vertical="center" wrapText="1"/>
      <protection/>
    </xf>
    <xf numFmtId="0" fontId="59" fillId="34" borderId="77" xfId="0" applyFont="1" applyFill="1" applyBorder="1" applyAlignment="1" applyProtection="1">
      <alignment horizontal="right" vertical="center" wrapText="1"/>
      <protection/>
    </xf>
    <xf numFmtId="49" fontId="6" fillId="2" borderId="28" xfId="0" applyNumberFormat="1" applyFont="1" applyFill="1" applyBorder="1" applyAlignment="1" applyProtection="1">
      <alignment horizontal="left" vertical="center"/>
      <protection/>
    </xf>
    <xf numFmtId="49" fontId="6" fillId="2" borderId="34" xfId="0" applyNumberFormat="1" applyFont="1" applyFill="1" applyBorder="1" applyAlignment="1" applyProtection="1">
      <alignment horizontal="left" vertical="center"/>
      <protection/>
    </xf>
    <xf numFmtId="0" fontId="6" fillId="0" borderId="36" xfId="0" applyFont="1" applyFill="1" applyBorder="1" applyAlignment="1" applyProtection="1">
      <alignment horizontal="justify" vertical="center" wrapText="1"/>
      <protection/>
    </xf>
    <xf numFmtId="0" fontId="7" fillId="0" borderId="57"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7" applyNumberFormat="1" applyFont="1" applyBorder="1" applyAlignment="1" applyProtection="1">
      <alignment vertical="center"/>
      <protection locked="0"/>
    </xf>
    <xf numFmtId="0" fontId="8" fillId="32" borderId="21" xfId="67" applyNumberFormat="1" applyFont="1" applyBorder="1" applyAlignment="1" applyProtection="1">
      <alignment vertical="center"/>
      <protection locked="0"/>
    </xf>
    <xf numFmtId="0" fontId="8" fillId="32" borderId="35" xfId="55" applyNumberFormat="1" applyFont="1" applyFill="1" applyBorder="1" applyAlignment="1" applyProtection="1">
      <alignment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9" fillId="0" borderId="9" xfId="0" applyFont="1" applyFill="1" applyBorder="1" applyAlignment="1" applyProtection="1">
      <alignment horizontal="center"/>
      <protection/>
    </xf>
    <xf numFmtId="0" fontId="59" fillId="0" borderId="36" xfId="0" applyFont="1" applyFill="1" applyBorder="1" applyAlignment="1" applyProtection="1">
      <alignment horizontal="center"/>
      <protection/>
    </xf>
    <xf numFmtId="0" fontId="59" fillId="0" borderId="47" xfId="0" applyFont="1" applyFill="1" applyBorder="1" applyAlignment="1" applyProtection="1">
      <alignment horizontal="center" vertical="center"/>
      <protection/>
    </xf>
    <xf numFmtId="0" fontId="59" fillId="0" borderId="46" xfId="0" applyFont="1" applyFill="1" applyBorder="1" applyAlignment="1" applyProtection="1">
      <alignment horizontal="center" vertical="center"/>
      <protection/>
    </xf>
    <xf numFmtId="0" fontId="64" fillId="0" borderId="47" xfId="0" applyFont="1" applyBorder="1" applyAlignment="1" applyProtection="1">
      <alignment vertical="center"/>
      <protection/>
    </xf>
    <xf numFmtId="0" fontId="64" fillId="0" borderId="15" xfId="0" applyFont="1" applyBorder="1" applyAlignment="1" applyProtection="1">
      <alignment vertical="center"/>
      <protection/>
    </xf>
    <xf numFmtId="0" fontId="59" fillId="0" borderId="25" xfId="0" applyFont="1" applyBorder="1" applyAlignment="1" applyProtection="1">
      <alignment vertical="center"/>
      <protection/>
    </xf>
    <xf numFmtId="0" fontId="59" fillId="0" borderId="26" xfId="0" applyFont="1" applyBorder="1" applyAlignment="1" applyProtection="1">
      <alignment vertical="center"/>
      <protection/>
    </xf>
    <xf numFmtId="0" fontId="64" fillId="0" borderId="27" xfId="0" applyFont="1" applyBorder="1" applyAlignment="1" applyProtection="1">
      <alignment horizontal="center" wrapText="1"/>
      <protection/>
    </xf>
    <xf numFmtId="0" fontId="64" fillId="0" borderId="14" xfId="0" applyFont="1" applyBorder="1" applyAlignment="1" applyProtection="1">
      <alignment horizontal="center"/>
      <protection/>
    </xf>
    <xf numFmtId="0" fontId="64" fillId="0" borderId="66" xfId="0" applyFont="1" applyBorder="1" applyAlignment="1" applyProtection="1">
      <alignment horizontal="center"/>
      <protection/>
    </xf>
    <xf numFmtId="0" fontId="64" fillId="0" borderId="34" xfId="0" applyFont="1" applyBorder="1" applyAlignment="1" applyProtection="1">
      <alignment horizontal="center"/>
      <protection/>
    </xf>
    <xf numFmtId="0" fontId="59" fillId="0" borderId="9" xfId="0" applyFont="1" applyBorder="1" applyAlignment="1" applyProtection="1">
      <alignment vertical="center" wrapText="1"/>
      <protection/>
    </xf>
    <xf numFmtId="0" fontId="59" fillId="0" borderId="13" xfId="0" applyFont="1" applyBorder="1" applyAlignment="1" applyProtection="1">
      <alignment vertical="center" wrapText="1"/>
      <protection/>
    </xf>
    <xf numFmtId="0" fontId="59" fillId="0" borderId="9" xfId="0" applyFont="1" applyBorder="1" applyAlignment="1" applyProtection="1">
      <alignment vertical="center"/>
      <protection/>
    </xf>
    <xf numFmtId="0" fontId="59" fillId="0" borderId="13"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4" fillId="0" borderId="16" xfId="0" applyFont="1" applyFill="1" applyBorder="1" applyAlignment="1" applyProtection="1">
      <alignment horizontal="center" wrapText="1"/>
      <protection/>
    </xf>
    <xf numFmtId="0" fontId="59" fillId="0" borderId="25" xfId="0" applyFont="1" applyFill="1" applyBorder="1" applyAlignment="1" applyProtection="1">
      <alignment horizontal="center"/>
      <protection/>
    </xf>
    <xf numFmtId="0" fontId="59" fillId="0" borderId="44" xfId="0" applyFont="1" applyFill="1" applyBorder="1" applyAlignment="1" applyProtection="1">
      <alignment horizontal="center"/>
      <protection/>
    </xf>
    <xf numFmtId="0" fontId="64" fillId="0" borderId="27" xfId="0" applyFont="1" applyBorder="1" applyAlignment="1" applyProtection="1">
      <alignment horizontal="center" vertical="center"/>
      <protection/>
    </xf>
    <xf numFmtId="0" fontId="64" fillId="0" borderId="57" xfId="0" applyFont="1" applyBorder="1" applyAlignment="1" applyProtection="1">
      <alignment horizontal="center" vertical="center"/>
      <protection/>
    </xf>
    <xf numFmtId="0" fontId="59" fillId="0" borderId="36" xfId="0" applyFont="1" applyBorder="1" applyAlignment="1" applyProtection="1">
      <alignment horizontal="justify" vertical="center" wrapText="1"/>
      <protection/>
    </xf>
    <xf numFmtId="0" fontId="3" fillId="0" borderId="16" xfId="0" applyFont="1" applyBorder="1" applyAlignment="1" applyProtection="1">
      <alignment horizontal="center" wrapText="1"/>
      <protection/>
    </xf>
    <xf numFmtId="0" fontId="64" fillId="0" borderId="16" xfId="0" applyFont="1" applyBorder="1" applyAlignment="1" applyProtection="1">
      <alignment horizontal="center" wrapText="1"/>
      <protection/>
    </xf>
    <xf numFmtId="0" fontId="59" fillId="0" borderId="36" xfId="0" applyFont="1" applyFill="1" applyBorder="1" applyAlignment="1" applyProtection="1">
      <alignment horizontal="justify" vertical="center" wrapText="1"/>
      <protection/>
    </xf>
    <xf numFmtId="0" fontId="64" fillId="0" borderId="9" xfId="0" applyFont="1" applyFill="1" applyBorder="1" applyAlignment="1" applyProtection="1">
      <alignment horizontal="center" wrapText="1"/>
      <protection/>
    </xf>
    <xf numFmtId="0" fontId="64" fillId="0" borderId="36" xfId="0" applyFont="1" applyFill="1" applyBorder="1" applyAlignment="1" applyProtection="1">
      <alignment horizontal="center" wrapText="1"/>
      <protection/>
    </xf>
    <xf numFmtId="0" fontId="59" fillId="0" borderId="33" xfId="0" applyFont="1" applyBorder="1" applyAlignment="1" applyProtection="1">
      <alignment vertical="center" wrapText="1"/>
      <protection/>
    </xf>
    <xf numFmtId="0" fontId="59" fillId="0" borderId="30" xfId="0" applyFont="1" applyBorder="1" applyAlignment="1" applyProtection="1">
      <alignment vertical="center" wrapText="1"/>
      <protection/>
    </xf>
    <xf numFmtId="0" fontId="59" fillId="0" borderId="68" xfId="0" applyFont="1" applyBorder="1" applyAlignment="1" applyProtection="1">
      <alignment vertical="center" wrapText="1"/>
      <protection/>
    </xf>
    <xf numFmtId="0" fontId="64" fillId="0" borderId="11" xfId="0" applyFont="1" applyBorder="1" applyAlignment="1" applyProtection="1">
      <alignment horizontal="center" vertical="center"/>
      <protection/>
    </xf>
    <xf numFmtId="0" fontId="64" fillId="0" borderId="0" xfId="0" applyFont="1" applyAlignment="1" applyProtection="1" quotePrefix="1">
      <alignment horizontal="center" vertical="center"/>
      <protection/>
    </xf>
    <xf numFmtId="166" fontId="64" fillId="0" borderId="0" xfId="0" applyNumberFormat="1" applyFont="1" applyAlignment="1" applyProtection="1">
      <alignment horizontal="center" vertical="center"/>
      <protection/>
    </xf>
    <xf numFmtId="0" fontId="64" fillId="0" borderId="19" xfId="0" applyFont="1" applyBorder="1" applyAlignment="1" applyProtection="1">
      <alignment horizontal="center" vertical="center"/>
      <protection/>
    </xf>
    <xf numFmtId="0" fontId="64" fillId="0" borderId="66" xfId="0" applyFont="1" applyBorder="1" applyAlignment="1" applyProtection="1">
      <alignment horizontal="center" wrapText="1"/>
      <protection/>
    </xf>
    <xf numFmtId="0" fontId="64" fillId="0" borderId="34" xfId="0" applyFont="1" applyBorder="1" applyAlignment="1" applyProtection="1">
      <alignment horizontal="center" wrapText="1"/>
      <protection/>
    </xf>
    <xf numFmtId="0" fontId="64" fillId="0" borderId="13" xfId="0" applyFont="1" applyBorder="1" applyAlignment="1" applyProtection="1">
      <alignment horizontal="center" textRotation="90" wrapText="1"/>
      <protection/>
    </xf>
    <xf numFmtId="0" fontId="64" fillId="0" borderId="13" xfId="0" applyFont="1" applyBorder="1" applyAlignment="1" applyProtection="1">
      <alignment horizontal="center" textRotation="90"/>
      <protection/>
    </xf>
    <xf numFmtId="0" fontId="64" fillId="0" borderId="0" xfId="0" applyFont="1" applyBorder="1" applyAlignment="1" applyProtection="1">
      <alignment horizontal="center" vertical="center"/>
      <protection/>
    </xf>
    <xf numFmtId="0" fontId="59" fillId="0" borderId="28" xfId="0" applyFont="1" applyBorder="1" applyAlignment="1" applyProtection="1">
      <alignment horizontal="justify" vertical="center" wrapText="1"/>
      <protection/>
    </xf>
    <xf numFmtId="0" fontId="64" fillId="0" borderId="13" xfId="0" applyFont="1" applyBorder="1" applyAlignment="1" applyProtection="1">
      <alignment horizontal="center" wrapText="1"/>
      <protection/>
    </xf>
    <xf numFmtId="0" fontId="64" fillId="0" borderId="13" xfId="0" applyFont="1" applyBorder="1" applyAlignment="1" applyProtection="1">
      <alignment horizontal="center"/>
      <protection/>
    </xf>
    <xf numFmtId="0" fontId="59" fillId="0" borderId="0" xfId="0" applyFont="1" applyAlignment="1" applyProtection="1">
      <alignment horizontal="justify" wrapText="1"/>
      <protection/>
    </xf>
    <xf numFmtId="0" fontId="64" fillId="0" borderId="65" xfId="0" applyFont="1" applyFill="1" applyBorder="1" applyAlignment="1" applyProtection="1">
      <alignment horizontal="center" wrapText="1"/>
      <protection/>
    </xf>
    <xf numFmtId="0" fontId="64" fillId="0" borderId="16" xfId="0" applyFont="1" applyFill="1" applyBorder="1" applyAlignment="1" applyProtection="1">
      <alignment horizontal="center"/>
      <protection/>
    </xf>
    <xf numFmtId="0" fontId="64" fillId="0" borderId="34" xfId="0" applyFont="1" applyBorder="1" applyAlignment="1" applyProtection="1">
      <alignment horizontal="center" textRotation="90"/>
      <protection/>
    </xf>
    <xf numFmtId="0" fontId="6" fillId="0" borderId="30" xfId="0" applyFont="1" applyFill="1" applyBorder="1" applyAlignment="1" applyProtection="1">
      <alignment vertical="center" wrapText="1"/>
      <protection/>
    </xf>
    <xf numFmtId="0" fontId="6" fillId="0" borderId="68"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9" fillId="0" borderId="0" xfId="0" applyFont="1" applyAlignment="1" applyProtection="1">
      <alignment horizontal="center" vertical="center" wrapText="1"/>
      <protection/>
    </xf>
    <xf numFmtId="0" fontId="59" fillId="34" borderId="9" xfId="0" applyFont="1" applyFill="1" applyBorder="1" applyAlignment="1" applyProtection="1">
      <alignment vertical="center" wrapText="1"/>
      <protection/>
    </xf>
    <xf numFmtId="0" fontId="59" fillId="34" borderId="36" xfId="0" applyFont="1" applyFill="1" applyBorder="1" applyAlignment="1" applyProtection="1">
      <alignment vertical="center" wrapText="1"/>
      <protection/>
    </xf>
    <xf numFmtId="0" fontId="64" fillId="0" borderId="0" xfId="0" applyFont="1" applyAlignment="1" applyProtection="1">
      <alignment horizontal="center" vertical="center" wrapText="1"/>
      <protection/>
    </xf>
    <xf numFmtId="0" fontId="64" fillId="0" borderId="0" xfId="0" applyFont="1" applyAlignment="1" applyProtection="1">
      <alignment horizontal="center" vertical="center"/>
      <protection/>
    </xf>
    <xf numFmtId="0" fontId="64" fillId="0" borderId="31" xfId="0" applyFont="1" applyBorder="1" applyAlignment="1" applyProtection="1">
      <alignment horizontal="center" wrapText="1"/>
      <protection/>
    </xf>
    <xf numFmtId="0" fontId="64" fillId="0" borderId="12" xfId="0" applyFont="1" applyFill="1" applyBorder="1" applyAlignment="1" applyProtection="1">
      <alignment horizontal="center" wrapText="1"/>
      <protection/>
    </xf>
    <xf numFmtId="0" fontId="64" fillId="0" borderId="55" xfId="0" applyFont="1" applyFill="1" applyBorder="1" applyAlignment="1" applyProtection="1">
      <alignment horizontal="center" wrapText="1"/>
      <protection/>
    </xf>
    <xf numFmtId="0" fontId="64" fillId="0" borderId="66" xfId="0" applyFont="1" applyFill="1" applyBorder="1" applyAlignment="1" applyProtection="1">
      <alignment horizontal="center" wrapText="1"/>
      <protection/>
    </xf>
    <xf numFmtId="0" fontId="64" fillId="0" borderId="28" xfId="0" applyFont="1" applyFill="1" applyBorder="1" applyAlignment="1" applyProtection="1">
      <alignment horizontal="center" wrapText="1"/>
      <protection/>
    </xf>
    <xf numFmtId="0" fontId="59" fillId="34" borderId="25" xfId="0" applyFont="1" applyFill="1" applyBorder="1" applyAlignment="1" applyProtection="1">
      <alignment vertical="center" wrapText="1"/>
      <protection/>
    </xf>
    <xf numFmtId="0" fontId="59" fillId="34" borderId="44" xfId="0" applyFont="1" applyFill="1" applyBorder="1" applyAlignment="1" applyProtection="1">
      <alignment vertical="center" wrapText="1"/>
      <protection/>
    </xf>
    <xf numFmtId="0" fontId="64" fillId="0" borderId="65" xfId="0" applyFont="1" applyBorder="1" applyAlignment="1" applyProtection="1">
      <alignment horizontal="center" wrapText="1"/>
      <protection/>
    </xf>
    <xf numFmtId="0" fontId="64" fillId="0" borderId="62" xfId="0" applyFont="1" applyBorder="1" applyAlignment="1" applyProtection="1">
      <alignment horizontal="center" wrapText="1"/>
      <protection/>
    </xf>
    <xf numFmtId="0" fontId="64" fillId="0" borderId="78" xfId="0" applyFont="1" applyBorder="1" applyAlignment="1" applyProtection="1">
      <alignment horizontal="center"/>
      <protection/>
    </xf>
    <xf numFmtId="0" fontId="64" fillId="0" borderId="55" xfId="0" applyFont="1" applyBorder="1" applyAlignment="1" applyProtection="1">
      <alignment horizontal="center"/>
      <protection/>
    </xf>
    <xf numFmtId="0" fontId="64" fillId="0" borderId="79" xfId="0" applyFont="1" applyBorder="1" applyAlignment="1" applyProtection="1">
      <alignment horizontal="center"/>
      <protection/>
    </xf>
    <xf numFmtId="0" fontId="64" fillId="0" borderId="50" xfId="0" applyFont="1" applyBorder="1" applyAlignment="1" applyProtection="1">
      <alignment horizontal="center"/>
      <protection/>
    </xf>
    <xf numFmtId="0" fontId="64" fillId="0" borderId="0" xfId="0" applyFont="1" applyBorder="1" applyAlignment="1" applyProtection="1">
      <alignment horizontal="center"/>
      <protection/>
    </xf>
    <xf numFmtId="49" fontId="61" fillId="32" borderId="36" xfId="46" applyNumberFormat="1" applyFont="1" applyFill="1" applyBorder="1" applyAlignment="1" applyProtection="1">
      <alignment horizontal="left" vertical="center" wrapText="1"/>
      <protection locked="0"/>
    </xf>
    <xf numFmtId="49" fontId="61" fillId="32" borderId="36" xfId="46" applyNumberFormat="1" applyFont="1" applyFill="1" applyBorder="1" applyAlignment="1" applyProtection="1">
      <alignment vertical="center" wrapText="1"/>
      <protection locked="0"/>
    </xf>
    <xf numFmtId="0" fontId="59" fillId="0" borderId="55" xfId="0" applyFont="1" applyBorder="1" applyAlignment="1" applyProtection="1">
      <alignment horizontal="justify" vertical="center" wrapText="1"/>
      <protection/>
    </xf>
    <xf numFmtId="0" fontId="5" fillId="0" borderId="78" xfId="0" applyFont="1" applyFill="1" applyBorder="1" applyAlignment="1" applyProtection="1">
      <alignment horizontal="center" vertical="center" wrapText="1"/>
      <protection/>
    </xf>
    <xf numFmtId="0" fontId="5" fillId="0" borderId="55"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64" fillId="0" borderId="78" xfId="0" applyFont="1" applyFill="1" applyBorder="1" applyAlignment="1" applyProtection="1">
      <alignment horizontal="center" vertical="center" wrapText="1"/>
      <protection/>
    </xf>
    <xf numFmtId="0" fontId="64" fillId="0" borderId="55" xfId="0" applyFont="1" applyFill="1" applyBorder="1" applyAlignment="1" applyProtection="1">
      <alignment horizontal="center" vertical="center" wrapText="1"/>
      <protection/>
    </xf>
    <xf numFmtId="0" fontId="64" fillId="0" borderId="79" xfId="0" applyFont="1" applyFill="1" applyBorder="1" applyAlignment="1" applyProtection="1">
      <alignment horizontal="center" vertical="center" wrapText="1"/>
      <protection/>
    </xf>
    <xf numFmtId="0" fontId="64" fillId="0" borderId="78" xfId="0" applyFont="1" applyFill="1" applyBorder="1" applyAlignment="1" applyProtection="1">
      <alignment horizontal="center" wrapText="1"/>
      <protection/>
    </xf>
    <xf numFmtId="0" fontId="64" fillId="0" borderId="74" xfId="0" applyFont="1" applyFill="1" applyBorder="1" applyAlignment="1" applyProtection="1">
      <alignment horizontal="center" wrapText="1"/>
      <protection/>
    </xf>
    <xf numFmtId="0" fontId="64" fillId="0" borderId="0" xfId="0" applyFont="1" applyAlignment="1" applyProtection="1" quotePrefix="1">
      <alignment horizontal="center"/>
      <protection/>
    </xf>
    <xf numFmtId="0" fontId="64" fillId="0" borderId="0" xfId="0" applyFont="1" applyAlignment="1" applyProtection="1">
      <alignment horizontal="center"/>
      <protection/>
    </xf>
    <xf numFmtId="0" fontId="4" fillId="0" borderId="11" xfId="0" applyFont="1" applyBorder="1" applyAlignment="1" applyProtection="1">
      <alignment horizontal="justify" vertical="center" wrapText="1"/>
      <protection/>
    </xf>
    <xf numFmtId="0" fontId="6" fillId="0" borderId="19" xfId="0" applyFont="1" applyFill="1" applyBorder="1" applyAlignment="1" applyProtection="1">
      <alignment vertical="center" wrapText="1"/>
      <protection/>
    </xf>
    <xf numFmtId="49" fontId="61" fillId="32" borderId="9" xfId="46" applyNumberFormat="1" applyFont="1" applyFill="1" applyBorder="1" applyAlignment="1" applyProtection="1">
      <alignment horizontal="left" vertical="center" wrapText="1"/>
      <protection locked="0"/>
    </xf>
    <xf numFmtId="49" fontId="61" fillId="32" borderId="9" xfId="46" applyNumberFormat="1" applyFont="1" applyFill="1" applyBorder="1" applyAlignment="1" applyProtection="1">
      <alignment vertical="center" wrapText="1"/>
      <protection locked="0"/>
    </xf>
    <xf numFmtId="0" fontId="64" fillId="0" borderId="69" xfId="0" applyFont="1" applyFill="1" applyBorder="1" applyAlignment="1" applyProtection="1">
      <alignment horizontal="center" wrapText="1"/>
      <protection/>
    </xf>
    <xf numFmtId="0" fontId="64" fillId="0" borderId="11" xfId="0" applyFont="1" applyFill="1" applyBorder="1" applyAlignment="1" applyProtection="1">
      <alignment horizontal="center" wrapText="1"/>
      <protection/>
    </xf>
    <xf numFmtId="0" fontId="6" fillId="0" borderId="48" xfId="0" applyFont="1" applyFill="1" applyBorder="1" applyAlignment="1" applyProtection="1">
      <alignment vertical="center" wrapText="1"/>
      <protection/>
    </xf>
    <xf numFmtId="0" fontId="64" fillId="0" borderId="80" xfId="0" applyFont="1" applyBorder="1" applyAlignment="1" applyProtection="1">
      <alignment horizontal="center" vertical="center"/>
      <protection/>
    </xf>
    <xf numFmtId="0" fontId="64" fillId="0" borderId="0" xfId="0" applyFont="1" applyBorder="1" applyAlignment="1" applyProtection="1" quotePrefix="1">
      <alignment horizontal="center"/>
      <protection/>
    </xf>
    <xf numFmtId="0" fontId="64" fillId="0" borderId="19" xfId="0" applyFont="1" applyBorder="1" applyAlignment="1" applyProtection="1">
      <alignment horizontal="center"/>
      <protection/>
    </xf>
    <xf numFmtId="0" fontId="64" fillId="0" borderId="81" xfId="0" applyFont="1" applyFill="1" applyBorder="1" applyAlignment="1" applyProtection="1">
      <alignment horizontal="center" vertical="center"/>
      <protection/>
    </xf>
    <xf numFmtId="0" fontId="64" fillId="0" borderId="82" xfId="0" applyFont="1" applyFill="1" applyBorder="1" applyAlignment="1" applyProtection="1">
      <alignment horizontal="center" vertical="center"/>
      <protection/>
    </xf>
    <xf numFmtId="0" fontId="64" fillId="34" borderId="83" xfId="0" applyFont="1" applyFill="1" applyBorder="1" applyAlignment="1" applyProtection="1">
      <alignment horizontal="center" vertical="center"/>
      <protection/>
    </xf>
    <xf numFmtId="0" fontId="64" fillId="0" borderId="55" xfId="0" applyFont="1" applyBorder="1" applyAlignment="1" applyProtection="1">
      <alignment horizontal="center" vertical="center"/>
      <protection/>
    </xf>
    <xf numFmtId="0" fontId="59" fillId="0" borderId="25" xfId="0" applyFont="1" applyBorder="1" applyAlignment="1" applyProtection="1">
      <alignment vertical="center" wrapText="1"/>
      <protection/>
    </xf>
    <xf numFmtId="0" fontId="59" fillId="0" borderId="44" xfId="0" applyFont="1" applyBorder="1" applyAlignment="1" applyProtection="1">
      <alignment vertical="center" wrapText="1"/>
      <protection/>
    </xf>
    <xf numFmtId="0" fontId="59" fillId="0" borderId="26" xfId="0" applyFont="1" applyBorder="1" applyAlignment="1" applyProtection="1">
      <alignment vertical="center" wrapText="1"/>
      <protection/>
    </xf>
    <xf numFmtId="0" fontId="59" fillId="0" borderId="36" xfId="0" applyFont="1" applyBorder="1" applyAlignment="1" applyProtection="1">
      <alignment vertical="center"/>
      <protection/>
    </xf>
    <xf numFmtId="0" fontId="64" fillId="0" borderId="35" xfId="0" applyFont="1" applyBorder="1" applyAlignment="1" applyProtection="1">
      <alignment vertical="center" wrapText="1"/>
      <protection/>
    </xf>
    <xf numFmtId="0" fontId="64" fillId="0" borderId="19" xfId="0" applyFont="1" applyBorder="1" applyAlignment="1" applyProtection="1">
      <alignment vertical="center" wrapText="1"/>
      <protection/>
    </xf>
    <xf numFmtId="0" fontId="64" fillId="0" borderId="21" xfId="0" applyFont="1" applyBorder="1" applyAlignment="1" applyProtection="1">
      <alignment vertical="center" wrapText="1"/>
      <protection/>
    </xf>
    <xf numFmtId="0" fontId="64" fillId="0" borderId="32" xfId="0" applyFont="1" applyBorder="1" applyAlignment="1" applyProtection="1">
      <alignment vertical="center" wrapText="1"/>
      <protection/>
    </xf>
    <xf numFmtId="0" fontId="64" fillId="0" borderId="45" xfId="0" applyFont="1" applyBorder="1" applyAlignment="1" applyProtection="1">
      <alignment vertical="center" wrapText="1"/>
      <protection/>
    </xf>
    <xf numFmtId="0" fontId="64" fillId="0" borderId="20" xfId="0" applyFont="1" applyBorder="1" applyAlignment="1" applyProtection="1">
      <alignment vertical="center" wrapText="1"/>
      <protection/>
    </xf>
    <xf numFmtId="0" fontId="59" fillId="0" borderId="66" xfId="0" applyFont="1" applyBorder="1" applyAlignment="1" applyProtection="1">
      <alignment vertical="center"/>
      <protection/>
    </xf>
    <xf numFmtId="0" fontId="59" fillId="0" borderId="28" xfId="0" applyFont="1" applyBorder="1" applyAlignment="1" applyProtection="1">
      <alignment vertical="center"/>
      <protection/>
    </xf>
    <xf numFmtId="0" fontId="59" fillId="0" borderId="34" xfId="0" applyFont="1" applyBorder="1" applyAlignment="1" applyProtection="1">
      <alignment vertical="center"/>
      <protection/>
    </xf>
    <xf numFmtId="0" fontId="64" fillId="0" borderId="47" xfId="0" applyFont="1" applyBorder="1" applyAlignment="1" applyProtection="1">
      <alignment vertical="center" wrapText="1"/>
      <protection/>
    </xf>
    <xf numFmtId="0" fontId="64" fillId="0" borderId="46" xfId="0" applyFont="1" applyBorder="1" applyAlignment="1" applyProtection="1">
      <alignment vertical="center" wrapText="1"/>
      <protection/>
    </xf>
    <xf numFmtId="0" fontId="64" fillId="0" borderId="15" xfId="0" applyFont="1" applyBorder="1" applyAlignment="1" applyProtection="1">
      <alignment vertical="center" wrapText="1"/>
      <protection/>
    </xf>
    <xf numFmtId="0" fontId="64" fillId="0" borderId="28" xfId="0" applyFont="1" applyBorder="1" applyAlignment="1" applyProtection="1">
      <alignment horizontal="center" vertical="center"/>
      <protection/>
    </xf>
    <xf numFmtId="0" fontId="59" fillId="0" borderId="0" xfId="0" applyFont="1" applyAlignment="1" applyProtection="1">
      <alignment horizontal="justify" vertical="center" wrapText="1"/>
      <protection/>
    </xf>
    <xf numFmtId="0" fontId="59" fillId="0" borderId="30" xfId="0" applyFont="1" applyBorder="1" applyAlignment="1" applyProtection="1">
      <alignment horizontal="justify" vertical="center" wrapText="1"/>
      <protection/>
    </xf>
    <xf numFmtId="0" fontId="59" fillId="0" borderId="68" xfId="0" applyFont="1" applyBorder="1" applyAlignment="1" applyProtection="1">
      <alignment horizontal="justify" vertical="center" wrapText="1"/>
      <protection/>
    </xf>
    <xf numFmtId="0" fontId="64" fillId="0" borderId="47" xfId="0" applyFont="1" applyBorder="1" applyAlignment="1" applyProtection="1">
      <alignment horizontal="center" vertical="center"/>
      <protection/>
    </xf>
    <xf numFmtId="0" fontId="64" fillId="0" borderId="46" xfId="0" applyFont="1" applyBorder="1" applyAlignment="1" applyProtection="1">
      <alignment horizontal="center" vertical="center"/>
      <protection/>
    </xf>
    <xf numFmtId="0" fontId="59" fillId="0" borderId="11" xfId="0" applyFont="1" applyBorder="1" applyAlignment="1" applyProtection="1">
      <alignment horizontal="justify" vertical="center" wrapText="1"/>
      <protection/>
    </xf>
    <xf numFmtId="0" fontId="59" fillId="0" borderId="84"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4" fillId="0" borderId="66" xfId="0" applyFont="1" applyBorder="1" applyAlignment="1" applyProtection="1">
      <alignment horizontal="center" vertical="center"/>
      <protection/>
    </xf>
    <xf numFmtId="0" fontId="59" fillId="0" borderId="9" xfId="0" applyFont="1" applyBorder="1" applyAlignment="1" applyProtection="1">
      <alignment horizontal="center" vertical="center"/>
      <protection/>
    </xf>
    <xf numFmtId="0" fontId="59" fillId="0" borderId="36" xfId="0" applyFont="1" applyBorder="1" applyAlignment="1" applyProtection="1">
      <alignment horizontal="center" vertical="center"/>
      <protection/>
    </xf>
    <xf numFmtId="0" fontId="59" fillId="0" borderId="25" xfId="0" applyFont="1" applyBorder="1" applyAlignment="1" applyProtection="1">
      <alignment horizontal="center" vertical="center"/>
      <protection/>
    </xf>
    <xf numFmtId="0" fontId="59" fillId="0" borderId="44" xfId="0" applyFont="1" applyBorder="1" applyAlignment="1" applyProtection="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Style 1" xfId="67"/>
    <cellStyle name="Title" xfId="68"/>
    <cellStyle name="Total" xfId="69"/>
    <cellStyle name="Warning Text" xfId="7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571500</xdr:colOff>
      <xdr:row>56</xdr:row>
      <xdr:rowOff>66675</xdr:rowOff>
    </xdr:to>
    <xdr:sp>
      <xdr:nvSpPr>
        <xdr:cNvPr id="1" name="TextBox 2"/>
        <xdr:cNvSpPr txBox="1">
          <a:spLocks noChangeArrowheads="1"/>
        </xdr:cNvSpPr>
      </xdr:nvSpPr>
      <xdr:spPr>
        <a:xfrm>
          <a:off x="19050" y="9525"/>
          <a:ext cx="5867400" cy="101536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FEBRUARY AND MAY 2019 PAYMENT ELIGIBILITY 
[PI-SNSP-0103 (10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as if it were the paper version and print each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report is due by May 1, 2019.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5</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January 2019 Enrollment Audit.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 report may be scanned and emailed to snsp@dpi.wi.gov. Note the individual email size limit for this mailbox is 15 mb. Reports should not be sent to individual team members or have individual team members cc'd on reports emailed to snsp@dpi.wi.gov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723900</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tabSelected="1" zoomScale="85" zoomScaleNormal="85" workbookViewId="0" topLeftCell="A1">
      <selection activeCell="M12" sqref="M12"/>
    </sheetView>
  </sheetViews>
  <sheetFormatPr defaultColWidth="9.140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sheetData>
  <sheetProtection password="EC9D" sheet="1" objects="1" scenarios="1" selectLockedCells="1" selectUnlockedCells="1"/>
  <printOptions horizontalCentered="1"/>
  <pageMargins left="0.5" right="0.5" top="0.5" bottom="0.5"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44"/>
  <sheetViews>
    <sheetView showGridLines="0" workbookViewId="0" topLeftCell="A1">
      <selection activeCell="M12" sqref="M12"/>
    </sheetView>
  </sheetViews>
  <sheetFormatPr defaultColWidth="9.140625" defaultRowHeight="15"/>
  <cols>
    <col min="1" max="1" width="4.7109375" style="184" customWidth="1"/>
    <col min="2" max="2" width="21.57421875" style="4" customWidth="1"/>
    <col min="3" max="3" width="19.7109375" style="4" customWidth="1"/>
    <col min="4" max="4" width="11.7109375" style="4" customWidth="1"/>
    <col min="5" max="5" width="11.7109375" style="26" customWidth="1"/>
    <col min="6" max="9" width="11.7109375" style="4" customWidth="1"/>
    <col min="10" max="16384" width="9.140625" style="4" customWidth="1"/>
  </cols>
  <sheetData>
    <row r="1" spans="1:9" s="26" customFormat="1" ht="15" customHeight="1">
      <c r="A1" s="460" t="str">
        <f>IF(ISBLANK('Cover Page'!A4),"School Name",'Cover Page'!A4)</f>
        <v>School Name</v>
      </c>
      <c r="B1" s="460"/>
      <c r="C1" s="460"/>
      <c r="D1" s="460"/>
      <c r="E1" s="460"/>
      <c r="F1" s="460"/>
      <c r="G1" s="460"/>
      <c r="H1" s="460"/>
      <c r="I1" s="460"/>
    </row>
    <row r="2" spans="1:9" ht="15" customHeight="1">
      <c r="A2" s="438" t="str">
        <f>'Schedule 2'!B2</f>
        <v>January 11, 2019 SNSP Enrollment Audit</v>
      </c>
      <c r="B2" s="438"/>
      <c r="C2" s="438"/>
      <c r="D2" s="438"/>
      <c r="E2" s="438"/>
      <c r="F2" s="438"/>
      <c r="G2" s="438"/>
      <c r="H2" s="438"/>
      <c r="I2" s="438"/>
    </row>
    <row r="3" spans="1:9" ht="15" customHeight="1" thickBot="1">
      <c r="A3" s="461" t="s">
        <v>196</v>
      </c>
      <c r="B3" s="461"/>
      <c r="C3" s="461"/>
      <c r="D3" s="461"/>
      <c r="E3" s="461"/>
      <c r="F3" s="461"/>
      <c r="G3" s="461"/>
      <c r="H3" s="461"/>
      <c r="I3" s="461"/>
    </row>
    <row r="4" spans="1:10" ht="18" customHeight="1" thickBot="1" thickTop="1">
      <c r="A4" s="121"/>
      <c r="B4" s="122"/>
      <c r="C4" s="465" t="s">
        <v>134</v>
      </c>
      <c r="D4" s="465"/>
      <c r="E4" s="465"/>
      <c r="F4" s="465"/>
      <c r="G4" s="465"/>
      <c r="H4" s="55"/>
      <c r="I4" s="55"/>
      <c r="J4" s="26"/>
    </row>
    <row r="5" spans="1:9" s="138" customFormat="1" ht="16.5" customHeight="1">
      <c r="A5" s="136"/>
      <c r="B5" s="137"/>
      <c r="C5" s="123"/>
      <c r="D5" s="462" t="s">
        <v>128</v>
      </c>
      <c r="E5" s="463"/>
      <c r="F5" s="462" t="s">
        <v>135</v>
      </c>
      <c r="G5" s="463"/>
      <c r="H5" s="464" t="s">
        <v>136</v>
      </c>
      <c r="I5" s="464"/>
    </row>
    <row r="6" spans="1:9" s="56" customFormat="1" ht="16.5" customHeight="1">
      <c r="A6" s="182" t="s">
        <v>197</v>
      </c>
      <c r="B6" s="77" t="s">
        <v>72</v>
      </c>
      <c r="C6" s="78"/>
      <c r="D6" s="105" t="s">
        <v>129</v>
      </c>
      <c r="E6" s="106" t="s">
        <v>83</v>
      </c>
      <c r="F6" s="105" t="s">
        <v>129</v>
      </c>
      <c r="G6" s="106" t="s">
        <v>83</v>
      </c>
      <c r="H6" s="102" t="s">
        <v>129</v>
      </c>
      <c r="I6" s="185" t="s">
        <v>83</v>
      </c>
    </row>
    <row r="7" spans="1:9" s="12" customFormat="1" ht="16.5" customHeight="1">
      <c r="A7" s="70">
        <v>1</v>
      </c>
      <c r="B7" s="276" t="s">
        <v>73</v>
      </c>
      <c r="C7" s="101"/>
      <c r="D7" s="107">
        <f>'Schedule 1-2'!E8</f>
        <v>0</v>
      </c>
      <c r="E7" s="108">
        <f>+D7*0.5</f>
        <v>0</v>
      </c>
      <c r="F7" s="107">
        <f>'Schedule 1-2'!E20</f>
        <v>0</v>
      </c>
      <c r="G7" s="108">
        <f>+F7*0.5</f>
        <v>0</v>
      </c>
      <c r="H7" s="117">
        <f>D7+F7</f>
        <v>0</v>
      </c>
      <c r="I7" s="71">
        <f>+H7*0.5</f>
        <v>0</v>
      </c>
    </row>
    <row r="8" spans="1:9" s="12" customFormat="1" ht="16.5" customHeight="1">
      <c r="A8" s="15">
        <v>2</v>
      </c>
      <c r="B8" s="260" t="s">
        <v>74</v>
      </c>
      <c r="C8" s="275"/>
      <c r="D8" s="109">
        <f>'Schedule 1-2'!E9</f>
        <v>0</v>
      </c>
      <c r="E8" s="110">
        <f>+D8*0.6</f>
        <v>0</v>
      </c>
      <c r="F8" s="109">
        <f>'Schedule 1-2'!E21</f>
        <v>0</v>
      </c>
      <c r="G8" s="110">
        <f>+F8*0.6</f>
        <v>0</v>
      </c>
      <c r="H8" s="117">
        <f aca="true" t="shared" si="0" ref="H8:H13">D8+F8</f>
        <v>0</v>
      </c>
      <c r="I8" s="71">
        <f>+H8*0.6</f>
        <v>0</v>
      </c>
    </row>
    <row r="9" spans="1:9" s="12" customFormat="1" ht="16.5" customHeight="1">
      <c r="A9" s="15">
        <v>3</v>
      </c>
      <c r="B9" s="260" t="s">
        <v>75</v>
      </c>
      <c r="C9" s="275"/>
      <c r="D9" s="109">
        <f>'Schedule 1-2'!E10</f>
        <v>0</v>
      </c>
      <c r="E9" s="110">
        <f>+D9*0.5</f>
        <v>0</v>
      </c>
      <c r="F9" s="109">
        <f>'Schedule 1-2'!E22</f>
        <v>0</v>
      </c>
      <c r="G9" s="110">
        <f>+F9*0.5</f>
        <v>0</v>
      </c>
      <c r="H9" s="117">
        <f t="shared" si="0"/>
        <v>0</v>
      </c>
      <c r="I9" s="71">
        <f>+H9*0.5</f>
        <v>0</v>
      </c>
    </row>
    <row r="10" spans="1:9" s="12" customFormat="1" ht="16.5" customHeight="1">
      <c r="A10" s="15">
        <v>4</v>
      </c>
      <c r="B10" s="260" t="s">
        <v>76</v>
      </c>
      <c r="C10" s="275"/>
      <c r="D10" s="109">
        <f>'Schedule 1-2'!E11</f>
        <v>0</v>
      </c>
      <c r="E10" s="110">
        <f>+D10*0.6</f>
        <v>0</v>
      </c>
      <c r="F10" s="109">
        <f>'Schedule 1-2'!E23</f>
        <v>0</v>
      </c>
      <c r="G10" s="110">
        <f>+F10*0.6</f>
        <v>0</v>
      </c>
      <c r="H10" s="117">
        <f t="shared" si="0"/>
        <v>0</v>
      </c>
      <c r="I10" s="71">
        <f>+H10*0.6</f>
        <v>0</v>
      </c>
    </row>
    <row r="11" spans="1:9" s="12" customFormat="1" ht="16.5" customHeight="1">
      <c r="A11" s="15">
        <v>5</v>
      </c>
      <c r="B11" s="260" t="s">
        <v>77</v>
      </c>
      <c r="C11" s="275"/>
      <c r="D11" s="109">
        <f>'Schedule 1-2'!E12</f>
        <v>0</v>
      </c>
      <c r="E11" s="110">
        <f>+D11*0.8</f>
        <v>0</v>
      </c>
      <c r="F11" s="109">
        <f>'Schedule 1-2'!E24</f>
        <v>0</v>
      </c>
      <c r="G11" s="110">
        <f>+F11*0.8</f>
        <v>0</v>
      </c>
      <c r="H11" s="117">
        <f t="shared" si="0"/>
        <v>0</v>
      </c>
      <c r="I11" s="71">
        <f>+H11*0.8</f>
        <v>0</v>
      </c>
    </row>
    <row r="12" spans="1:9" s="12" customFormat="1" ht="16.5" customHeight="1">
      <c r="A12" s="15">
        <v>6</v>
      </c>
      <c r="B12" s="260" t="s">
        <v>78</v>
      </c>
      <c r="C12" s="275"/>
      <c r="D12" s="109">
        <f>'Schedule 1-2'!E13</f>
        <v>0</v>
      </c>
      <c r="E12" s="110">
        <f>D12</f>
        <v>0</v>
      </c>
      <c r="F12" s="109">
        <f>'Schedule 1-2'!E25</f>
        <v>0</v>
      </c>
      <c r="G12" s="110">
        <f>F12</f>
        <v>0</v>
      </c>
      <c r="H12" s="117">
        <f t="shared" si="0"/>
        <v>0</v>
      </c>
      <c r="I12" s="71">
        <f>H12</f>
        <v>0</v>
      </c>
    </row>
    <row r="13" spans="1:9" s="12" customFormat="1" ht="16.5" customHeight="1" thickBot="1">
      <c r="A13" s="63">
        <v>7</v>
      </c>
      <c r="B13" s="265" t="s">
        <v>79</v>
      </c>
      <c r="C13" s="92"/>
      <c r="D13" s="107">
        <f>'Schedule 1-2'!E14</f>
        <v>0</v>
      </c>
      <c r="E13" s="111">
        <f>D13</f>
        <v>0</v>
      </c>
      <c r="F13" s="107">
        <f>'Schedule 1-2'!E26</f>
        <v>0</v>
      </c>
      <c r="G13" s="111">
        <f>F13</f>
        <v>0</v>
      </c>
      <c r="H13" s="117">
        <f t="shared" si="0"/>
        <v>0</v>
      </c>
      <c r="I13" s="86">
        <f>H13</f>
        <v>0</v>
      </c>
    </row>
    <row r="14" spans="1:9" s="56" customFormat="1" ht="16.5" customHeight="1" thickBot="1">
      <c r="A14" s="27">
        <v>8</v>
      </c>
      <c r="B14" s="96" t="s">
        <v>147</v>
      </c>
      <c r="C14" s="95"/>
      <c r="D14" s="112">
        <f aca="true" t="shared" si="1" ref="D14:I14">SUM(D7:D13)</f>
        <v>0</v>
      </c>
      <c r="E14" s="113">
        <f t="shared" si="1"/>
        <v>0</v>
      </c>
      <c r="F14" s="112">
        <f t="shared" si="1"/>
        <v>0</v>
      </c>
      <c r="G14" s="113">
        <f t="shared" si="1"/>
        <v>0</v>
      </c>
      <c r="H14" s="118">
        <f t="shared" si="1"/>
        <v>0</v>
      </c>
      <c r="I14" s="72">
        <f t="shared" si="1"/>
        <v>0</v>
      </c>
    </row>
    <row r="15" spans="1:9" s="12" customFormat="1" ht="16.5" customHeight="1" thickBot="1">
      <c r="A15" s="64">
        <v>9</v>
      </c>
      <c r="B15" s="97" t="s">
        <v>145</v>
      </c>
      <c r="C15" s="93"/>
      <c r="D15" s="114"/>
      <c r="E15" s="115">
        <f>12431*0.5</f>
        <v>6215.5</v>
      </c>
      <c r="F15" s="114"/>
      <c r="G15" s="115">
        <f>7754*0.5</f>
        <v>3877</v>
      </c>
      <c r="H15" s="103"/>
      <c r="I15" s="124"/>
    </row>
    <row r="16" spans="1:9" s="12" customFormat="1" ht="16.5" customHeight="1" thickBot="1">
      <c r="A16" s="64">
        <v>10</v>
      </c>
      <c r="B16" s="98" t="s">
        <v>130</v>
      </c>
      <c r="C16" s="94"/>
      <c r="D16" s="116"/>
      <c r="E16" s="120">
        <f>E14*E15</f>
        <v>0</v>
      </c>
      <c r="F16" s="116"/>
      <c r="G16" s="120">
        <f>G14*G15</f>
        <v>0</v>
      </c>
      <c r="H16" s="104"/>
      <c r="I16" s="91">
        <f>E16+G16</f>
        <v>0</v>
      </c>
    </row>
    <row r="17" spans="1:10" ht="16.5" customHeight="1" thickTop="1">
      <c r="A17" s="57"/>
      <c r="B17" s="55"/>
      <c r="C17" s="401" t="s">
        <v>131</v>
      </c>
      <c r="D17" s="401"/>
      <c r="E17" s="401"/>
      <c r="F17" s="401"/>
      <c r="G17" s="459"/>
      <c r="H17" s="55"/>
      <c r="I17" s="55"/>
      <c r="J17" s="26"/>
    </row>
    <row r="18" spans="1:10" s="12" customFormat="1" ht="16.5" customHeight="1" thickBot="1">
      <c r="A18" s="63">
        <v>11</v>
      </c>
      <c r="B18" s="265" t="s">
        <v>132</v>
      </c>
      <c r="C18" s="92"/>
      <c r="D18" s="84">
        <f>'Schedule 1-2'!E15</f>
        <v>0</v>
      </c>
      <c r="E18" s="85">
        <f>D18</f>
        <v>0</v>
      </c>
      <c r="F18" s="84">
        <f>'Schedule 1-2'!E27</f>
        <v>0</v>
      </c>
      <c r="G18" s="85">
        <f>F18</f>
        <v>0</v>
      </c>
      <c r="H18" s="117">
        <f>D18+F18</f>
        <v>0</v>
      </c>
      <c r="I18" s="86">
        <f>H18</f>
        <v>0</v>
      </c>
      <c r="J18" s="29"/>
    </row>
    <row r="19" spans="1:10" s="12" customFormat="1" ht="16.5" customHeight="1" thickBot="1">
      <c r="A19" s="27">
        <v>12</v>
      </c>
      <c r="B19" s="97" t="s">
        <v>146</v>
      </c>
      <c r="C19" s="93"/>
      <c r="D19" s="87"/>
      <c r="E19" s="88">
        <f>12431*0.5</f>
        <v>6215.5</v>
      </c>
      <c r="F19" s="87"/>
      <c r="G19" s="88">
        <f>8400*0.5</f>
        <v>4200</v>
      </c>
      <c r="H19" s="103"/>
      <c r="I19" s="124"/>
      <c r="J19" s="29"/>
    </row>
    <row r="20" spans="1:10" s="12" customFormat="1" ht="16.5" customHeight="1" thickBot="1">
      <c r="A20" s="27">
        <v>13</v>
      </c>
      <c r="B20" s="98" t="s">
        <v>133</v>
      </c>
      <c r="C20" s="94"/>
      <c r="D20" s="89"/>
      <c r="E20" s="90">
        <f>E18*E19</f>
        <v>0</v>
      </c>
      <c r="F20" s="89"/>
      <c r="G20" s="90">
        <f>G18*G19</f>
        <v>0</v>
      </c>
      <c r="H20" s="104"/>
      <c r="I20" s="91">
        <f>E20+G20</f>
        <v>0</v>
      </c>
      <c r="J20" s="29"/>
    </row>
    <row r="21" spans="1:10" ht="16.5" customHeight="1" thickTop="1">
      <c r="A21" s="57"/>
      <c r="B21" s="55"/>
      <c r="C21" s="401" t="s">
        <v>153</v>
      </c>
      <c r="D21" s="401"/>
      <c r="E21" s="401"/>
      <c r="F21" s="401"/>
      <c r="G21" s="401"/>
      <c r="H21" s="125"/>
      <c r="I21" s="122"/>
      <c r="J21" s="26"/>
    </row>
    <row r="22" spans="1:10" ht="16.5" customHeight="1" thickBot="1">
      <c r="A22" s="119">
        <v>14</v>
      </c>
      <c r="B22" s="276" t="s">
        <v>317</v>
      </c>
      <c r="C22" s="277"/>
      <c r="D22" s="131">
        <f aca="true" t="shared" si="2" ref="D22:I22">D14+D18</f>
        <v>0</v>
      </c>
      <c r="E22" s="241">
        <f t="shared" si="2"/>
        <v>0</v>
      </c>
      <c r="F22" s="242">
        <f t="shared" si="2"/>
        <v>0</v>
      </c>
      <c r="G22" s="243">
        <f t="shared" si="2"/>
        <v>0</v>
      </c>
      <c r="H22" s="117">
        <f t="shared" si="2"/>
        <v>0</v>
      </c>
      <c r="I22" s="71">
        <f t="shared" si="2"/>
        <v>0</v>
      </c>
      <c r="J22" s="26"/>
    </row>
    <row r="23" spans="1:10" ht="16.5" customHeight="1" thickTop="1">
      <c r="A23" s="57"/>
      <c r="B23" s="55"/>
      <c r="C23" s="401" t="s">
        <v>137</v>
      </c>
      <c r="D23" s="401"/>
      <c r="E23" s="401"/>
      <c r="F23" s="401"/>
      <c r="G23" s="401"/>
      <c r="H23" s="132"/>
      <c r="I23" s="55"/>
      <c r="J23" s="26"/>
    </row>
    <row r="24" spans="1:10" s="12" customFormat="1" ht="16.5" customHeight="1">
      <c r="A24" s="119">
        <v>15</v>
      </c>
      <c r="B24" s="384" t="s">
        <v>358</v>
      </c>
      <c r="C24" s="469"/>
      <c r="D24" s="469"/>
      <c r="E24" s="469"/>
      <c r="F24" s="469"/>
      <c r="G24" s="469"/>
      <c r="H24" s="385"/>
      <c r="I24" s="133">
        <f>SUM(I16,I20)</f>
        <v>0</v>
      </c>
      <c r="J24" s="29"/>
    </row>
    <row r="25" spans="1:9" s="12" customFormat="1" ht="16.5" customHeight="1" thickBot="1">
      <c r="A25" s="63">
        <v>16</v>
      </c>
      <c r="B25" s="466" t="s">
        <v>359</v>
      </c>
      <c r="C25" s="467"/>
      <c r="D25" s="467"/>
      <c r="E25" s="467"/>
      <c r="F25" s="467"/>
      <c r="G25" s="467"/>
      <c r="H25" s="468"/>
      <c r="I25" s="134">
        <f>IF('Cover Page'!A4="",0,VLOOKUP('Cover Page'!$A$4,Counts!A2:AB77,Counts!AB90,FALSE))</f>
        <v>0</v>
      </c>
    </row>
    <row r="26" spans="1:9" s="56" customFormat="1" ht="16.5" customHeight="1" thickBot="1">
      <c r="A26" s="27">
        <v>17</v>
      </c>
      <c r="B26" s="479" t="s">
        <v>360</v>
      </c>
      <c r="C26" s="480"/>
      <c r="D26" s="480"/>
      <c r="E26" s="480"/>
      <c r="F26" s="480"/>
      <c r="G26" s="480"/>
      <c r="H26" s="481"/>
      <c r="I26" s="91">
        <f>I24-I25</f>
        <v>0</v>
      </c>
    </row>
    <row r="27" spans="1:10" s="12" customFormat="1" ht="16.5" customHeight="1" hidden="1">
      <c r="A27" s="119">
        <v>18</v>
      </c>
      <c r="B27" s="476" t="s">
        <v>218</v>
      </c>
      <c r="C27" s="477"/>
      <c r="D27" s="477"/>
      <c r="E27" s="477"/>
      <c r="F27" s="477"/>
      <c r="G27" s="477"/>
      <c r="H27" s="478"/>
      <c r="I27" s="212"/>
      <c r="J27" s="29"/>
    </row>
    <row r="28" spans="1:9" s="12" customFormat="1" ht="16.5" customHeight="1" hidden="1" thickBot="1">
      <c r="A28" s="64">
        <v>19</v>
      </c>
      <c r="B28" s="466" t="s">
        <v>217</v>
      </c>
      <c r="C28" s="467"/>
      <c r="D28" s="467"/>
      <c r="E28" s="467"/>
      <c r="F28" s="467"/>
      <c r="G28" s="467"/>
      <c r="H28" s="468"/>
      <c r="I28" s="134"/>
    </row>
    <row r="29" spans="1:9" s="56" customFormat="1" ht="16.5" customHeight="1" hidden="1" thickBot="1">
      <c r="A29" s="27">
        <v>20</v>
      </c>
      <c r="B29" s="473" t="s">
        <v>347</v>
      </c>
      <c r="C29" s="474"/>
      <c r="D29" s="474"/>
      <c r="E29" s="474"/>
      <c r="F29" s="474"/>
      <c r="G29" s="474"/>
      <c r="H29" s="475"/>
      <c r="I29" s="91">
        <f>I27-I28</f>
        <v>0</v>
      </c>
    </row>
    <row r="30" spans="1:9" s="56" customFormat="1" ht="16.5" customHeight="1" hidden="1" thickBot="1">
      <c r="A30" s="28">
        <v>21</v>
      </c>
      <c r="B30" s="470" t="s">
        <v>348</v>
      </c>
      <c r="C30" s="471"/>
      <c r="D30" s="471"/>
      <c r="E30" s="471"/>
      <c r="F30" s="471"/>
      <c r="G30" s="471"/>
      <c r="H30" s="472"/>
      <c r="I30" s="135">
        <f>I26+I29</f>
        <v>0</v>
      </c>
    </row>
    <row r="31" spans="1:9" ht="16.5" customHeight="1" thickBot="1" thickTop="1">
      <c r="A31" s="99" t="s">
        <v>314</v>
      </c>
      <c r="B31" s="100"/>
      <c r="C31" s="100"/>
      <c r="D31" s="100"/>
      <c r="E31" s="128"/>
      <c r="F31" s="129"/>
      <c r="G31" s="129"/>
      <c r="H31" s="129"/>
      <c r="I31" s="129"/>
    </row>
    <row r="32" spans="1:4" ht="10.5" thickTop="1">
      <c r="A32" s="183"/>
      <c r="B32" s="26"/>
      <c r="C32" s="26"/>
      <c r="D32" s="26"/>
    </row>
    <row r="33" spans="1:4" ht="9.75">
      <c r="A33" s="183"/>
      <c r="B33" s="26"/>
      <c r="C33" s="26"/>
      <c r="D33" s="26"/>
    </row>
    <row r="34" spans="1:4" ht="9.75">
      <c r="A34" s="183"/>
      <c r="B34" s="26"/>
      <c r="C34" s="26"/>
      <c r="D34" s="26"/>
    </row>
    <row r="35" spans="1:4" ht="9.75">
      <c r="A35" s="183"/>
      <c r="B35" s="26"/>
      <c r="C35" s="26"/>
      <c r="D35" s="26"/>
    </row>
    <row r="36" spans="1:4" ht="9.75">
      <c r="A36" s="183"/>
      <c r="B36" s="26"/>
      <c r="C36" s="26"/>
      <c r="D36" s="26"/>
    </row>
    <row r="37" spans="1:4" ht="9.75">
      <c r="A37" s="183"/>
      <c r="B37" s="26"/>
      <c r="C37" s="26"/>
      <c r="D37" s="26"/>
    </row>
    <row r="38" spans="1:4" ht="9.75">
      <c r="A38" s="183"/>
      <c r="B38" s="26"/>
      <c r="C38" s="26"/>
      <c r="D38" s="26"/>
    </row>
    <row r="39" spans="1:4" ht="9.75">
      <c r="A39" s="183"/>
      <c r="B39" s="26"/>
      <c r="C39" s="26"/>
      <c r="D39" s="26"/>
    </row>
    <row r="40" spans="1:4" ht="9.75">
      <c r="A40" s="183"/>
      <c r="B40" s="26"/>
      <c r="C40" s="26"/>
      <c r="D40" s="26"/>
    </row>
    <row r="41" spans="1:4" ht="9.75">
      <c r="A41" s="183"/>
      <c r="B41" s="26"/>
      <c r="C41" s="26"/>
      <c r="D41" s="26"/>
    </row>
    <row r="42" spans="1:4" ht="9.75">
      <c r="A42" s="183"/>
      <c r="B42" s="26"/>
      <c r="C42" s="26"/>
      <c r="D42" s="26"/>
    </row>
    <row r="43" spans="1:4" ht="9.75">
      <c r="A43" s="183"/>
      <c r="B43" s="26"/>
      <c r="C43" s="26"/>
      <c r="D43" s="26"/>
    </row>
    <row r="44" spans="1:4" ht="9.75">
      <c r="A44" s="183"/>
      <c r="B44" s="26"/>
      <c r="C44" s="26"/>
      <c r="D44" s="26"/>
    </row>
  </sheetData>
  <sheetProtection password="EC9D" sheet="1"/>
  <mergeCells count="17">
    <mergeCell ref="B25:H25"/>
    <mergeCell ref="B24:H24"/>
    <mergeCell ref="C21:G21"/>
    <mergeCell ref="B30:H30"/>
    <mergeCell ref="B29:H29"/>
    <mergeCell ref="B28:H28"/>
    <mergeCell ref="B27:H27"/>
    <mergeCell ref="B26:H26"/>
    <mergeCell ref="C17:G17"/>
    <mergeCell ref="C23:G23"/>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landscape" r:id="rId1"/>
  <headerFooter>
    <oddHeader>&amp;L&amp;"Arial,Regular"&amp;8Page 7&amp;R&amp;"Arial,Regular"&amp;8PI-SNSP-0103 (10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S108"/>
  <sheetViews>
    <sheetView showGridLines="0" workbookViewId="0" topLeftCell="A1">
      <pane ySplit="8" topLeftCell="A9" activePane="bottomLeft" state="frozen"/>
      <selection pane="topLeft" activeCell="L7" sqref="L7"/>
      <selection pane="bottomLeft" activeCell="A4" sqref="A4:H4"/>
    </sheetView>
  </sheetViews>
  <sheetFormatPr defaultColWidth="9.140625" defaultRowHeight="15"/>
  <cols>
    <col min="1" max="1" width="4.421875" style="4" customWidth="1"/>
    <col min="2" max="2" width="8.8515625" style="4" customWidth="1"/>
    <col min="3" max="3" width="9.7109375" style="4" customWidth="1"/>
    <col min="4" max="5" width="17.7109375" style="4" customWidth="1"/>
    <col min="6" max="6" width="10.7109375" style="145" customWidth="1"/>
    <col min="7" max="7" width="10.28125" style="4" customWidth="1"/>
    <col min="8" max="8" width="9.57421875" style="4" customWidth="1"/>
    <col min="9" max="9" width="2.421875" style="4" customWidth="1"/>
    <col min="10" max="10" width="11.140625" style="4" customWidth="1"/>
    <col min="11" max="11" width="12.8515625" style="4" customWidth="1"/>
    <col min="12" max="12" width="11.140625" style="4" customWidth="1"/>
    <col min="13" max="13" width="2.421875" style="4" customWidth="1"/>
    <col min="14" max="14" width="11.8515625" style="4" customWidth="1"/>
    <col min="15" max="16" width="11.8515625" style="176" customWidth="1"/>
    <col min="17" max="19" width="9.140625" style="4" customWidth="1"/>
    <col min="20" max="16384" width="9.140625" style="4" customWidth="1"/>
  </cols>
  <sheetData>
    <row r="1" spans="1:16" s="12" customFormat="1" ht="15" customHeight="1">
      <c r="A1" s="424" t="str">
        <f>'Schedule 2'!B1</f>
        <v>School Name</v>
      </c>
      <c r="B1" s="424"/>
      <c r="C1" s="424"/>
      <c r="D1" s="424"/>
      <c r="E1" s="424"/>
      <c r="F1" s="424"/>
      <c r="G1" s="424"/>
      <c r="H1" s="424"/>
      <c r="O1" s="195"/>
      <c r="P1" s="195"/>
    </row>
    <row r="2" spans="1:16" s="12" customFormat="1" ht="15" customHeight="1">
      <c r="A2" s="424" t="str">
        <f>'Schedule 2'!B2</f>
        <v>January 11, 2019 SNSP Enrollment Audit</v>
      </c>
      <c r="B2" s="424"/>
      <c r="C2" s="424"/>
      <c r="D2" s="424"/>
      <c r="E2" s="424"/>
      <c r="F2" s="424"/>
      <c r="G2" s="424"/>
      <c r="H2" s="424"/>
      <c r="I2" s="164"/>
      <c r="O2" s="195"/>
      <c r="P2" s="195"/>
    </row>
    <row r="3" spans="1:16" s="12" customFormat="1" ht="15" customHeight="1">
      <c r="A3" s="424" t="s">
        <v>216</v>
      </c>
      <c r="B3" s="424"/>
      <c r="C3" s="424"/>
      <c r="D3" s="424"/>
      <c r="E3" s="424"/>
      <c r="F3" s="424"/>
      <c r="G3" s="424"/>
      <c r="H3" s="424"/>
      <c r="O3" s="195"/>
      <c r="P3" s="195"/>
    </row>
    <row r="4" spans="1:16" s="12" customFormat="1" ht="90" customHeight="1" thickBot="1">
      <c r="A4" s="483" t="s">
        <v>213</v>
      </c>
      <c r="B4" s="483"/>
      <c r="C4" s="483"/>
      <c r="D4" s="483"/>
      <c r="E4" s="483"/>
      <c r="F4" s="483"/>
      <c r="G4" s="483"/>
      <c r="H4" s="483"/>
      <c r="O4" s="195"/>
      <c r="P4" s="195"/>
    </row>
    <row r="5" spans="1:16" s="12" customFormat="1" ht="33" customHeight="1" thickTop="1">
      <c r="A5" s="488" t="s">
        <v>212</v>
      </c>
      <c r="B5" s="488"/>
      <c r="C5" s="488"/>
      <c r="D5" s="488"/>
      <c r="E5" s="488"/>
      <c r="F5" s="488"/>
      <c r="G5" s="489"/>
      <c r="H5" s="197"/>
      <c r="O5" s="195"/>
      <c r="P5" s="195"/>
    </row>
    <row r="6" spans="1:16" s="12" customFormat="1" ht="35.25" customHeight="1" thickBot="1">
      <c r="A6" s="484" t="s">
        <v>205</v>
      </c>
      <c r="B6" s="484"/>
      <c r="C6" s="484"/>
      <c r="D6" s="484"/>
      <c r="E6" s="484"/>
      <c r="F6" s="484"/>
      <c r="G6" s="485"/>
      <c r="H6" s="196">
        <f>IF(H5="N/A","N/A","")</f>
      </c>
      <c r="O6" s="195"/>
      <c r="P6" s="195"/>
    </row>
    <row r="7" spans="1:19" s="12" customFormat="1" ht="18.75" customHeight="1" thickTop="1">
      <c r="A7" s="165"/>
      <c r="B7" s="165"/>
      <c r="C7" s="165"/>
      <c r="D7" s="490" t="s">
        <v>181</v>
      </c>
      <c r="E7" s="490"/>
      <c r="F7" s="490"/>
      <c r="G7" s="165"/>
      <c r="H7" s="165"/>
      <c r="J7" s="482" t="s">
        <v>182</v>
      </c>
      <c r="K7" s="482"/>
      <c r="L7" s="482"/>
      <c r="M7" s="266"/>
      <c r="N7" s="482" t="s">
        <v>204</v>
      </c>
      <c r="O7" s="482"/>
      <c r="P7" s="482"/>
      <c r="Q7" s="482"/>
      <c r="R7" s="482"/>
      <c r="S7" s="482"/>
    </row>
    <row r="8" spans="1:19" s="271" customFormat="1" ht="45.75" customHeight="1">
      <c r="A8" s="272" t="s">
        <v>45</v>
      </c>
      <c r="B8" s="272" t="s">
        <v>183</v>
      </c>
      <c r="C8" s="262" t="s">
        <v>80</v>
      </c>
      <c r="D8" s="264" t="s">
        <v>167</v>
      </c>
      <c r="E8" s="199" t="s">
        <v>168</v>
      </c>
      <c r="F8" s="264" t="s">
        <v>112</v>
      </c>
      <c r="G8" s="264" t="s">
        <v>185</v>
      </c>
      <c r="H8" s="263" t="s">
        <v>186</v>
      </c>
      <c r="J8" s="338" t="s">
        <v>187</v>
      </c>
      <c r="K8" s="338" t="s">
        <v>188</v>
      </c>
      <c r="L8" s="338" t="s">
        <v>189</v>
      </c>
      <c r="M8" s="338"/>
      <c r="N8" s="338" t="s">
        <v>184</v>
      </c>
      <c r="O8" s="339" t="s">
        <v>203</v>
      </c>
      <c r="P8" s="339" t="s">
        <v>202</v>
      </c>
      <c r="Q8" s="335" t="s">
        <v>190</v>
      </c>
      <c r="R8" s="335" t="s">
        <v>191</v>
      </c>
      <c r="S8" s="335" t="s">
        <v>192</v>
      </c>
    </row>
    <row r="9" spans="1:19" s="12" customFormat="1" ht="15" customHeight="1">
      <c r="A9" s="14">
        <v>1</v>
      </c>
      <c r="B9" s="17"/>
      <c r="C9" s="18"/>
      <c r="D9" s="18"/>
      <c r="E9" s="198"/>
      <c r="F9" s="200"/>
      <c r="G9" s="167"/>
      <c r="H9" s="168"/>
      <c r="J9" s="172">
        <f aca="true" t="shared" si="0" ref="J9:J33">IF(AND(D9="",E9=""),"",IF(OR(B9="",C9="",D9="",E9="",F9=""),"Yes","No"))</f>
      </c>
      <c r="K9" s="172">
        <f aca="true" t="shared" si="1" ref="K9:K33">IF(AND(D9="",E9=""),"",IF(G9="","Yes","No"))</f>
      </c>
      <c r="L9" s="172">
        <f aca="true" t="shared" si="2" ref="L9:L33">IF(AND(D9="",E9=""),"",IF(H9="","Yes","No"))</f>
      </c>
      <c r="M9" s="194"/>
      <c r="N9" s="193">
        <f>IF(ISBLANK($B9),"",VLOOKUP($B9,'Schedule 6'!$B$47:$C$60,2,0))</f>
      </c>
      <c r="O9" s="192">
        <f>IF($B9=0,0,IF($F9="Full",IF(G9&gt;14,ROUND(12207*0.05,2),ROUND(G9/15*12207*0.05,2)),VLOOKUP(G9,$E$49:$G$108,MATCH($N9,$E$48:$G$48,0),FALSE)))</f>
        <v>0</v>
      </c>
      <c r="P9" s="192">
        <f>IF($B9=0,0,IF($F9="Full",IF(H9&gt;14,ROUND(12207*0.05,2),ROUND(H9/15*12207*0.05,2)),VLOOKUP(H9,$E$49:$G$108,MATCH($N9,$E$48:$G$48,0),FALSE)))</f>
        <v>0</v>
      </c>
      <c r="Q9" s="191">
        <f aca="true" t="shared" si="3" ref="Q9:Q33">P9-O9</f>
        <v>0</v>
      </c>
      <c r="R9" s="190">
        <f aca="true" t="shared" si="4" ref="R9:R33">IF(G9=0,IF(H9&gt;0,1,0),0)</f>
        <v>0</v>
      </c>
      <c r="S9" s="190">
        <f aca="true" t="shared" si="5" ref="S9:S33">IF(H9=0,IF(G9&gt;0,-1,0),0)</f>
        <v>0</v>
      </c>
    </row>
    <row r="10" spans="1:19" s="12" customFormat="1" ht="15" customHeight="1">
      <c r="A10" s="14">
        <v>2</v>
      </c>
      <c r="B10" s="17"/>
      <c r="C10" s="18"/>
      <c r="D10" s="18"/>
      <c r="E10" s="198"/>
      <c r="F10" s="200"/>
      <c r="G10" s="167"/>
      <c r="H10" s="168"/>
      <c r="J10" s="166">
        <f t="shared" si="0"/>
      </c>
      <c r="K10" s="166">
        <f t="shared" si="1"/>
      </c>
      <c r="L10" s="166">
        <f t="shared" si="2"/>
      </c>
      <c r="M10" s="169"/>
      <c r="N10" s="193">
        <f>IF(ISBLANK($B10),"",VLOOKUP($B10,'Schedule 6'!$B$47:$C$60,2,0))</f>
      </c>
      <c r="O10" s="192">
        <f aca="true" t="shared" si="6" ref="O10:O33">IF($B10=0,0,IF($F10="Full",IF(G10&gt;14,ROUND(12207*0.05,2),ROUND(G10/15*12207*0.05,2)),VLOOKUP(G10,$E$49:$G$108,MATCH($N10,$E$48:$G$48,0),FALSE)))</f>
        <v>0</v>
      </c>
      <c r="P10" s="192">
        <f aca="true" t="shared" si="7" ref="P10:P33">IF($B10=0,0,IF($F10="Full",IF(H10&gt;14,ROUND(12207*0.05,2),ROUND(H10/15*12207*0.05,2)),VLOOKUP(H10,$E$49:$G$108,MATCH($N10,$E$48:$G$48,0),FALSE)))</f>
        <v>0</v>
      </c>
      <c r="Q10" s="191">
        <f t="shared" si="3"/>
        <v>0</v>
      </c>
      <c r="R10" s="170">
        <f t="shared" si="4"/>
        <v>0</v>
      </c>
      <c r="S10" s="190">
        <f t="shared" si="5"/>
        <v>0</v>
      </c>
    </row>
    <row r="11" spans="1:19" s="12" customFormat="1" ht="15" customHeight="1">
      <c r="A11" s="14">
        <v>3</v>
      </c>
      <c r="B11" s="17"/>
      <c r="C11" s="18"/>
      <c r="D11" s="18"/>
      <c r="E11" s="198"/>
      <c r="F11" s="200"/>
      <c r="G11" s="167"/>
      <c r="H11" s="168"/>
      <c r="J11" s="166">
        <f t="shared" si="0"/>
      </c>
      <c r="K11" s="166">
        <f t="shared" si="1"/>
      </c>
      <c r="L11" s="166">
        <f t="shared" si="2"/>
      </c>
      <c r="M11" s="169"/>
      <c r="N11" s="193">
        <f>IF(ISBLANK($B11),"",VLOOKUP($B11,'Schedule 6'!$B$47:$C$60,2,0))</f>
      </c>
      <c r="O11" s="192">
        <f t="shared" si="6"/>
        <v>0</v>
      </c>
      <c r="P11" s="192">
        <f t="shared" si="7"/>
        <v>0</v>
      </c>
      <c r="Q11" s="191">
        <f t="shared" si="3"/>
        <v>0</v>
      </c>
      <c r="R11" s="170">
        <f t="shared" si="4"/>
        <v>0</v>
      </c>
      <c r="S11" s="190">
        <f t="shared" si="5"/>
        <v>0</v>
      </c>
    </row>
    <row r="12" spans="1:19" s="12" customFormat="1" ht="15" customHeight="1">
      <c r="A12" s="14">
        <v>4</v>
      </c>
      <c r="B12" s="17"/>
      <c r="C12" s="18"/>
      <c r="D12" s="18"/>
      <c r="E12" s="198"/>
      <c r="F12" s="200"/>
      <c r="G12" s="167"/>
      <c r="H12" s="168"/>
      <c r="J12" s="166">
        <f t="shared" si="0"/>
      </c>
      <c r="K12" s="166">
        <f t="shared" si="1"/>
      </c>
      <c r="L12" s="166">
        <f t="shared" si="2"/>
      </c>
      <c r="M12" s="169"/>
      <c r="N12" s="193">
        <f>IF(ISBLANK($B12),"",VLOOKUP($B12,'Schedule 6'!$B$47:$C$60,2,0))</f>
      </c>
      <c r="O12" s="192">
        <f t="shared" si="6"/>
        <v>0</v>
      </c>
      <c r="P12" s="192">
        <f t="shared" si="7"/>
        <v>0</v>
      </c>
      <c r="Q12" s="191">
        <f t="shared" si="3"/>
        <v>0</v>
      </c>
      <c r="R12" s="170">
        <f t="shared" si="4"/>
        <v>0</v>
      </c>
      <c r="S12" s="190">
        <f t="shared" si="5"/>
        <v>0</v>
      </c>
    </row>
    <row r="13" spans="1:19" s="12" customFormat="1" ht="15" customHeight="1">
      <c r="A13" s="14">
        <v>5</v>
      </c>
      <c r="B13" s="17"/>
      <c r="C13" s="18"/>
      <c r="D13" s="18"/>
      <c r="E13" s="198"/>
      <c r="F13" s="200"/>
      <c r="G13" s="167"/>
      <c r="H13" s="168"/>
      <c r="J13" s="166">
        <f t="shared" si="0"/>
      </c>
      <c r="K13" s="166">
        <f t="shared" si="1"/>
      </c>
      <c r="L13" s="166">
        <f t="shared" si="2"/>
      </c>
      <c r="M13" s="169"/>
      <c r="N13" s="193">
        <f>IF(ISBLANK($B13),"",VLOOKUP($B13,'Schedule 6'!$B$47:$C$60,2,0))</f>
      </c>
      <c r="O13" s="192">
        <f t="shared" si="6"/>
        <v>0</v>
      </c>
      <c r="P13" s="192">
        <f t="shared" si="7"/>
        <v>0</v>
      </c>
      <c r="Q13" s="191">
        <f t="shared" si="3"/>
        <v>0</v>
      </c>
      <c r="R13" s="170">
        <f t="shared" si="4"/>
        <v>0</v>
      </c>
      <c r="S13" s="190">
        <f t="shared" si="5"/>
        <v>0</v>
      </c>
    </row>
    <row r="14" spans="1:19" s="12" customFormat="1" ht="15" customHeight="1">
      <c r="A14" s="14">
        <v>6</v>
      </c>
      <c r="B14" s="17"/>
      <c r="C14" s="18"/>
      <c r="D14" s="18"/>
      <c r="E14" s="198"/>
      <c r="F14" s="200"/>
      <c r="G14" s="167"/>
      <c r="H14" s="168"/>
      <c r="J14" s="166">
        <f t="shared" si="0"/>
      </c>
      <c r="K14" s="166">
        <f t="shared" si="1"/>
      </c>
      <c r="L14" s="166">
        <f t="shared" si="2"/>
      </c>
      <c r="M14" s="169"/>
      <c r="N14" s="193">
        <f>IF(ISBLANK($B14),"",VLOOKUP($B14,'Schedule 6'!$B$47:$C$60,2,0))</f>
      </c>
      <c r="O14" s="192">
        <f t="shared" si="6"/>
        <v>0</v>
      </c>
      <c r="P14" s="192">
        <f t="shared" si="7"/>
        <v>0</v>
      </c>
      <c r="Q14" s="191">
        <f t="shared" si="3"/>
        <v>0</v>
      </c>
      <c r="R14" s="170">
        <f t="shared" si="4"/>
        <v>0</v>
      </c>
      <c r="S14" s="190">
        <f t="shared" si="5"/>
        <v>0</v>
      </c>
    </row>
    <row r="15" spans="1:19" s="12" customFormat="1" ht="15" customHeight="1">
      <c r="A15" s="14">
        <v>7</v>
      </c>
      <c r="B15" s="17"/>
      <c r="C15" s="18"/>
      <c r="D15" s="18"/>
      <c r="E15" s="198"/>
      <c r="F15" s="200"/>
      <c r="G15" s="167"/>
      <c r="H15" s="168"/>
      <c r="J15" s="166">
        <f t="shared" si="0"/>
      </c>
      <c r="K15" s="166">
        <f t="shared" si="1"/>
      </c>
      <c r="L15" s="166">
        <f t="shared" si="2"/>
      </c>
      <c r="M15" s="169"/>
      <c r="N15" s="193">
        <f>IF(ISBLANK($B15),"",VLOOKUP($B15,'Schedule 6'!$B$47:$C$60,2,0))</f>
      </c>
      <c r="O15" s="192">
        <f t="shared" si="6"/>
        <v>0</v>
      </c>
      <c r="P15" s="192">
        <f t="shared" si="7"/>
        <v>0</v>
      </c>
      <c r="Q15" s="191">
        <f t="shared" si="3"/>
        <v>0</v>
      </c>
      <c r="R15" s="170">
        <f t="shared" si="4"/>
        <v>0</v>
      </c>
      <c r="S15" s="190">
        <f t="shared" si="5"/>
        <v>0</v>
      </c>
    </row>
    <row r="16" spans="1:19" s="12" customFormat="1" ht="15" customHeight="1">
      <c r="A16" s="14">
        <v>8</v>
      </c>
      <c r="B16" s="17"/>
      <c r="C16" s="18"/>
      <c r="D16" s="18"/>
      <c r="E16" s="198"/>
      <c r="F16" s="200"/>
      <c r="G16" s="167"/>
      <c r="H16" s="168"/>
      <c r="J16" s="166">
        <f t="shared" si="0"/>
      </c>
      <c r="K16" s="166">
        <f t="shared" si="1"/>
      </c>
      <c r="L16" s="166">
        <f t="shared" si="2"/>
      </c>
      <c r="M16" s="169"/>
      <c r="N16" s="193">
        <f>IF(ISBLANK($B16),"",VLOOKUP($B16,'Schedule 6'!$B$47:$C$60,2,0))</f>
      </c>
      <c r="O16" s="192">
        <f t="shared" si="6"/>
        <v>0</v>
      </c>
      <c r="P16" s="192">
        <f t="shared" si="7"/>
        <v>0</v>
      </c>
      <c r="Q16" s="191">
        <f t="shared" si="3"/>
        <v>0</v>
      </c>
      <c r="R16" s="170">
        <f t="shared" si="4"/>
        <v>0</v>
      </c>
      <c r="S16" s="190">
        <f t="shared" si="5"/>
        <v>0</v>
      </c>
    </row>
    <row r="17" spans="1:19" s="12" customFormat="1" ht="15" customHeight="1">
      <c r="A17" s="14">
        <v>9</v>
      </c>
      <c r="B17" s="17"/>
      <c r="C17" s="18"/>
      <c r="D17" s="18"/>
      <c r="E17" s="198"/>
      <c r="F17" s="200"/>
      <c r="G17" s="167"/>
      <c r="H17" s="168"/>
      <c r="J17" s="166">
        <f t="shared" si="0"/>
      </c>
      <c r="K17" s="166">
        <f t="shared" si="1"/>
      </c>
      <c r="L17" s="166">
        <f t="shared" si="2"/>
      </c>
      <c r="M17" s="169"/>
      <c r="N17" s="193">
        <f>IF(ISBLANK($B17),"",VLOOKUP($B17,'Schedule 6'!$B$47:$C$60,2,0))</f>
      </c>
      <c r="O17" s="192">
        <f t="shared" si="6"/>
        <v>0</v>
      </c>
      <c r="P17" s="192">
        <f t="shared" si="7"/>
        <v>0</v>
      </c>
      <c r="Q17" s="191">
        <f t="shared" si="3"/>
        <v>0</v>
      </c>
      <c r="R17" s="170">
        <f t="shared" si="4"/>
        <v>0</v>
      </c>
      <c r="S17" s="190">
        <f t="shared" si="5"/>
        <v>0</v>
      </c>
    </row>
    <row r="18" spans="1:19" s="12" customFormat="1" ht="15" customHeight="1">
      <c r="A18" s="14">
        <v>10</v>
      </c>
      <c r="B18" s="17"/>
      <c r="C18" s="18"/>
      <c r="D18" s="18"/>
      <c r="E18" s="198"/>
      <c r="F18" s="200"/>
      <c r="G18" s="167"/>
      <c r="H18" s="168"/>
      <c r="J18" s="166">
        <f t="shared" si="0"/>
      </c>
      <c r="K18" s="166">
        <f t="shared" si="1"/>
      </c>
      <c r="L18" s="166">
        <f t="shared" si="2"/>
      </c>
      <c r="M18" s="169"/>
      <c r="N18" s="193">
        <f>IF(ISBLANK($B18),"",VLOOKUP($B18,'Schedule 6'!$B$47:$C$60,2,0))</f>
      </c>
      <c r="O18" s="192">
        <f t="shared" si="6"/>
        <v>0</v>
      </c>
      <c r="P18" s="192">
        <f t="shared" si="7"/>
        <v>0</v>
      </c>
      <c r="Q18" s="191">
        <f t="shared" si="3"/>
        <v>0</v>
      </c>
      <c r="R18" s="170">
        <f t="shared" si="4"/>
        <v>0</v>
      </c>
      <c r="S18" s="190">
        <f t="shared" si="5"/>
        <v>0</v>
      </c>
    </row>
    <row r="19" spans="1:19" s="12" customFormat="1" ht="15" customHeight="1">
      <c r="A19" s="14">
        <v>11</v>
      </c>
      <c r="B19" s="17"/>
      <c r="C19" s="18"/>
      <c r="D19" s="18"/>
      <c r="E19" s="198"/>
      <c r="F19" s="200"/>
      <c r="G19" s="167"/>
      <c r="H19" s="168"/>
      <c r="J19" s="166">
        <f t="shared" si="0"/>
      </c>
      <c r="K19" s="166">
        <f t="shared" si="1"/>
      </c>
      <c r="L19" s="166">
        <f t="shared" si="2"/>
      </c>
      <c r="M19" s="169"/>
      <c r="N19" s="193">
        <f>IF(ISBLANK($B19),"",VLOOKUP($B19,'Schedule 6'!$B$47:$C$60,2,0))</f>
      </c>
      <c r="O19" s="192">
        <f t="shared" si="6"/>
        <v>0</v>
      </c>
      <c r="P19" s="192">
        <f t="shared" si="7"/>
        <v>0</v>
      </c>
      <c r="Q19" s="191">
        <f t="shared" si="3"/>
        <v>0</v>
      </c>
      <c r="R19" s="170">
        <f t="shared" si="4"/>
        <v>0</v>
      </c>
      <c r="S19" s="190">
        <f t="shared" si="5"/>
        <v>0</v>
      </c>
    </row>
    <row r="20" spans="1:19" s="12" customFormat="1" ht="15" customHeight="1">
      <c r="A20" s="14">
        <v>12</v>
      </c>
      <c r="B20" s="17"/>
      <c r="C20" s="18"/>
      <c r="D20" s="18"/>
      <c r="E20" s="198"/>
      <c r="F20" s="200"/>
      <c r="G20" s="167"/>
      <c r="H20" s="168"/>
      <c r="J20" s="166">
        <f t="shared" si="0"/>
      </c>
      <c r="K20" s="166">
        <f t="shared" si="1"/>
      </c>
      <c r="L20" s="166">
        <f t="shared" si="2"/>
      </c>
      <c r="M20" s="169"/>
      <c r="N20" s="193">
        <f>IF(ISBLANK($B20),"",VLOOKUP($B20,'Schedule 6'!$B$47:$C$60,2,0))</f>
      </c>
      <c r="O20" s="192">
        <f t="shared" si="6"/>
        <v>0</v>
      </c>
      <c r="P20" s="192">
        <f t="shared" si="7"/>
        <v>0</v>
      </c>
      <c r="Q20" s="191">
        <f t="shared" si="3"/>
        <v>0</v>
      </c>
      <c r="R20" s="170">
        <f t="shared" si="4"/>
        <v>0</v>
      </c>
      <c r="S20" s="190">
        <f t="shared" si="5"/>
        <v>0</v>
      </c>
    </row>
    <row r="21" spans="1:19" s="12" customFormat="1" ht="15" customHeight="1">
      <c r="A21" s="14">
        <v>13</v>
      </c>
      <c r="B21" s="17"/>
      <c r="C21" s="18"/>
      <c r="D21" s="18"/>
      <c r="E21" s="198"/>
      <c r="F21" s="200"/>
      <c r="G21" s="167"/>
      <c r="H21" s="168"/>
      <c r="J21" s="166">
        <f t="shared" si="0"/>
      </c>
      <c r="K21" s="166">
        <f t="shared" si="1"/>
      </c>
      <c r="L21" s="166">
        <f t="shared" si="2"/>
      </c>
      <c r="M21" s="169"/>
      <c r="N21" s="193">
        <f>IF(ISBLANK($B21),"",VLOOKUP($B21,'Schedule 6'!$B$47:$C$60,2,0))</f>
      </c>
      <c r="O21" s="192">
        <f t="shared" si="6"/>
        <v>0</v>
      </c>
      <c r="P21" s="192">
        <f t="shared" si="7"/>
        <v>0</v>
      </c>
      <c r="Q21" s="191">
        <f t="shared" si="3"/>
        <v>0</v>
      </c>
      <c r="R21" s="170">
        <f t="shared" si="4"/>
        <v>0</v>
      </c>
      <c r="S21" s="190">
        <f t="shared" si="5"/>
        <v>0</v>
      </c>
    </row>
    <row r="22" spans="1:19" s="12" customFormat="1" ht="15" customHeight="1">
      <c r="A22" s="14">
        <v>14</v>
      </c>
      <c r="B22" s="17"/>
      <c r="C22" s="18"/>
      <c r="D22" s="18"/>
      <c r="E22" s="198"/>
      <c r="F22" s="200"/>
      <c r="G22" s="167"/>
      <c r="H22" s="168"/>
      <c r="J22" s="166">
        <f t="shared" si="0"/>
      </c>
      <c r="K22" s="166">
        <f t="shared" si="1"/>
      </c>
      <c r="L22" s="166">
        <f t="shared" si="2"/>
      </c>
      <c r="M22" s="169"/>
      <c r="N22" s="193">
        <f>IF(ISBLANK($B22),"",VLOOKUP($B22,'Schedule 6'!$B$47:$C$60,2,0))</f>
      </c>
      <c r="O22" s="192">
        <f t="shared" si="6"/>
        <v>0</v>
      </c>
      <c r="P22" s="192">
        <f t="shared" si="7"/>
        <v>0</v>
      </c>
      <c r="Q22" s="191">
        <f t="shared" si="3"/>
        <v>0</v>
      </c>
      <c r="R22" s="170">
        <f t="shared" si="4"/>
        <v>0</v>
      </c>
      <c r="S22" s="190">
        <f t="shared" si="5"/>
        <v>0</v>
      </c>
    </row>
    <row r="23" spans="1:19" s="12" customFormat="1" ht="15" customHeight="1">
      <c r="A23" s="14">
        <v>15</v>
      </c>
      <c r="B23" s="17"/>
      <c r="C23" s="18"/>
      <c r="D23" s="18"/>
      <c r="E23" s="198"/>
      <c r="F23" s="200"/>
      <c r="G23" s="167"/>
      <c r="H23" s="168"/>
      <c r="J23" s="166">
        <f t="shared" si="0"/>
      </c>
      <c r="K23" s="166">
        <f t="shared" si="1"/>
      </c>
      <c r="L23" s="166">
        <f t="shared" si="2"/>
      </c>
      <c r="M23" s="169"/>
      <c r="N23" s="193">
        <f>IF(ISBLANK($B23),"",VLOOKUP($B23,'Schedule 6'!$B$47:$C$60,2,0))</f>
      </c>
      <c r="O23" s="192">
        <f t="shared" si="6"/>
        <v>0</v>
      </c>
      <c r="P23" s="192">
        <f t="shared" si="7"/>
        <v>0</v>
      </c>
      <c r="Q23" s="191">
        <f t="shared" si="3"/>
        <v>0</v>
      </c>
      <c r="R23" s="170">
        <f t="shared" si="4"/>
        <v>0</v>
      </c>
      <c r="S23" s="190">
        <f t="shared" si="5"/>
        <v>0</v>
      </c>
    </row>
    <row r="24" spans="1:19" s="12" customFormat="1" ht="15" customHeight="1">
      <c r="A24" s="14">
        <v>16</v>
      </c>
      <c r="B24" s="17"/>
      <c r="C24" s="18"/>
      <c r="D24" s="18"/>
      <c r="E24" s="198"/>
      <c r="F24" s="200"/>
      <c r="G24" s="167"/>
      <c r="H24" s="168"/>
      <c r="J24" s="166">
        <f t="shared" si="0"/>
      </c>
      <c r="K24" s="166">
        <f t="shared" si="1"/>
      </c>
      <c r="L24" s="166">
        <f t="shared" si="2"/>
      </c>
      <c r="M24" s="169"/>
      <c r="N24" s="193">
        <f>IF(ISBLANK($B24),"",VLOOKUP($B24,'Schedule 6'!$B$47:$C$60,2,0))</f>
      </c>
      <c r="O24" s="192">
        <f t="shared" si="6"/>
        <v>0</v>
      </c>
      <c r="P24" s="192">
        <f t="shared" si="7"/>
        <v>0</v>
      </c>
      <c r="Q24" s="191">
        <f t="shared" si="3"/>
        <v>0</v>
      </c>
      <c r="R24" s="170">
        <f t="shared" si="4"/>
        <v>0</v>
      </c>
      <c r="S24" s="190">
        <f t="shared" si="5"/>
        <v>0</v>
      </c>
    </row>
    <row r="25" spans="1:19" s="12" customFormat="1" ht="15" customHeight="1">
      <c r="A25" s="14">
        <v>17</v>
      </c>
      <c r="B25" s="17"/>
      <c r="C25" s="18"/>
      <c r="D25" s="18"/>
      <c r="E25" s="198"/>
      <c r="F25" s="200"/>
      <c r="G25" s="167"/>
      <c r="H25" s="168"/>
      <c r="J25" s="166">
        <f t="shared" si="0"/>
      </c>
      <c r="K25" s="166">
        <f t="shared" si="1"/>
      </c>
      <c r="L25" s="166">
        <f t="shared" si="2"/>
      </c>
      <c r="M25" s="169"/>
      <c r="N25" s="193">
        <f>IF(ISBLANK($B25),"",VLOOKUP($B25,'Schedule 6'!$B$47:$C$60,2,0))</f>
      </c>
      <c r="O25" s="192">
        <f t="shared" si="6"/>
        <v>0</v>
      </c>
      <c r="P25" s="192">
        <f t="shared" si="7"/>
        <v>0</v>
      </c>
      <c r="Q25" s="191">
        <f t="shared" si="3"/>
        <v>0</v>
      </c>
      <c r="R25" s="170">
        <f t="shared" si="4"/>
        <v>0</v>
      </c>
      <c r="S25" s="190">
        <f t="shared" si="5"/>
        <v>0</v>
      </c>
    </row>
    <row r="26" spans="1:19" s="12" customFormat="1" ht="15" customHeight="1">
      <c r="A26" s="14">
        <v>18</v>
      </c>
      <c r="B26" s="17"/>
      <c r="C26" s="18"/>
      <c r="D26" s="18"/>
      <c r="E26" s="198"/>
      <c r="F26" s="200"/>
      <c r="G26" s="167"/>
      <c r="H26" s="168"/>
      <c r="J26" s="166">
        <f t="shared" si="0"/>
      </c>
      <c r="K26" s="166">
        <f t="shared" si="1"/>
      </c>
      <c r="L26" s="166">
        <f t="shared" si="2"/>
      </c>
      <c r="M26" s="169"/>
      <c r="N26" s="193">
        <f>IF(ISBLANK($B26),"",VLOOKUP($B26,'Schedule 6'!$B$47:$C$60,2,0))</f>
      </c>
      <c r="O26" s="192">
        <f t="shared" si="6"/>
        <v>0</v>
      </c>
      <c r="P26" s="192">
        <f t="shared" si="7"/>
        <v>0</v>
      </c>
      <c r="Q26" s="191">
        <f t="shared" si="3"/>
        <v>0</v>
      </c>
      <c r="R26" s="170">
        <f t="shared" si="4"/>
        <v>0</v>
      </c>
      <c r="S26" s="190">
        <f t="shared" si="5"/>
        <v>0</v>
      </c>
    </row>
    <row r="27" spans="1:19" s="12" customFormat="1" ht="15" customHeight="1">
      <c r="A27" s="14">
        <v>19</v>
      </c>
      <c r="B27" s="17"/>
      <c r="C27" s="18"/>
      <c r="D27" s="18"/>
      <c r="E27" s="198"/>
      <c r="F27" s="200"/>
      <c r="G27" s="167"/>
      <c r="H27" s="168"/>
      <c r="J27" s="166">
        <f t="shared" si="0"/>
      </c>
      <c r="K27" s="166">
        <f t="shared" si="1"/>
      </c>
      <c r="L27" s="166">
        <f t="shared" si="2"/>
      </c>
      <c r="M27" s="169"/>
      <c r="N27" s="193">
        <f>IF(ISBLANK($B27),"",VLOOKUP($B27,'Schedule 6'!$B$47:$C$60,2,0))</f>
      </c>
      <c r="O27" s="192">
        <f t="shared" si="6"/>
        <v>0</v>
      </c>
      <c r="P27" s="192">
        <f t="shared" si="7"/>
        <v>0</v>
      </c>
      <c r="Q27" s="191">
        <f t="shared" si="3"/>
        <v>0</v>
      </c>
      <c r="R27" s="170">
        <f t="shared" si="4"/>
        <v>0</v>
      </c>
      <c r="S27" s="190">
        <f t="shared" si="5"/>
        <v>0</v>
      </c>
    </row>
    <row r="28" spans="1:19" s="12" customFormat="1" ht="15" customHeight="1">
      <c r="A28" s="14">
        <v>20</v>
      </c>
      <c r="B28" s="17"/>
      <c r="C28" s="18"/>
      <c r="D28" s="18"/>
      <c r="E28" s="198"/>
      <c r="F28" s="200"/>
      <c r="G28" s="167"/>
      <c r="H28" s="168"/>
      <c r="J28" s="166">
        <f t="shared" si="0"/>
      </c>
      <c r="K28" s="166">
        <f t="shared" si="1"/>
      </c>
      <c r="L28" s="166">
        <f t="shared" si="2"/>
      </c>
      <c r="M28" s="169"/>
      <c r="N28" s="193">
        <f>IF(ISBLANK($B28),"",VLOOKUP($B28,'Schedule 6'!$B$47:$C$60,2,0))</f>
      </c>
      <c r="O28" s="192">
        <f t="shared" si="6"/>
        <v>0</v>
      </c>
      <c r="P28" s="192">
        <f t="shared" si="7"/>
        <v>0</v>
      </c>
      <c r="Q28" s="191">
        <f t="shared" si="3"/>
        <v>0</v>
      </c>
      <c r="R28" s="170">
        <f t="shared" si="4"/>
        <v>0</v>
      </c>
      <c r="S28" s="190">
        <f t="shared" si="5"/>
        <v>0</v>
      </c>
    </row>
    <row r="29" spans="1:19" s="12" customFormat="1" ht="15" customHeight="1">
      <c r="A29" s="14">
        <v>21</v>
      </c>
      <c r="B29" s="17"/>
      <c r="C29" s="18"/>
      <c r="D29" s="18"/>
      <c r="E29" s="198"/>
      <c r="F29" s="200"/>
      <c r="G29" s="167"/>
      <c r="H29" s="168"/>
      <c r="J29" s="166">
        <f t="shared" si="0"/>
      </c>
      <c r="K29" s="166">
        <f t="shared" si="1"/>
      </c>
      <c r="L29" s="166">
        <f t="shared" si="2"/>
      </c>
      <c r="M29" s="169"/>
      <c r="N29" s="193">
        <f>IF(ISBLANK($B29),"",VLOOKUP($B29,'Schedule 6'!$B$47:$C$60,2,0))</f>
      </c>
      <c r="O29" s="192">
        <f t="shared" si="6"/>
        <v>0</v>
      </c>
      <c r="P29" s="192">
        <f t="shared" si="7"/>
        <v>0</v>
      </c>
      <c r="Q29" s="191">
        <f t="shared" si="3"/>
        <v>0</v>
      </c>
      <c r="R29" s="170">
        <f t="shared" si="4"/>
        <v>0</v>
      </c>
      <c r="S29" s="190">
        <f t="shared" si="5"/>
        <v>0</v>
      </c>
    </row>
    <row r="30" spans="1:19" s="12" customFormat="1" ht="15" customHeight="1">
      <c r="A30" s="14">
        <v>22</v>
      </c>
      <c r="B30" s="17"/>
      <c r="C30" s="18"/>
      <c r="D30" s="18"/>
      <c r="E30" s="198"/>
      <c r="F30" s="200"/>
      <c r="G30" s="167"/>
      <c r="H30" s="168"/>
      <c r="J30" s="166">
        <f t="shared" si="0"/>
      </c>
      <c r="K30" s="166">
        <f t="shared" si="1"/>
      </c>
      <c r="L30" s="166">
        <f t="shared" si="2"/>
      </c>
      <c r="M30" s="169"/>
      <c r="N30" s="193">
        <f>IF(ISBLANK($B30),"",VLOOKUP($B30,'Schedule 6'!$B$47:$C$60,2,0))</f>
      </c>
      <c r="O30" s="192">
        <f t="shared" si="6"/>
        <v>0</v>
      </c>
      <c r="P30" s="192">
        <f t="shared" si="7"/>
        <v>0</v>
      </c>
      <c r="Q30" s="191">
        <f t="shared" si="3"/>
        <v>0</v>
      </c>
      <c r="R30" s="170">
        <f t="shared" si="4"/>
        <v>0</v>
      </c>
      <c r="S30" s="190">
        <f t="shared" si="5"/>
        <v>0</v>
      </c>
    </row>
    <row r="31" spans="1:19" s="12" customFormat="1" ht="15" customHeight="1">
      <c r="A31" s="14">
        <v>23</v>
      </c>
      <c r="B31" s="17"/>
      <c r="C31" s="18"/>
      <c r="D31" s="18"/>
      <c r="E31" s="198"/>
      <c r="F31" s="200"/>
      <c r="G31" s="167"/>
      <c r="H31" s="168"/>
      <c r="J31" s="166">
        <f t="shared" si="0"/>
      </c>
      <c r="K31" s="166">
        <f t="shared" si="1"/>
      </c>
      <c r="L31" s="166">
        <f t="shared" si="2"/>
      </c>
      <c r="M31" s="169"/>
      <c r="N31" s="193">
        <f>IF(ISBLANK($B31),"",VLOOKUP($B31,'Schedule 6'!$B$47:$C$60,2,0))</f>
      </c>
      <c r="O31" s="192">
        <f t="shared" si="6"/>
        <v>0</v>
      </c>
      <c r="P31" s="192">
        <f t="shared" si="7"/>
        <v>0</v>
      </c>
      <c r="Q31" s="191">
        <f t="shared" si="3"/>
        <v>0</v>
      </c>
      <c r="R31" s="170">
        <f t="shared" si="4"/>
        <v>0</v>
      </c>
      <c r="S31" s="190">
        <f t="shared" si="5"/>
        <v>0</v>
      </c>
    </row>
    <row r="32" spans="1:19" s="12" customFormat="1" ht="15" customHeight="1">
      <c r="A32" s="14">
        <v>24</v>
      </c>
      <c r="B32" s="17"/>
      <c r="C32" s="18"/>
      <c r="D32" s="18"/>
      <c r="E32" s="198"/>
      <c r="F32" s="200"/>
      <c r="G32" s="167"/>
      <c r="H32" s="168"/>
      <c r="J32" s="166">
        <f t="shared" si="0"/>
      </c>
      <c r="K32" s="166">
        <f t="shared" si="1"/>
      </c>
      <c r="L32" s="166">
        <f t="shared" si="2"/>
      </c>
      <c r="M32" s="169"/>
      <c r="N32" s="193">
        <f>IF(ISBLANK($B32),"",VLOOKUP($B32,'Schedule 6'!$B$47:$C$60,2,0))</f>
      </c>
      <c r="O32" s="192">
        <f t="shared" si="6"/>
        <v>0</v>
      </c>
      <c r="P32" s="192">
        <f t="shared" si="7"/>
        <v>0</v>
      </c>
      <c r="Q32" s="191">
        <f t="shared" si="3"/>
        <v>0</v>
      </c>
      <c r="R32" s="170">
        <f t="shared" si="4"/>
        <v>0</v>
      </c>
      <c r="S32" s="190">
        <f t="shared" si="5"/>
        <v>0</v>
      </c>
    </row>
    <row r="33" spans="1:19" s="12" customFormat="1" ht="15" customHeight="1" thickBot="1">
      <c r="A33" s="14">
        <v>25</v>
      </c>
      <c r="B33" s="17"/>
      <c r="C33" s="18"/>
      <c r="D33" s="18"/>
      <c r="E33" s="198"/>
      <c r="F33" s="200"/>
      <c r="G33" s="167"/>
      <c r="H33" s="168"/>
      <c r="J33" s="323">
        <f t="shared" si="0"/>
      </c>
      <c r="K33" s="323">
        <f t="shared" si="1"/>
      </c>
      <c r="L33" s="323">
        <f t="shared" si="2"/>
      </c>
      <c r="M33" s="324"/>
      <c r="N33" s="325">
        <f>IF(ISBLANK($B33),"",VLOOKUP($B33,'Schedule 6'!$B$47:$C$60,2,0))</f>
      </c>
      <c r="O33" s="326">
        <f t="shared" si="6"/>
        <v>0</v>
      </c>
      <c r="P33" s="326">
        <f t="shared" si="7"/>
        <v>0</v>
      </c>
      <c r="Q33" s="327">
        <f t="shared" si="3"/>
        <v>0</v>
      </c>
      <c r="R33" s="328">
        <f t="shared" si="4"/>
        <v>0</v>
      </c>
      <c r="S33" s="328">
        <f t="shared" si="5"/>
        <v>0</v>
      </c>
    </row>
    <row r="34" spans="1:19" s="12" customFormat="1" ht="15" customHeight="1" thickBot="1">
      <c r="A34" s="189">
        <v>26</v>
      </c>
      <c r="B34" s="218"/>
      <c r="C34" s="219"/>
      <c r="D34" s="219"/>
      <c r="E34" s="219"/>
      <c r="F34" s="219"/>
      <c r="G34" s="220"/>
      <c r="H34" s="220"/>
      <c r="J34" s="320">
        <f>COUNTIF(J9:J33,"Yes")</f>
        <v>0</v>
      </c>
      <c r="K34" s="320">
        <f>COUNTIF(K9:K33,"Yes")</f>
        <v>0</v>
      </c>
      <c r="L34" s="320">
        <f>COUNTIF(L9:L33,"Yes")</f>
        <v>0</v>
      </c>
      <c r="M34" s="320"/>
      <c r="N34" s="320"/>
      <c r="O34" s="321">
        <f>SUM(O9:O33)</f>
        <v>0</v>
      </c>
      <c r="P34" s="321">
        <f>SUM(P9:P33)</f>
        <v>0</v>
      </c>
      <c r="Q34" s="321">
        <f>SUM(Q9:Q33)</f>
        <v>0</v>
      </c>
      <c r="R34" s="322"/>
      <c r="S34" s="322"/>
    </row>
    <row r="35" spans="1:8" ht="18.75" customHeight="1" thickTop="1">
      <c r="A35" s="165"/>
      <c r="B35" s="165"/>
      <c r="C35" s="401" t="s">
        <v>201</v>
      </c>
      <c r="D35" s="401"/>
      <c r="E35" s="401"/>
      <c r="F35" s="401"/>
      <c r="G35" s="401"/>
      <c r="H35" s="165"/>
    </row>
    <row r="36" spans="1:16" ht="15" customHeight="1">
      <c r="A36" s="119"/>
      <c r="B36" s="173"/>
      <c r="C36" s="174"/>
      <c r="D36" s="175" t="s">
        <v>206</v>
      </c>
      <c r="E36" s="175" t="s">
        <v>214</v>
      </c>
      <c r="F36" s="491" t="s">
        <v>215</v>
      </c>
      <c r="G36" s="482"/>
      <c r="H36" s="26"/>
      <c r="M36" s="176"/>
      <c r="N36" s="176"/>
      <c r="O36" s="4"/>
      <c r="P36" s="4"/>
    </row>
    <row r="37" spans="1:16" ht="15" customHeight="1">
      <c r="A37" s="14">
        <f>A34+1</f>
        <v>27</v>
      </c>
      <c r="B37" s="276" t="s">
        <v>200</v>
      </c>
      <c r="C37" s="278"/>
      <c r="D37" s="172">
        <f>IF('Cover Page'!$A$4="",0,VLOOKUP('Cover Page'!$A$4,Counts!$A$1:$AB$77,Counts!#REF!,FALSE))</f>
        <v>0</v>
      </c>
      <c r="E37" s="172">
        <v>0</v>
      </c>
      <c r="F37" s="492">
        <v>0</v>
      </c>
      <c r="G37" s="493"/>
      <c r="H37" s="26"/>
      <c r="M37" s="176"/>
      <c r="N37" s="176"/>
      <c r="O37" s="4"/>
      <c r="P37" s="4"/>
    </row>
    <row r="38" spans="1:16" ht="15" customHeight="1">
      <c r="A38" s="14">
        <f>A37+1</f>
        <v>28</v>
      </c>
      <c r="B38" s="169" t="s">
        <v>199</v>
      </c>
      <c r="C38" s="169"/>
      <c r="D38" s="166">
        <f>SUMIF($F$9:$F$33,"Full",$R$9:$R$33)</f>
        <v>0</v>
      </c>
      <c r="E38" s="166">
        <f>_xlfn.SUMIFS($R$9:$R$33,$N$9:$N$33,"Grades K-8",$F$9:$F$33,"Partial")</f>
        <v>0</v>
      </c>
      <c r="F38" s="492">
        <f>_xlfn.SUMIFS($R$9:$R$33,$N$9:$N$33,"Grades 9-12",$F$9:$F$33,"Partial")</f>
        <v>0</v>
      </c>
      <c r="G38" s="493"/>
      <c r="H38" s="26"/>
      <c r="M38" s="176"/>
      <c r="N38" s="176"/>
      <c r="O38" s="4"/>
      <c r="P38" s="4"/>
    </row>
    <row r="39" spans="1:16" ht="15" customHeight="1" thickBot="1">
      <c r="A39" s="14">
        <f>A38+1</f>
        <v>29</v>
      </c>
      <c r="B39" s="215" t="s">
        <v>198</v>
      </c>
      <c r="C39" s="215"/>
      <c r="D39" s="171">
        <f>SUMIF($F$9:$F$33,"Full",$S$9:$S$33)</f>
        <v>0</v>
      </c>
      <c r="E39" s="166">
        <f>_xlfn.SUMIFS($S$9:$S$33,$N$9:$N$33,"Grades K-8",$F$9:$F$33,"Partial")</f>
        <v>0</v>
      </c>
      <c r="F39" s="494">
        <f>_xlfn.SUMIFS($S$9:$S$33,$N$9:$N$33,"Grades 9-12",$F$9:$F$33,"Partial")</f>
        <v>0</v>
      </c>
      <c r="G39" s="495"/>
      <c r="H39" s="26"/>
      <c r="M39" s="176"/>
      <c r="N39" s="176"/>
      <c r="O39" s="4"/>
      <c r="P39" s="4"/>
    </row>
    <row r="40" spans="1:16" ht="15" customHeight="1" thickBot="1">
      <c r="A40" s="279">
        <f>A39+1</f>
        <v>30</v>
      </c>
      <c r="B40" s="259" t="s">
        <v>136</v>
      </c>
      <c r="C40" s="216"/>
      <c r="D40" s="217">
        <f>SUM(D37:D39)</f>
        <v>0</v>
      </c>
      <c r="E40" s="217">
        <f>SUM(E37:E39)</f>
        <v>0</v>
      </c>
      <c r="F40" s="486">
        <f>SUM(F37:F39)</f>
        <v>0</v>
      </c>
      <c r="G40" s="487"/>
      <c r="H40" s="26"/>
      <c r="M40" s="176"/>
      <c r="N40" s="176"/>
      <c r="O40" s="4"/>
      <c r="P40" s="4"/>
    </row>
    <row r="41" ht="10.5" thickTop="1">
      <c r="A41" s="154"/>
    </row>
    <row r="42" ht="9.75">
      <c r="A42" s="154"/>
    </row>
    <row r="43" ht="9.75">
      <c r="A43" s="154"/>
    </row>
    <row r="44" ht="9.75">
      <c r="A44" s="154"/>
    </row>
    <row r="45" spans="1:9" ht="9.75">
      <c r="A45" s="154"/>
      <c r="I45" s="26"/>
    </row>
    <row r="46" spans="1:9" ht="35.25" customHeight="1" hidden="1">
      <c r="A46" s="154"/>
      <c r="B46" s="319" t="s">
        <v>194</v>
      </c>
      <c r="C46" s="319" t="s">
        <v>195</v>
      </c>
      <c r="D46" s="319"/>
      <c r="F46" s="201"/>
      <c r="I46" s="26"/>
    </row>
    <row r="47" spans="1:7" ht="17.25" customHeight="1" hidden="1">
      <c r="A47" s="154"/>
      <c r="B47" s="4" t="s">
        <v>3</v>
      </c>
      <c r="C47" s="4" t="s">
        <v>193</v>
      </c>
      <c r="F47" s="4"/>
      <c r="G47" s="188"/>
    </row>
    <row r="48" spans="1:7" ht="12" customHeight="1" hidden="1">
      <c r="A48" s="154"/>
      <c r="B48" s="4" t="s">
        <v>4</v>
      </c>
      <c r="C48" s="4" t="s">
        <v>193</v>
      </c>
      <c r="F48" s="4" t="s">
        <v>193</v>
      </c>
      <c r="G48" s="4" t="s">
        <v>121</v>
      </c>
    </row>
    <row r="49" spans="1:7" ht="21" customHeight="1" hidden="1">
      <c r="A49" s="154"/>
      <c r="B49" s="4">
        <v>1</v>
      </c>
      <c r="C49" s="4" t="s">
        <v>193</v>
      </c>
      <c r="F49" s="176">
        <f>7530</f>
        <v>7530</v>
      </c>
      <c r="G49" s="176">
        <v>8176</v>
      </c>
    </row>
    <row r="50" spans="1:7" ht="9.75" hidden="1">
      <c r="A50" s="154"/>
      <c r="B50" s="4">
        <v>2</v>
      </c>
      <c r="C50" s="4" t="s">
        <v>193</v>
      </c>
      <c r="E50" s="4">
        <v>0</v>
      </c>
      <c r="F50" s="186">
        <f>ROUND($E50*0.05*F$49/15,2)</f>
        <v>0</v>
      </c>
      <c r="G50" s="186">
        <f aca="true" t="shared" si="8" ref="G50:G65">ROUND($E50*0.05*G$49/15,2)</f>
        <v>0</v>
      </c>
    </row>
    <row r="51" spans="1:7" ht="9.75" hidden="1">
      <c r="A51" s="154"/>
      <c r="B51" s="4">
        <v>3</v>
      </c>
      <c r="C51" s="4" t="s">
        <v>193</v>
      </c>
      <c r="E51" s="4">
        <v>1</v>
      </c>
      <c r="F51" s="186">
        <f aca="true" t="shared" si="9" ref="F51:F65">ROUND($E51*0.05*F$49/15,2)</f>
        <v>25.1</v>
      </c>
      <c r="G51" s="186">
        <f t="shared" si="8"/>
        <v>27.25</v>
      </c>
    </row>
    <row r="52" spans="1:7" ht="9.75" hidden="1">
      <c r="A52" s="154"/>
      <c r="B52" s="4">
        <v>4</v>
      </c>
      <c r="C52" s="4" t="s">
        <v>193</v>
      </c>
      <c r="E52" s="4">
        <v>2</v>
      </c>
      <c r="F52" s="186">
        <f t="shared" si="9"/>
        <v>50.2</v>
      </c>
      <c r="G52" s="186">
        <f t="shared" si="8"/>
        <v>54.51</v>
      </c>
    </row>
    <row r="53" spans="1:7" ht="9.75" hidden="1">
      <c r="A53" s="154"/>
      <c r="B53" s="4">
        <v>5</v>
      </c>
      <c r="C53" s="4" t="s">
        <v>193</v>
      </c>
      <c r="E53" s="4">
        <v>3</v>
      </c>
      <c r="F53" s="186">
        <f t="shared" si="9"/>
        <v>75.3</v>
      </c>
      <c r="G53" s="186">
        <f t="shared" si="8"/>
        <v>81.76</v>
      </c>
    </row>
    <row r="54" spans="1:7" ht="9.75" hidden="1">
      <c r="A54" s="154"/>
      <c r="B54" s="4">
        <v>6</v>
      </c>
      <c r="C54" s="4" t="s">
        <v>193</v>
      </c>
      <c r="E54" s="4">
        <v>4</v>
      </c>
      <c r="F54" s="186">
        <f t="shared" si="9"/>
        <v>100.4</v>
      </c>
      <c r="G54" s="186">
        <f t="shared" si="8"/>
        <v>109.01</v>
      </c>
    </row>
    <row r="55" spans="1:7" ht="9.75" hidden="1">
      <c r="A55" s="154"/>
      <c r="B55" s="4">
        <v>7</v>
      </c>
      <c r="C55" s="4" t="s">
        <v>193</v>
      </c>
      <c r="E55" s="4">
        <v>5</v>
      </c>
      <c r="F55" s="186">
        <f t="shared" si="9"/>
        <v>125.5</v>
      </c>
      <c r="G55" s="186">
        <f t="shared" si="8"/>
        <v>136.27</v>
      </c>
    </row>
    <row r="56" spans="1:7" ht="9.75" hidden="1">
      <c r="A56" s="154"/>
      <c r="B56" s="4">
        <v>8</v>
      </c>
      <c r="C56" s="4" t="s">
        <v>193</v>
      </c>
      <c r="E56" s="4">
        <v>6</v>
      </c>
      <c r="F56" s="186">
        <f t="shared" si="9"/>
        <v>150.6</v>
      </c>
      <c r="G56" s="186">
        <f t="shared" si="8"/>
        <v>163.52</v>
      </c>
    </row>
    <row r="57" spans="1:7" ht="9.75" hidden="1">
      <c r="A57" s="154"/>
      <c r="B57" s="4">
        <v>9</v>
      </c>
      <c r="C57" s="4" t="s">
        <v>121</v>
      </c>
      <c r="E57" s="4">
        <v>7</v>
      </c>
      <c r="F57" s="186">
        <f t="shared" si="9"/>
        <v>175.7</v>
      </c>
      <c r="G57" s="186">
        <f t="shared" si="8"/>
        <v>190.77</v>
      </c>
    </row>
    <row r="58" spans="1:7" ht="9.75" hidden="1">
      <c r="A58" s="154"/>
      <c r="B58" s="4">
        <v>10</v>
      </c>
      <c r="C58" s="4" t="s">
        <v>121</v>
      </c>
      <c r="E58" s="4">
        <v>8</v>
      </c>
      <c r="F58" s="186">
        <f t="shared" si="9"/>
        <v>200.8</v>
      </c>
      <c r="G58" s="186">
        <f t="shared" si="8"/>
        <v>218.03</v>
      </c>
    </row>
    <row r="59" spans="1:8" ht="9.75" hidden="1">
      <c r="A59" s="154"/>
      <c r="B59" s="4">
        <v>11</v>
      </c>
      <c r="C59" s="4" t="s">
        <v>121</v>
      </c>
      <c r="E59" s="4">
        <v>9</v>
      </c>
      <c r="F59" s="186">
        <f t="shared" si="9"/>
        <v>225.9</v>
      </c>
      <c r="G59" s="186">
        <f t="shared" si="8"/>
        <v>245.28</v>
      </c>
      <c r="H59" s="26"/>
    </row>
    <row r="60" spans="1:8" ht="9.75" hidden="1">
      <c r="A60" s="154"/>
      <c r="B60" s="4">
        <v>12</v>
      </c>
      <c r="C60" s="4" t="s">
        <v>121</v>
      </c>
      <c r="E60" s="4">
        <v>10</v>
      </c>
      <c r="F60" s="186">
        <f t="shared" si="9"/>
        <v>251</v>
      </c>
      <c r="G60" s="186">
        <f t="shared" si="8"/>
        <v>272.53</v>
      </c>
      <c r="H60" s="26"/>
    </row>
    <row r="61" spans="1:7" ht="9.75" hidden="1">
      <c r="A61" s="154"/>
      <c r="E61" s="4">
        <v>11</v>
      </c>
      <c r="F61" s="186">
        <f t="shared" si="9"/>
        <v>276.1</v>
      </c>
      <c r="G61" s="186">
        <f t="shared" si="8"/>
        <v>299.79</v>
      </c>
    </row>
    <row r="62" spans="5:7" ht="9.75" hidden="1">
      <c r="E62" s="4">
        <v>12</v>
      </c>
      <c r="F62" s="186">
        <f t="shared" si="9"/>
        <v>301.2</v>
      </c>
      <c r="G62" s="186">
        <f t="shared" si="8"/>
        <v>327.04</v>
      </c>
    </row>
    <row r="63" spans="5:7" ht="9.75" hidden="1">
      <c r="E63" s="4">
        <v>13</v>
      </c>
      <c r="F63" s="186">
        <f t="shared" si="9"/>
        <v>326.3</v>
      </c>
      <c r="G63" s="186">
        <f t="shared" si="8"/>
        <v>354.29</v>
      </c>
    </row>
    <row r="64" spans="5:7" ht="9.75" hidden="1">
      <c r="E64" s="4">
        <v>14</v>
      </c>
      <c r="F64" s="186">
        <f t="shared" si="9"/>
        <v>351.4</v>
      </c>
      <c r="G64" s="186">
        <f t="shared" si="8"/>
        <v>381.55</v>
      </c>
    </row>
    <row r="65" spans="5:7" ht="9.75" hidden="1">
      <c r="E65" s="4">
        <v>15</v>
      </c>
      <c r="F65" s="186">
        <f t="shared" si="9"/>
        <v>376.5</v>
      </c>
      <c r="G65" s="186">
        <f t="shared" si="8"/>
        <v>408.8</v>
      </c>
    </row>
    <row r="66" spans="5:7" ht="9.75" hidden="1">
      <c r="E66" s="4">
        <v>16</v>
      </c>
      <c r="F66" s="186">
        <f>ROUND(F$49*0.05,2)</f>
        <v>376.5</v>
      </c>
      <c r="G66" s="186">
        <f aca="true" t="shared" si="10" ref="G66:G108">ROUND(G$49*0.05,2)</f>
        <v>408.8</v>
      </c>
    </row>
    <row r="67" spans="5:7" ht="9.75" hidden="1">
      <c r="E67" s="4">
        <v>17</v>
      </c>
      <c r="F67" s="186">
        <f aca="true" t="shared" si="11" ref="F67:F86">ROUND(F$49*0.05,2)</f>
        <v>376.5</v>
      </c>
      <c r="G67" s="186">
        <f t="shared" si="10"/>
        <v>408.8</v>
      </c>
    </row>
    <row r="68" spans="5:7" ht="9.75" hidden="1">
      <c r="E68" s="4">
        <v>18</v>
      </c>
      <c r="F68" s="186">
        <f t="shared" si="11"/>
        <v>376.5</v>
      </c>
      <c r="G68" s="186">
        <f t="shared" si="10"/>
        <v>408.8</v>
      </c>
    </row>
    <row r="69" spans="5:7" ht="9.75" hidden="1">
      <c r="E69" s="4">
        <v>19</v>
      </c>
      <c r="F69" s="186">
        <f t="shared" si="11"/>
        <v>376.5</v>
      </c>
      <c r="G69" s="186">
        <f t="shared" si="10"/>
        <v>408.8</v>
      </c>
    </row>
    <row r="70" spans="5:7" ht="9.75" hidden="1">
      <c r="E70" s="4">
        <v>20</v>
      </c>
      <c r="F70" s="186">
        <f t="shared" si="11"/>
        <v>376.5</v>
      </c>
      <c r="G70" s="186">
        <f t="shared" si="10"/>
        <v>408.8</v>
      </c>
    </row>
    <row r="71" spans="5:7" ht="9.75" hidden="1">
      <c r="E71" s="4">
        <v>21</v>
      </c>
      <c r="F71" s="186">
        <f t="shared" si="11"/>
        <v>376.5</v>
      </c>
      <c r="G71" s="186">
        <f t="shared" si="10"/>
        <v>408.8</v>
      </c>
    </row>
    <row r="72" spans="5:7" ht="9.75" hidden="1">
      <c r="E72" s="4">
        <v>22</v>
      </c>
      <c r="F72" s="186">
        <f t="shared" si="11"/>
        <v>376.5</v>
      </c>
      <c r="G72" s="186">
        <f t="shared" si="10"/>
        <v>408.8</v>
      </c>
    </row>
    <row r="73" spans="5:7" ht="9.75" hidden="1">
      <c r="E73" s="4">
        <v>23</v>
      </c>
      <c r="F73" s="186">
        <f t="shared" si="11"/>
        <v>376.5</v>
      </c>
      <c r="G73" s="186">
        <f t="shared" si="10"/>
        <v>408.8</v>
      </c>
    </row>
    <row r="74" spans="5:7" ht="9.75" hidden="1">
      <c r="E74" s="4">
        <v>24</v>
      </c>
      <c r="F74" s="186">
        <f t="shared" si="11"/>
        <v>376.5</v>
      </c>
      <c r="G74" s="186">
        <f t="shared" si="10"/>
        <v>408.8</v>
      </c>
    </row>
    <row r="75" spans="5:7" ht="9.75" hidden="1">
      <c r="E75" s="4">
        <v>25</v>
      </c>
      <c r="F75" s="186">
        <f t="shared" si="11"/>
        <v>376.5</v>
      </c>
      <c r="G75" s="186">
        <f t="shared" si="10"/>
        <v>408.8</v>
      </c>
    </row>
    <row r="76" spans="5:7" ht="9.75" hidden="1">
      <c r="E76" s="4">
        <v>26</v>
      </c>
      <c r="F76" s="186">
        <f t="shared" si="11"/>
        <v>376.5</v>
      </c>
      <c r="G76" s="186">
        <f t="shared" si="10"/>
        <v>408.8</v>
      </c>
    </row>
    <row r="77" spans="5:7" ht="9.75" hidden="1">
      <c r="E77" s="4">
        <v>27</v>
      </c>
      <c r="F77" s="186">
        <f t="shared" si="11"/>
        <v>376.5</v>
      </c>
      <c r="G77" s="186">
        <f t="shared" si="10"/>
        <v>408.8</v>
      </c>
    </row>
    <row r="78" spans="5:7" ht="9.75" hidden="1">
      <c r="E78" s="4">
        <v>28</v>
      </c>
      <c r="F78" s="186">
        <f t="shared" si="11"/>
        <v>376.5</v>
      </c>
      <c r="G78" s="186">
        <f t="shared" si="10"/>
        <v>408.8</v>
      </c>
    </row>
    <row r="79" spans="5:7" ht="9.75" hidden="1">
      <c r="E79" s="4">
        <v>29</v>
      </c>
      <c r="F79" s="186">
        <f t="shared" si="11"/>
        <v>376.5</v>
      </c>
      <c r="G79" s="186">
        <f t="shared" si="10"/>
        <v>408.8</v>
      </c>
    </row>
    <row r="80" spans="5:7" ht="9.75" hidden="1">
      <c r="E80" s="4">
        <v>30</v>
      </c>
      <c r="F80" s="186">
        <f t="shared" si="11"/>
        <v>376.5</v>
      </c>
      <c r="G80" s="186">
        <f t="shared" si="10"/>
        <v>408.8</v>
      </c>
    </row>
    <row r="81" spans="5:7" ht="9.75" hidden="1">
      <c r="E81" s="4">
        <v>31</v>
      </c>
      <c r="F81" s="186">
        <f t="shared" si="11"/>
        <v>376.5</v>
      </c>
      <c r="G81" s="186">
        <f t="shared" si="10"/>
        <v>408.8</v>
      </c>
    </row>
    <row r="82" spans="5:7" ht="9.75" hidden="1">
      <c r="E82" s="4">
        <v>32</v>
      </c>
      <c r="F82" s="186">
        <f t="shared" si="11"/>
        <v>376.5</v>
      </c>
      <c r="G82" s="186">
        <f t="shared" si="10"/>
        <v>408.8</v>
      </c>
    </row>
    <row r="83" spans="5:7" ht="9.75" hidden="1">
      <c r="E83" s="4">
        <v>33</v>
      </c>
      <c r="F83" s="186">
        <f t="shared" si="11"/>
        <v>376.5</v>
      </c>
      <c r="G83" s="186">
        <f t="shared" si="10"/>
        <v>408.8</v>
      </c>
    </row>
    <row r="84" spans="5:7" ht="9.75" hidden="1">
      <c r="E84" s="4">
        <v>34</v>
      </c>
      <c r="F84" s="186">
        <f t="shared" si="11"/>
        <v>376.5</v>
      </c>
      <c r="G84" s="186">
        <f t="shared" si="10"/>
        <v>408.8</v>
      </c>
    </row>
    <row r="85" spans="5:7" ht="9.75" hidden="1">
      <c r="E85" s="4">
        <v>35</v>
      </c>
      <c r="F85" s="186">
        <f t="shared" si="11"/>
        <v>376.5</v>
      </c>
      <c r="G85" s="186">
        <f t="shared" si="10"/>
        <v>408.8</v>
      </c>
    </row>
    <row r="86" spans="5:7" ht="9.75" hidden="1">
      <c r="E86" s="4">
        <v>36</v>
      </c>
      <c r="F86" s="186">
        <f t="shared" si="11"/>
        <v>376.5</v>
      </c>
      <c r="G86" s="186">
        <f t="shared" si="10"/>
        <v>408.8</v>
      </c>
    </row>
    <row r="87" spans="5:7" ht="9.75" hidden="1">
      <c r="E87" s="4">
        <v>37</v>
      </c>
      <c r="F87" s="186">
        <f aca="true" t="shared" si="12" ref="F87:F108">ROUND(F$49*0.05,2)</f>
        <v>376.5</v>
      </c>
      <c r="G87" s="186">
        <f t="shared" si="10"/>
        <v>408.8</v>
      </c>
    </row>
    <row r="88" spans="5:7" ht="9.75" hidden="1">
      <c r="E88" s="4">
        <v>38</v>
      </c>
      <c r="F88" s="186">
        <f t="shared" si="12"/>
        <v>376.5</v>
      </c>
      <c r="G88" s="186">
        <f t="shared" si="10"/>
        <v>408.8</v>
      </c>
    </row>
    <row r="89" spans="5:7" ht="9.75" hidden="1">
      <c r="E89" s="4">
        <v>39</v>
      </c>
      <c r="F89" s="186">
        <f t="shared" si="12"/>
        <v>376.5</v>
      </c>
      <c r="G89" s="186">
        <f t="shared" si="10"/>
        <v>408.8</v>
      </c>
    </row>
    <row r="90" spans="5:7" ht="9.75" hidden="1">
      <c r="E90" s="4">
        <v>40</v>
      </c>
      <c r="F90" s="186">
        <f t="shared" si="12"/>
        <v>376.5</v>
      </c>
      <c r="G90" s="186">
        <f t="shared" si="10"/>
        <v>408.8</v>
      </c>
    </row>
    <row r="91" spans="5:7" ht="9.75" hidden="1">
      <c r="E91" s="4">
        <v>41</v>
      </c>
      <c r="F91" s="186">
        <f t="shared" si="12"/>
        <v>376.5</v>
      </c>
      <c r="G91" s="186">
        <f t="shared" si="10"/>
        <v>408.8</v>
      </c>
    </row>
    <row r="92" spans="5:7" ht="9.75" hidden="1">
      <c r="E92" s="4">
        <v>42</v>
      </c>
      <c r="F92" s="186">
        <f t="shared" si="12"/>
        <v>376.5</v>
      </c>
      <c r="G92" s="186">
        <f t="shared" si="10"/>
        <v>408.8</v>
      </c>
    </row>
    <row r="93" spans="5:7" ht="9.75" hidden="1">
      <c r="E93" s="4">
        <v>43</v>
      </c>
      <c r="F93" s="186">
        <f t="shared" si="12"/>
        <v>376.5</v>
      </c>
      <c r="G93" s="186">
        <f t="shared" si="10"/>
        <v>408.8</v>
      </c>
    </row>
    <row r="94" spans="5:7" ht="9.75" hidden="1">
      <c r="E94" s="4">
        <v>44</v>
      </c>
      <c r="F94" s="186">
        <f t="shared" si="12"/>
        <v>376.5</v>
      </c>
      <c r="G94" s="186">
        <f t="shared" si="10"/>
        <v>408.8</v>
      </c>
    </row>
    <row r="95" spans="5:7" ht="9.75" hidden="1">
      <c r="E95" s="4">
        <v>45</v>
      </c>
      <c r="F95" s="186">
        <f t="shared" si="12"/>
        <v>376.5</v>
      </c>
      <c r="G95" s="186">
        <f t="shared" si="10"/>
        <v>408.8</v>
      </c>
    </row>
    <row r="96" spans="5:7" ht="9.75" hidden="1">
      <c r="E96" s="4">
        <v>46</v>
      </c>
      <c r="F96" s="186">
        <f t="shared" si="12"/>
        <v>376.5</v>
      </c>
      <c r="G96" s="186">
        <f t="shared" si="10"/>
        <v>408.8</v>
      </c>
    </row>
    <row r="97" spans="5:7" ht="9.75" hidden="1">
      <c r="E97" s="4">
        <v>47</v>
      </c>
      <c r="F97" s="186">
        <f t="shared" si="12"/>
        <v>376.5</v>
      </c>
      <c r="G97" s="186">
        <f t="shared" si="10"/>
        <v>408.8</v>
      </c>
    </row>
    <row r="98" spans="5:7" ht="9.75" hidden="1">
      <c r="E98" s="4">
        <v>48</v>
      </c>
      <c r="F98" s="186">
        <f t="shared" si="12"/>
        <v>376.5</v>
      </c>
      <c r="G98" s="186">
        <f t="shared" si="10"/>
        <v>408.8</v>
      </c>
    </row>
    <row r="99" spans="5:7" ht="9.75" hidden="1">
      <c r="E99" s="4">
        <v>49</v>
      </c>
      <c r="F99" s="186">
        <f t="shared" si="12"/>
        <v>376.5</v>
      </c>
      <c r="G99" s="186">
        <f t="shared" si="10"/>
        <v>408.8</v>
      </c>
    </row>
    <row r="100" spans="5:7" ht="9.75" hidden="1">
      <c r="E100" s="4">
        <v>50</v>
      </c>
      <c r="F100" s="186">
        <f t="shared" si="12"/>
        <v>376.5</v>
      </c>
      <c r="G100" s="186">
        <f t="shared" si="10"/>
        <v>408.8</v>
      </c>
    </row>
    <row r="101" spans="5:7" ht="9.75" hidden="1">
      <c r="E101" s="4">
        <v>51</v>
      </c>
      <c r="F101" s="186">
        <f t="shared" si="12"/>
        <v>376.5</v>
      </c>
      <c r="G101" s="186">
        <f t="shared" si="10"/>
        <v>408.8</v>
      </c>
    </row>
    <row r="102" spans="5:7" ht="9.75" hidden="1">
      <c r="E102" s="4">
        <v>52</v>
      </c>
      <c r="F102" s="186">
        <f t="shared" si="12"/>
        <v>376.5</v>
      </c>
      <c r="G102" s="186">
        <f t="shared" si="10"/>
        <v>408.8</v>
      </c>
    </row>
    <row r="103" spans="5:7" ht="9.75" hidden="1">
      <c r="E103" s="4">
        <v>53</v>
      </c>
      <c r="F103" s="186">
        <f t="shared" si="12"/>
        <v>376.5</v>
      </c>
      <c r="G103" s="186">
        <f t="shared" si="10"/>
        <v>408.8</v>
      </c>
    </row>
    <row r="104" spans="5:7" ht="9.75" hidden="1">
      <c r="E104" s="4">
        <v>54</v>
      </c>
      <c r="F104" s="186">
        <f t="shared" si="12"/>
        <v>376.5</v>
      </c>
      <c r="G104" s="186">
        <f t="shared" si="10"/>
        <v>408.8</v>
      </c>
    </row>
    <row r="105" spans="5:7" ht="9.75" hidden="1">
      <c r="E105" s="4">
        <v>55</v>
      </c>
      <c r="F105" s="186">
        <f t="shared" si="12"/>
        <v>376.5</v>
      </c>
      <c r="G105" s="186">
        <f t="shared" si="10"/>
        <v>408.8</v>
      </c>
    </row>
    <row r="106" spans="5:7" ht="9.75" hidden="1">
      <c r="E106" s="4">
        <v>56</v>
      </c>
      <c r="F106" s="186">
        <f t="shared" si="12"/>
        <v>376.5</v>
      </c>
      <c r="G106" s="186">
        <f t="shared" si="10"/>
        <v>408.8</v>
      </c>
    </row>
    <row r="107" spans="5:7" ht="9.75" hidden="1">
      <c r="E107" s="4">
        <v>57</v>
      </c>
      <c r="F107" s="186">
        <f t="shared" si="12"/>
        <v>376.5</v>
      </c>
      <c r="G107" s="186">
        <f t="shared" si="10"/>
        <v>408.8</v>
      </c>
    </row>
    <row r="108" spans="5:7" ht="9.75" hidden="1">
      <c r="E108" s="4">
        <v>58</v>
      </c>
      <c r="F108" s="186">
        <f t="shared" si="12"/>
        <v>376.5</v>
      </c>
      <c r="G108" s="186">
        <f t="shared" si="10"/>
        <v>408.8</v>
      </c>
    </row>
  </sheetData>
  <sheetProtection password="E749" sheet="1"/>
  <mergeCells count="15">
    <mergeCell ref="F40:G40"/>
    <mergeCell ref="A5:G5"/>
    <mergeCell ref="C35:G35"/>
    <mergeCell ref="D7:F7"/>
    <mergeCell ref="F36:G36"/>
    <mergeCell ref="F37:G37"/>
    <mergeCell ref="F38:G38"/>
    <mergeCell ref="F39:G39"/>
    <mergeCell ref="N7:S7"/>
    <mergeCell ref="J7:L7"/>
    <mergeCell ref="A1:H1"/>
    <mergeCell ref="A2:H2"/>
    <mergeCell ref="A3:H3"/>
    <mergeCell ref="A4:H4"/>
    <mergeCell ref="A6:G6"/>
  </mergeCells>
  <conditionalFormatting sqref="J9:L33">
    <cfRule type="cellIs" priority="1" dxfId="5"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33">
      <formula1>0</formula1>
      <formula2>58</formula2>
    </dataValidation>
    <dataValidation type="list" allowBlank="1" showInputMessage="1" showErrorMessage="1" sqref="F9:F33">
      <formula1>"Full,Partial"</formula1>
    </dataValidation>
    <dataValidation type="list" allowBlank="1" showInputMessage="1" showErrorMessage="1" sqref="B9:B33">
      <formula1>"K4,K5,1,2,3,4,5,6,7,8,9,10,11,12"</formula1>
    </dataValidation>
  </dataValidations>
  <printOptions horizontalCentered="1"/>
  <pageMargins left="0.5" right="0.5" top="0.5" bottom="0.5" header="0.3" footer="0.3"/>
  <pageSetup fitToHeight="1" fitToWidth="1" horizontalDpi="600" verticalDpi="600" orientation="portrait" scale="98" r:id="rId1"/>
  <headerFooter>
    <oddHeader>&amp;L&amp;"Arial,Regular"&amp;8Page 8&amp;C &amp;R&amp;"Arial,Regular"&amp;8PI-SNSP-0102 (50 Lines)</oddHeader>
  </headerFooter>
</worksheet>
</file>

<file path=xl/worksheets/sheet12.xml><?xml version="1.0" encoding="utf-8"?>
<worksheet xmlns="http://schemas.openxmlformats.org/spreadsheetml/2006/main" xmlns:r="http://schemas.openxmlformats.org/officeDocument/2006/relationships">
  <dimension ref="A1:AB90"/>
  <sheetViews>
    <sheetView zoomScale="85" zoomScaleNormal="85" zoomScalePageLayoutView="0" workbookViewId="0" topLeftCell="A1">
      <pane xSplit="1" ySplit="1" topLeftCell="B2" activePane="bottomRight" state="frozen"/>
      <selection pane="topLeft" activeCell="L9" sqref="L9"/>
      <selection pane="topRight" activeCell="L9" sqref="L9"/>
      <selection pane="bottomLeft" activeCell="L9" sqref="L9"/>
      <selection pane="bottomRight" activeCell="L9" sqref="L9"/>
    </sheetView>
  </sheetViews>
  <sheetFormatPr defaultColWidth="9.140625" defaultRowHeight="15"/>
  <cols>
    <col min="1" max="1" width="33.7109375" style="187" customWidth="1"/>
    <col min="2" max="2" width="13.28125" style="187" customWidth="1"/>
    <col min="3" max="11" width="8.8515625" style="187" customWidth="1"/>
    <col min="12" max="17" width="8.8515625" style="314" customWidth="1"/>
    <col min="18" max="18" width="8.8515625" style="187" customWidth="1"/>
    <col min="19" max="19" width="8.8515625" style="314" customWidth="1"/>
    <col min="20" max="21" width="8.8515625" style="187" customWidth="1"/>
    <col min="22" max="27" width="8.8515625" style="314" customWidth="1"/>
    <col min="28" max="28" width="14.421875" style="187" customWidth="1"/>
    <col min="29" max="16384" width="8.8515625" style="187" customWidth="1"/>
  </cols>
  <sheetData>
    <row r="1" spans="1:28" ht="30">
      <c r="A1" s="305" t="s">
        <v>219</v>
      </c>
      <c r="B1" s="306" t="s">
        <v>220</v>
      </c>
      <c r="C1" s="307" t="s">
        <v>296</v>
      </c>
      <c r="D1" s="307" t="s">
        <v>297</v>
      </c>
      <c r="E1" s="307" t="s">
        <v>298</v>
      </c>
      <c r="F1" s="307" t="s">
        <v>299</v>
      </c>
      <c r="G1" s="307" t="s">
        <v>300</v>
      </c>
      <c r="H1" s="307" t="s">
        <v>301</v>
      </c>
      <c r="I1" s="307" t="s">
        <v>302</v>
      </c>
      <c r="J1" s="307" t="s">
        <v>303</v>
      </c>
      <c r="K1" s="307" t="s">
        <v>304</v>
      </c>
      <c r="L1" s="307" t="s">
        <v>305</v>
      </c>
      <c r="M1" s="307" t="s">
        <v>306</v>
      </c>
      <c r="N1" s="307" t="s">
        <v>307</v>
      </c>
      <c r="O1" s="307" t="s">
        <v>308</v>
      </c>
      <c r="P1" s="307" t="s">
        <v>309</v>
      </c>
      <c r="Q1" s="307" t="s">
        <v>310</v>
      </c>
      <c r="R1" s="307" t="s">
        <v>215</v>
      </c>
      <c r="S1" s="307" t="s">
        <v>104</v>
      </c>
      <c r="T1" s="307" t="s">
        <v>105</v>
      </c>
      <c r="U1" s="307" t="s">
        <v>106</v>
      </c>
      <c r="V1" s="307" t="s">
        <v>109</v>
      </c>
      <c r="W1" s="307" t="s">
        <v>110</v>
      </c>
      <c r="X1" s="307" t="s">
        <v>107</v>
      </c>
      <c r="Y1" s="307" t="s">
        <v>108</v>
      </c>
      <c r="Z1" s="307" t="s">
        <v>311</v>
      </c>
      <c r="AA1" s="306" t="s">
        <v>312</v>
      </c>
      <c r="AB1" s="306" t="s">
        <v>369</v>
      </c>
    </row>
    <row r="2" spans="1:28" ht="9.75">
      <c r="A2" s="289" t="s">
        <v>221</v>
      </c>
      <c r="B2" s="289" t="s">
        <v>222</v>
      </c>
      <c r="C2" s="291">
        <v>0</v>
      </c>
      <c r="D2" s="291">
        <v>0</v>
      </c>
      <c r="E2" s="291">
        <v>0</v>
      </c>
      <c r="F2" s="291">
        <v>0</v>
      </c>
      <c r="G2" s="291">
        <v>0</v>
      </c>
      <c r="H2" s="291">
        <v>0</v>
      </c>
      <c r="I2" s="291">
        <v>0</v>
      </c>
      <c r="J2" s="291">
        <v>4</v>
      </c>
      <c r="K2" s="291">
        <v>0</v>
      </c>
      <c r="L2" s="291">
        <v>0</v>
      </c>
      <c r="M2" s="291">
        <v>0</v>
      </c>
      <c r="N2" s="291">
        <v>0</v>
      </c>
      <c r="O2" s="291">
        <v>0</v>
      </c>
      <c r="P2" s="291">
        <v>0</v>
      </c>
      <c r="Q2" s="291">
        <v>0</v>
      </c>
      <c r="R2" s="291">
        <v>0</v>
      </c>
      <c r="S2" s="291"/>
      <c r="T2" s="291"/>
      <c r="U2" s="291"/>
      <c r="V2" s="291"/>
      <c r="W2" s="291"/>
      <c r="X2" s="291"/>
      <c r="Y2" s="291">
        <v>298</v>
      </c>
      <c r="Z2" s="291">
        <v>298</v>
      </c>
      <c r="AA2" s="291">
        <v>298</v>
      </c>
      <c r="AB2" s="308">
        <v>24862</v>
      </c>
    </row>
    <row r="3" spans="1:28" ht="9.75">
      <c r="A3" s="290" t="s">
        <v>223</v>
      </c>
      <c r="B3" s="289" t="s">
        <v>222</v>
      </c>
      <c r="C3" s="291">
        <v>0</v>
      </c>
      <c r="D3" s="291">
        <v>0</v>
      </c>
      <c r="E3" s="291">
        <v>0</v>
      </c>
      <c r="F3" s="291">
        <v>0</v>
      </c>
      <c r="G3" s="291">
        <v>0</v>
      </c>
      <c r="H3" s="291">
        <v>0</v>
      </c>
      <c r="I3" s="291">
        <v>4</v>
      </c>
      <c r="J3" s="291">
        <v>0</v>
      </c>
      <c r="K3" s="291">
        <v>0</v>
      </c>
      <c r="L3" s="291">
        <v>0</v>
      </c>
      <c r="M3" s="291">
        <v>0</v>
      </c>
      <c r="N3" s="291">
        <v>0</v>
      </c>
      <c r="O3" s="291">
        <v>0</v>
      </c>
      <c r="P3" s="291">
        <v>0</v>
      </c>
      <c r="Q3" s="291">
        <v>0</v>
      </c>
      <c r="R3" s="291">
        <v>0</v>
      </c>
      <c r="S3" s="291">
        <v>0</v>
      </c>
      <c r="T3" s="291">
        <v>0</v>
      </c>
      <c r="U3" s="291">
        <v>0</v>
      </c>
      <c r="V3" s="291">
        <v>0</v>
      </c>
      <c r="W3" s="291">
        <v>0</v>
      </c>
      <c r="X3" s="291">
        <v>0</v>
      </c>
      <c r="Y3" s="291">
        <v>139</v>
      </c>
      <c r="Z3" s="291">
        <v>139</v>
      </c>
      <c r="AA3" s="291">
        <v>139</v>
      </c>
      <c r="AB3" s="308">
        <v>24862</v>
      </c>
    </row>
    <row r="4" spans="1:28" ht="9.75">
      <c r="A4" s="291" t="s">
        <v>224</v>
      </c>
      <c r="B4" s="289" t="s">
        <v>98</v>
      </c>
      <c r="C4" s="291">
        <v>1</v>
      </c>
      <c r="D4" s="291">
        <v>0</v>
      </c>
      <c r="E4" s="291">
        <v>0</v>
      </c>
      <c r="F4" s="291">
        <v>0</v>
      </c>
      <c r="G4" s="291">
        <v>0</v>
      </c>
      <c r="H4" s="291">
        <v>3</v>
      </c>
      <c r="I4" s="291">
        <v>6</v>
      </c>
      <c r="J4" s="291">
        <v>0</v>
      </c>
      <c r="K4" s="291">
        <v>0</v>
      </c>
      <c r="L4" s="291">
        <v>0</v>
      </c>
      <c r="M4" s="291">
        <v>0</v>
      </c>
      <c r="N4" s="291">
        <v>0</v>
      </c>
      <c r="O4" s="291">
        <v>0</v>
      </c>
      <c r="P4" s="291">
        <v>0</v>
      </c>
      <c r="Q4" s="291">
        <v>0</v>
      </c>
      <c r="R4" s="291">
        <v>0</v>
      </c>
      <c r="S4" s="291">
        <v>15</v>
      </c>
      <c r="T4" s="291"/>
      <c r="U4" s="291"/>
      <c r="V4" s="291"/>
      <c r="W4" s="291"/>
      <c r="X4" s="291">
        <v>11</v>
      </c>
      <c r="Y4" s="291">
        <v>42</v>
      </c>
      <c r="Z4" s="291">
        <v>68</v>
      </c>
      <c r="AA4" s="291">
        <v>60.5</v>
      </c>
      <c r="AB4" s="308">
        <v>59047.25</v>
      </c>
    </row>
    <row r="5" spans="1:28" ht="9.75">
      <c r="A5" s="291" t="s">
        <v>225</v>
      </c>
      <c r="B5" s="289" t="s">
        <v>142</v>
      </c>
      <c r="C5" s="291">
        <v>0</v>
      </c>
      <c r="D5" s="291">
        <v>0</v>
      </c>
      <c r="E5" s="291">
        <v>0</v>
      </c>
      <c r="F5" s="291">
        <v>0</v>
      </c>
      <c r="G5" s="291">
        <v>0</v>
      </c>
      <c r="H5" s="291">
        <v>0</v>
      </c>
      <c r="I5" s="291">
        <v>4</v>
      </c>
      <c r="J5" s="291">
        <v>0</v>
      </c>
      <c r="K5" s="291">
        <v>0</v>
      </c>
      <c r="L5" s="291">
        <v>0</v>
      </c>
      <c r="M5" s="291">
        <v>0</v>
      </c>
      <c r="N5" s="291">
        <v>0</v>
      </c>
      <c r="O5" s="291">
        <v>0</v>
      </c>
      <c r="P5" s="291">
        <v>0</v>
      </c>
      <c r="Q5" s="291">
        <v>0</v>
      </c>
      <c r="R5" s="291">
        <v>0</v>
      </c>
      <c r="S5" s="291">
        <v>12</v>
      </c>
      <c r="T5" s="291">
        <v>0</v>
      </c>
      <c r="U5" s="291">
        <v>4</v>
      </c>
      <c r="V5" s="291"/>
      <c r="W5" s="291"/>
      <c r="X5" s="291">
        <v>28</v>
      </c>
      <c r="Y5" s="291">
        <v>231</v>
      </c>
      <c r="Z5" s="291">
        <v>275</v>
      </c>
      <c r="AA5" s="291">
        <v>267</v>
      </c>
      <c r="AB5" s="308">
        <v>24862</v>
      </c>
    </row>
    <row r="6" spans="1:28" ht="9.75">
      <c r="A6" s="290" t="s">
        <v>226</v>
      </c>
      <c r="B6" s="289" t="s">
        <v>222</v>
      </c>
      <c r="C6" s="291">
        <v>0</v>
      </c>
      <c r="D6" s="291">
        <v>0</v>
      </c>
      <c r="E6" s="291">
        <v>0</v>
      </c>
      <c r="F6" s="291">
        <v>0</v>
      </c>
      <c r="G6" s="291">
        <v>0</v>
      </c>
      <c r="H6" s="291">
        <v>0</v>
      </c>
      <c r="I6" s="291">
        <v>4</v>
      </c>
      <c r="J6" s="291">
        <v>0</v>
      </c>
      <c r="K6" s="291">
        <v>0</v>
      </c>
      <c r="L6" s="291">
        <v>0</v>
      </c>
      <c r="M6" s="291">
        <v>0</v>
      </c>
      <c r="N6" s="291">
        <v>0</v>
      </c>
      <c r="O6" s="291">
        <v>0</v>
      </c>
      <c r="P6" s="291">
        <v>0</v>
      </c>
      <c r="Q6" s="291">
        <v>0</v>
      </c>
      <c r="R6" s="291">
        <v>0</v>
      </c>
      <c r="S6" s="291"/>
      <c r="T6" s="291"/>
      <c r="U6" s="291"/>
      <c r="V6" s="291"/>
      <c r="W6" s="291"/>
      <c r="X6" s="291"/>
      <c r="Y6" s="291">
        <v>215</v>
      </c>
      <c r="Z6" s="291">
        <v>215</v>
      </c>
      <c r="AA6" s="291">
        <v>215</v>
      </c>
      <c r="AB6" s="308">
        <v>24862</v>
      </c>
    </row>
    <row r="7" spans="1:28" ht="9.75">
      <c r="A7" s="290" t="s">
        <v>227</v>
      </c>
      <c r="B7" s="289" t="s">
        <v>222</v>
      </c>
      <c r="C7" s="291">
        <v>1</v>
      </c>
      <c r="D7" s="291">
        <v>0</v>
      </c>
      <c r="E7" s="291">
        <v>0</v>
      </c>
      <c r="F7" s="291">
        <v>0</v>
      </c>
      <c r="G7" s="291">
        <v>0</v>
      </c>
      <c r="H7" s="291">
        <v>0</v>
      </c>
      <c r="I7" s="291">
        <v>2</v>
      </c>
      <c r="J7" s="291">
        <v>0</v>
      </c>
      <c r="K7" s="291">
        <v>0</v>
      </c>
      <c r="L7" s="291">
        <v>0</v>
      </c>
      <c r="M7" s="291">
        <v>0</v>
      </c>
      <c r="N7" s="291">
        <v>0</v>
      </c>
      <c r="O7" s="291">
        <v>0</v>
      </c>
      <c r="P7" s="291">
        <v>0</v>
      </c>
      <c r="Q7" s="291">
        <v>0</v>
      </c>
      <c r="R7" s="291">
        <v>0</v>
      </c>
      <c r="S7" s="291">
        <v>35</v>
      </c>
      <c r="T7" s="291">
        <v>0</v>
      </c>
      <c r="U7" s="291">
        <v>0</v>
      </c>
      <c r="V7" s="291">
        <v>0</v>
      </c>
      <c r="W7" s="291">
        <v>0</v>
      </c>
      <c r="X7" s="291">
        <v>31</v>
      </c>
      <c r="Y7" s="291">
        <v>82</v>
      </c>
      <c r="Z7" s="291">
        <v>148</v>
      </c>
      <c r="AA7" s="291">
        <v>130.5</v>
      </c>
      <c r="AB7" s="308">
        <v>15538.75</v>
      </c>
    </row>
    <row r="8" spans="1:28" ht="9.75">
      <c r="A8" s="291" t="s">
        <v>228</v>
      </c>
      <c r="B8" s="289" t="s">
        <v>58</v>
      </c>
      <c r="C8" s="291">
        <v>0</v>
      </c>
      <c r="D8" s="291">
        <v>0</v>
      </c>
      <c r="E8" s="291">
        <v>0</v>
      </c>
      <c r="F8" s="291">
        <v>0</v>
      </c>
      <c r="G8" s="291">
        <v>0</v>
      </c>
      <c r="H8" s="291">
        <v>0</v>
      </c>
      <c r="I8" s="291">
        <v>0</v>
      </c>
      <c r="J8" s="291">
        <v>0</v>
      </c>
      <c r="K8" s="291">
        <v>0</v>
      </c>
      <c r="L8" s="291">
        <v>0</v>
      </c>
      <c r="M8" s="291">
        <v>0</v>
      </c>
      <c r="N8" s="291">
        <v>0</v>
      </c>
      <c r="O8" s="291">
        <v>0</v>
      </c>
      <c r="P8" s="291">
        <v>0</v>
      </c>
      <c r="Q8" s="291">
        <v>0</v>
      </c>
      <c r="R8" s="291">
        <v>0</v>
      </c>
      <c r="S8" s="291"/>
      <c r="T8" s="291">
        <v>29</v>
      </c>
      <c r="U8" s="291"/>
      <c r="V8" s="291"/>
      <c r="W8" s="291"/>
      <c r="X8" s="291">
        <v>22</v>
      </c>
      <c r="Y8" s="291">
        <v>192</v>
      </c>
      <c r="Z8" s="291">
        <v>243</v>
      </c>
      <c r="AA8" s="291">
        <v>231.4</v>
      </c>
      <c r="AB8" s="308">
        <v>0</v>
      </c>
    </row>
    <row r="9" spans="1:28" ht="9.75">
      <c r="A9" s="291" t="s">
        <v>229</v>
      </c>
      <c r="B9" s="289" t="s">
        <v>230</v>
      </c>
      <c r="C9" s="291">
        <v>0</v>
      </c>
      <c r="D9" s="291">
        <v>0</v>
      </c>
      <c r="E9" s="291">
        <v>0</v>
      </c>
      <c r="F9" s="291">
        <v>1</v>
      </c>
      <c r="G9" s="291">
        <v>0</v>
      </c>
      <c r="H9" s="291">
        <v>0</v>
      </c>
      <c r="I9" s="291">
        <v>12</v>
      </c>
      <c r="J9" s="291">
        <v>3</v>
      </c>
      <c r="K9" s="291">
        <v>0</v>
      </c>
      <c r="L9" s="291">
        <v>0</v>
      </c>
      <c r="M9" s="291">
        <v>0</v>
      </c>
      <c r="N9" s="291">
        <v>0</v>
      </c>
      <c r="O9" s="291">
        <v>0</v>
      </c>
      <c r="P9" s="291">
        <v>0</v>
      </c>
      <c r="Q9" s="291">
        <v>0</v>
      </c>
      <c r="R9" s="291">
        <v>0</v>
      </c>
      <c r="S9" s="291"/>
      <c r="T9" s="291"/>
      <c r="U9" s="291"/>
      <c r="V9" s="291">
        <v>28</v>
      </c>
      <c r="W9" s="291"/>
      <c r="X9" s="291"/>
      <c r="Y9" s="291">
        <v>279</v>
      </c>
      <c r="Z9" s="291">
        <v>307</v>
      </c>
      <c r="AA9" s="291">
        <v>295.8</v>
      </c>
      <c r="AB9" s="308">
        <v>96961.8</v>
      </c>
    </row>
    <row r="10" spans="1:28" ht="9.75">
      <c r="A10" s="289" t="s">
        <v>231</v>
      </c>
      <c r="B10" s="289" t="s">
        <v>58</v>
      </c>
      <c r="C10" s="291">
        <v>0</v>
      </c>
      <c r="D10" s="291">
        <v>0</v>
      </c>
      <c r="E10" s="291">
        <v>0</v>
      </c>
      <c r="F10" s="291">
        <v>0</v>
      </c>
      <c r="G10" s="291">
        <v>0</v>
      </c>
      <c r="H10" s="291">
        <v>0</v>
      </c>
      <c r="I10" s="291">
        <v>3</v>
      </c>
      <c r="J10" s="291">
        <v>0</v>
      </c>
      <c r="K10" s="291">
        <v>0</v>
      </c>
      <c r="L10" s="291">
        <v>0</v>
      </c>
      <c r="M10" s="291">
        <v>0</v>
      </c>
      <c r="N10" s="291">
        <v>0</v>
      </c>
      <c r="O10" s="291">
        <v>0</v>
      </c>
      <c r="P10" s="291">
        <v>0</v>
      </c>
      <c r="Q10" s="291">
        <v>0</v>
      </c>
      <c r="R10" s="291">
        <v>0</v>
      </c>
      <c r="S10" s="291">
        <v>19</v>
      </c>
      <c r="T10" s="291"/>
      <c r="U10" s="291"/>
      <c r="V10" s="291"/>
      <c r="W10" s="291"/>
      <c r="X10" s="291">
        <v>19</v>
      </c>
      <c r="Y10" s="291">
        <v>185</v>
      </c>
      <c r="Z10" s="291">
        <v>223</v>
      </c>
      <c r="AA10" s="291">
        <v>213.5</v>
      </c>
      <c r="AB10" s="308">
        <v>18646.5</v>
      </c>
    </row>
    <row r="11" spans="1:28" ht="9.75">
      <c r="A11" s="289" t="s">
        <v>59</v>
      </c>
      <c r="B11" s="289" t="s">
        <v>85</v>
      </c>
      <c r="C11" s="291">
        <v>1</v>
      </c>
      <c r="D11" s="291">
        <v>0</v>
      </c>
      <c r="E11" s="291">
        <v>0</v>
      </c>
      <c r="F11" s="291">
        <v>0</v>
      </c>
      <c r="G11" s="291">
        <v>0</v>
      </c>
      <c r="H11" s="291">
        <v>1</v>
      </c>
      <c r="I11" s="291">
        <v>18</v>
      </c>
      <c r="J11" s="291">
        <v>0</v>
      </c>
      <c r="K11" s="291">
        <v>0</v>
      </c>
      <c r="L11" s="291">
        <v>0</v>
      </c>
      <c r="M11" s="291">
        <v>0</v>
      </c>
      <c r="N11" s="291">
        <v>0</v>
      </c>
      <c r="O11" s="291">
        <v>0</v>
      </c>
      <c r="P11" s="291">
        <v>0</v>
      </c>
      <c r="Q11" s="291">
        <v>2</v>
      </c>
      <c r="R11" s="291">
        <v>0</v>
      </c>
      <c r="S11" s="291">
        <v>20</v>
      </c>
      <c r="T11" s="291"/>
      <c r="U11" s="291"/>
      <c r="V11" s="291"/>
      <c r="W11" s="291"/>
      <c r="X11" s="291">
        <v>21</v>
      </c>
      <c r="Y11" s="291">
        <v>177</v>
      </c>
      <c r="Z11" s="291">
        <v>218</v>
      </c>
      <c r="AA11" s="291">
        <v>208</v>
      </c>
      <c r="AB11" s="308">
        <v>128956.25</v>
      </c>
    </row>
    <row r="12" spans="1:28" ht="9.75">
      <c r="A12" s="291" t="s">
        <v>232</v>
      </c>
      <c r="B12" s="289" t="s">
        <v>58</v>
      </c>
      <c r="C12" s="291">
        <v>0</v>
      </c>
      <c r="D12" s="291">
        <v>0</v>
      </c>
      <c r="E12" s="291">
        <v>0</v>
      </c>
      <c r="F12" s="291">
        <v>0</v>
      </c>
      <c r="G12" s="291">
        <v>0</v>
      </c>
      <c r="H12" s="291">
        <v>1</v>
      </c>
      <c r="I12" s="291">
        <v>10</v>
      </c>
      <c r="J12" s="291">
        <v>4</v>
      </c>
      <c r="K12" s="291">
        <v>0</v>
      </c>
      <c r="L12" s="291">
        <v>0</v>
      </c>
      <c r="M12" s="291">
        <v>0</v>
      </c>
      <c r="N12" s="291">
        <v>0</v>
      </c>
      <c r="O12" s="291">
        <v>0</v>
      </c>
      <c r="P12" s="291">
        <v>0</v>
      </c>
      <c r="Q12" s="291">
        <v>0</v>
      </c>
      <c r="R12" s="291">
        <v>0</v>
      </c>
      <c r="S12" s="291"/>
      <c r="T12" s="291">
        <v>20</v>
      </c>
      <c r="U12" s="291"/>
      <c r="V12" s="291"/>
      <c r="W12" s="291"/>
      <c r="X12" s="291">
        <v>26</v>
      </c>
      <c r="Y12" s="291">
        <v>275</v>
      </c>
      <c r="Z12" s="291">
        <v>321</v>
      </c>
      <c r="AA12" s="291">
        <v>313</v>
      </c>
      <c r="AB12" s="308">
        <v>93232.5</v>
      </c>
    </row>
    <row r="13" spans="1:28" ht="9.75">
      <c r="A13" s="290" t="s">
        <v>233</v>
      </c>
      <c r="B13" s="289" t="s">
        <v>234</v>
      </c>
      <c r="C13" s="291">
        <v>3</v>
      </c>
      <c r="D13" s="291">
        <v>0</v>
      </c>
      <c r="E13" s="291">
        <v>0</v>
      </c>
      <c r="F13" s="291">
        <v>0</v>
      </c>
      <c r="G13" s="291">
        <v>0</v>
      </c>
      <c r="H13" s="291">
        <v>3</v>
      </c>
      <c r="I13" s="291">
        <v>6</v>
      </c>
      <c r="J13" s="291">
        <v>0</v>
      </c>
      <c r="K13" s="291">
        <v>0</v>
      </c>
      <c r="L13" s="291">
        <v>0</v>
      </c>
      <c r="M13" s="291">
        <v>0</v>
      </c>
      <c r="N13" s="291">
        <v>0</v>
      </c>
      <c r="O13" s="291">
        <v>0</v>
      </c>
      <c r="P13" s="291">
        <v>0</v>
      </c>
      <c r="Q13" s="291">
        <v>0</v>
      </c>
      <c r="R13" s="291">
        <v>0</v>
      </c>
      <c r="S13" s="291">
        <v>17</v>
      </c>
      <c r="T13" s="291">
        <v>0</v>
      </c>
      <c r="U13" s="291">
        <v>0</v>
      </c>
      <c r="V13" s="291">
        <v>0</v>
      </c>
      <c r="W13" s="291">
        <v>0</v>
      </c>
      <c r="X13" s="291">
        <v>13</v>
      </c>
      <c r="Y13" s="291">
        <v>70</v>
      </c>
      <c r="Z13" s="291">
        <v>100</v>
      </c>
      <c r="AA13" s="291">
        <v>91.5</v>
      </c>
      <c r="AB13" s="308">
        <v>65262.75</v>
      </c>
    </row>
    <row r="14" spans="1:28" ht="9.75">
      <c r="A14" s="289" t="s">
        <v>86</v>
      </c>
      <c r="B14" s="289" t="s">
        <v>87</v>
      </c>
      <c r="C14" s="291">
        <v>0</v>
      </c>
      <c r="D14" s="291">
        <v>0</v>
      </c>
      <c r="E14" s="291">
        <v>0</v>
      </c>
      <c r="F14" s="291">
        <v>0</v>
      </c>
      <c r="G14" s="291">
        <v>0</v>
      </c>
      <c r="H14" s="291">
        <v>2</v>
      </c>
      <c r="I14" s="291">
        <v>3</v>
      </c>
      <c r="J14" s="291">
        <v>0</v>
      </c>
      <c r="K14" s="291">
        <v>0</v>
      </c>
      <c r="L14" s="291">
        <v>0</v>
      </c>
      <c r="M14" s="291">
        <v>0</v>
      </c>
      <c r="N14" s="291">
        <v>0</v>
      </c>
      <c r="O14" s="291">
        <v>0</v>
      </c>
      <c r="P14" s="291">
        <v>0</v>
      </c>
      <c r="Q14" s="291">
        <v>2</v>
      </c>
      <c r="R14" s="291">
        <v>0</v>
      </c>
      <c r="S14" s="291">
        <v>11</v>
      </c>
      <c r="T14" s="291">
        <v>0</v>
      </c>
      <c r="U14" s="291">
        <v>2</v>
      </c>
      <c r="V14" s="291">
        <v>0</v>
      </c>
      <c r="W14" s="291">
        <v>0</v>
      </c>
      <c r="X14" s="291">
        <v>22</v>
      </c>
      <c r="Y14" s="291">
        <v>234</v>
      </c>
      <c r="Z14" s="291">
        <v>269</v>
      </c>
      <c r="AA14" s="291">
        <v>262.5</v>
      </c>
      <c r="AB14" s="308">
        <v>38831.5</v>
      </c>
    </row>
    <row r="15" spans="1:28" ht="9.75">
      <c r="A15" s="291" t="s">
        <v>235</v>
      </c>
      <c r="B15" s="289" t="s">
        <v>236</v>
      </c>
      <c r="C15" s="291">
        <v>0</v>
      </c>
      <c r="D15" s="291">
        <v>0</v>
      </c>
      <c r="E15" s="291">
        <v>0</v>
      </c>
      <c r="F15" s="291">
        <v>0</v>
      </c>
      <c r="G15" s="291">
        <v>0</v>
      </c>
      <c r="H15" s="291">
        <v>1</v>
      </c>
      <c r="I15" s="291">
        <v>4</v>
      </c>
      <c r="J15" s="291">
        <v>0</v>
      </c>
      <c r="K15" s="291">
        <v>0</v>
      </c>
      <c r="L15" s="291">
        <v>0</v>
      </c>
      <c r="M15" s="291">
        <v>0</v>
      </c>
      <c r="N15" s="291">
        <v>0</v>
      </c>
      <c r="O15" s="291">
        <v>0</v>
      </c>
      <c r="P15" s="291">
        <v>0</v>
      </c>
      <c r="Q15" s="291">
        <v>0</v>
      </c>
      <c r="R15" s="291">
        <v>0</v>
      </c>
      <c r="S15" s="291">
        <v>9</v>
      </c>
      <c r="T15" s="291">
        <v>0</v>
      </c>
      <c r="U15" s="291">
        <v>0</v>
      </c>
      <c r="V15" s="291">
        <v>0</v>
      </c>
      <c r="W15" s="291">
        <v>0</v>
      </c>
      <c r="X15" s="291">
        <v>10</v>
      </c>
      <c r="Y15" s="291">
        <v>54</v>
      </c>
      <c r="Z15" s="291">
        <v>73</v>
      </c>
      <c r="AA15" s="291">
        <v>68.5</v>
      </c>
      <c r="AB15" s="308">
        <v>31077.5</v>
      </c>
    </row>
    <row r="16" spans="1:28" ht="9.75">
      <c r="A16" s="292" t="s">
        <v>237</v>
      </c>
      <c r="B16" s="289" t="s">
        <v>238</v>
      </c>
      <c r="C16" s="291">
        <v>0</v>
      </c>
      <c r="D16" s="291">
        <v>0</v>
      </c>
      <c r="E16" s="291">
        <v>0</v>
      </c>
      <c r="F16" s="291">
        <v>0</v>
      </c>
      <c r="G16" s="291">
        <v>0</v>
      </c>
      <c r="H16" s="291">
        <v>1</v>
      </c>
      <c r="I16" s="291">
        <v>2</v>
      </c>
      <c r="J16" s="291">
        <v>0</v>
      </c>
      <c r="K16" s="291">
        <v>0</v>
      </c>
      <c r="L16" s="291">
        <v>0</v>
      </c>
      <c r="M16" s="291">
        <v>0</v>
      </c>
      <c r="N16" s="291">
        <v>0</v>
      </c>
      <c r="O16" s="291">
        <v>0</v>
      </c>
      <c r="P16" s="291">
        <v>0</v>
      </c>
      <c r="Q16" s="291">
        <v>0</v>
      </c>
      <c r="R16" s="291">
        <v>0</v>
      </c>
      <c r="S16" s="291">
        <v>24</v>
      </c>
      <c r="T16" s="291">
        <v>0</v>
      </c>
      <c r="U16" s="291">
        <v>1</v>
      </c>
      <c r="V16" s="291">
        <v>0</v>
      </c>
      <c r="W16" s="291">
        <v>0</v>
      </c>
      <c r="X16" s="291">
        <v>16</v>
      </c>
      <c r="Y16" s="291">
        <v>155</v>
      </c>
      <c r="Z16" s="291">
        <v>196</v>
      </c>
      <c r="AA16" s="291">
        <v>183.5</v>
      </c>
      <c r="AB16" s="308">
        <v>18646.5</v>
      </c>
    </row>
    <row r="17" spans="1:28" ht="9.75">
      <c r="A17" s="289" t="s">
        <v>67</v>
      </c>
      <c r="B17" s="289" t="s">
        <v>58</v>
      </c>
      <c r="C17" s="291">
        <v>0</v>
      </c>
      <c r="D17" s="291">
        <v>0</v>
      </c>
      <c r="E17" s="291">
        <v>0</v>
      </c>
      <c r="F17" s="291">
        <v>0</v>
      </c>
      <c r="G17" s="291">
        <v>0</v>
      </c>
      <c r="H17" s="291">
        <v>0</v>
      </c>
      <c r="I17" s="291">
        <v>4</v>
      </c>
      <c r="J17" s="291">
        <v>0</v>
      </c>
      <c r="K17" s="291">
        <v>0</v>
      </c>
      <c r="L17" s="291">
        <v>0</v>
      </c>
      <c r="M17" s="291">
        <v>0</v>
      </c>
      <c r="N17" s="291">
        <v>0</v>
      </c>
      <c r="O17" s="291">
        <v>0</v>
      </c>
      <c r="P17" s="291">
        <v>0</v>
      </c>
      <c r="Q17" s="291">
        <v>0</v>
      </c>
      <c r="R17" s="291">
        <v>0</v>
      </c>
      <c r="S17" s="291"/>
      <c r="T17" s="291">
        <v>16</v>
      </c>
      <c r="U17" s="291"/>
      <c r="V17" s="291"/>
      <c r="W17" s="291"/>
      <c r="X17" s="291">
        <v>28</v>
      </c>
      <c r="Y17" s="291">
        <v>218</v>
      </c>
      <c r="Z17" s="291">
        <v>262</v>
      </c>
      <c r="AA17" s="291">
        <v>255.6</v>
      </c>
      <c r="AB17" s="308">
        <v>24862</v>
      </c>
    </row>
    <row r="18" spans="1:28" ht="9.75">
      <c r="A18" s="289" t="s">
        <v>61</v>
      </c>
      <c r="B18" s="289" t="s">
        <v>88</v>
      </c>
      <c r="C18" s="291">
        <v>0</v>
      </c>
      <c r="D18" s="291">
        <v>0</v>
      </c>
      <c r="E18" s="291">
        <v>0</v>
      </c>
      <c r="F18" s="291">
        <v>0</v>
      </c>
      <c r="G18" s="291">
        <v>0</v>
      </c>
      <c r="H18" s="291">
        <v>1</v>
      </c>
      <c r="I18" s="291">
        <v>1</v>
      </c>
      <c r="J18" s="291">
        <v>5</v>
      </c>
      <c r="K18" s="291">
        <v>0</v>
      </c>
      <c r="L18" s="291">
        <v>0</v>
      </c>
      <c r="M18" s="291">
        <v>0</v>
      </c>
      <c r="N18" s="291">
        <v>0</v>
      </c>
      <c r="O18" s="291">
        <v>0</v>
      </c>
      <c r="P18" s="291">
        <v>0</v>
      </c>
      <c r="Q18" s="291">
        <v>1</v>
      </c>
      <c r="R18" s="291">
        <v>0</v>
      </c>
      <c r="S18" s="291"/>
      <c r="T18" s="291"/>
      <c r="U18" s="291"/>
      <c r="V18" s="291"/>
      <c r="W18" s="291"/>
      <c r="X18" s="291">
        <v>30</v>
      </c>
      <c r="Y18" s="291">
        <v>518</v>
      </c>
      <c r="Z18" s="291">
        <v>548</v>
      </c>
      <c r="AA18" s="291">
        <v>548</v>
      </c>
      <c r="AB18" s="308">
        <v>47385.5</v>
      </c>
    </row>
    <row r="19" spans="1:28" ht="9.75">
      <c r="A19" s="291" t="s">
        <v>239</v>
      </c>
      <c r="B19" s="289" t="s">
        <v>94</v>
      </c>
      <c r="C19" s="291">
        <v>2</v>
      </c>
      <c r="D19" s="291">
        <v>0</v>
      </c>
      <c r="E19" s="291">
        <v>0</v>
      </c>
      <c r="F19" s="291">
        <v>0</v>
      </c>
      <c r="G19" s="291">
        <v>0</v>
      </c>
      <c r="H19" s="291">
        <v>1</v>
      </c>
      <c r="I19" s="291">
        <v>5</v>
      </c>
      <c r="J19" s="291">
        <v>0</v>
      </c>
      <c r="K19" s="291">
        <v>0</v>
      </c>
      <c r="L19" s="291">
        <v>0</v>
      </c>
      <c r="M19" s="291">
        <v>0</v>
      </c>
      <c r="N19" s="291">
        <v>0</v>
      </c>
      <c r="O19" s="291">
        <v>0</v>
      </c>
      <c r="P19" s="291">
        <v>0</v>
      </c>
      <c r="Q19" s="291">
        <v>0</v>
      </c>
      <c r="R19" s="291">
        <v>0</v>
      </c>
      <c r="S19" s="291">
        <v>7</v>
      </c>
      <c r="T19" s="291">
        <v>15</v>
      </c>
      <c r="U19" s="291">
        <v>0</v>
      </c>
      <c r="V19" s="291">
        <v>0</v>
      </c>
      <c r="W19" s="291">
        <v>0</v>
      </c>
      <c r="X19" s="291">
        <v>17</v>
      </c>
      <c r="Y19" s="291">
        <v>184</v>
      </c>
      <c r="Z19" s="291">
        <v>223</v>
      </c>
      <c r="AA19" s="291">
        <v>213.5</v>
      </c>
      <c r="AB19" s="308">
        <v>43508.5</v>
      </c>
    </row>
    <row r="20" spans="1:28" ht="9.75">
      <c r="A20" s="292" t="s">
        <v>240</v>
      </c>
      <c r="B20" s="289" t="s">
        <v>58</v>
      </c>
      <c r="C20" s="291">
        <v>0</v>
      </c>
      <c r="D20" s="291">
        <v>0</v>
      </c>
      <c r="E20" s="291">
        <v>0</v>
      </c>
      <c r="F20" s="291">
        <v>0</v>
      </c>
      <c r="G20" s="291">
        <v>0</v>
      </c>
      <c r="H20" s="291">
        <v>0</v>
      </c>
      <c r="I20" s="291">
        <v>4</v>
      </c>
      <c r="J20" s="291">
        <v>0</v>
      </c>
      <c r="K20" s="291">
        <v>0</v>
      </c>
      <c r="L20" s="291">
        <v>0</v>
      </c>
      <c r="M20" s="291">
        <v>0</v>
      </c>
      <c r="N20" s="291">
        <v>0</v>
      </c>
      <c r="O20" s="291">
        <v>0</v>
      </c>
      <c r="P20" s="291">
        <v>0</v>
      </c>
      <c r="Q20" s="291">
        <v>0</v>
      </c>
      <c r="R20" s="291">
        <v>0</v>
      </c>
      <c r="S20" s="291">
        <v>0</v>
      </c>
      <c r="T20" s="291">
        <v>0</v>
      </c>
      <c r="U20" s="291">
        <v>0</v>
      </c>
      <c r="V20" s="291">
        <v>0</v>
      </c>
      <c r="W20" s="291">
        <v>0</v>
      </c>
      <c r="X20" s="291">
        <v>15</v>
      </c>
      <c r="Y20" s="291">
        <v>135</v>
      </c>
      <c r="Z20" s="291">
        <v>150</v>
      </c>
      <c r="AA20" s="291">
        <v>150</v>
      </c>
      <c r="AB20" s="308">
        <v>24862</v>
      </c>
    </row>
    <row r="21" spans="1:28" ht="9.75">
      <c r="A21" s="289" t="s">
        <v>89</v>
      </c>
      <c r="B21" s="289" t="s">
        <v>90</v>
      </c>
      <c r="C21" s="291">
        <v>0</v>
      </c>
      <c r="D21" s="291">
        <v>0</v>
      </c>
      <c r="E21" s="291">
        <v>0</v>
      </c>
      <c r="F21" s="291">
        <v>0</v>
      </c>
      <c r="G21" s="291">
        <v>0</v>
      </c>
      <c r="H21" s="291">
        <v>0</v>
      </c>
      <c r="I21" s="291">
        <v>4</v>
      </c>
      <c r="J21" s="291">
        <v>0</v>
      </c>
      <c r="K21" s="291">
        <v>0</v>
      </c>
      <c r="L21" s="291">
        <v>0</v>
      </c>
      <c r="M21" s="291">
        <v>0</v>
      </c>
      <c r="N21" s="291">
        <v>0</v>
      </c>
      <c r="O21" s="291">
        <v>0</v>
      </c>
      <c r="P21" s="291">
        <v>0</v>
      </c>
      <c r="Q21" s="291">
        <v>0</v>
      </c>
      <c r="R21" s="291">
        <v>0</v>
      </c>
      <c r="S21" s="291">
        <v>0</v>
      </c>
      <c r="T21" s="291">
        <v>20</v>
      </c>
      <c r="U21" s="291">
        <v>0</v>
      </c>
      <c r="V21" s="291">
        <v>0</v>
      </c>
      <c r="W21" s="291">
        <v>0</v>
      </c>
      <c r="X21" s="291">
        <v>11</v>
      </c>
      <c r="Y21" s="291">
        <v>145</v>
      </c>
      <c r="Z21" s="291">
        <v>176</v>
      </c>
      <c r="AA21" s="291">
        <v>168</v>
      </c>
      <c r="AB21" s="308">
        <v>24862</v>
      </c>
    </row>
    <row r="22" spans="1:28" ht="9.75">
      <c r="A22" s="290" t="s">
        <v>241</v>
      </c>
      <c r="B22" s="289" t="s">
        <v>242</v>
      </c>
      <c r="C22" s="291">
        <v>0</v>
      </c>
      <c r="D22" s="291">
        <v>0</v>
      </c>
      <c r="E22" s="291">
        <v>0</v>
      </c>
      <c r="F22" s="291">
        <v>0</v>
      </c>
      <c r="G22" s="291">
        <v>0</v>
      </c>
      <c r="H22" s="291">
        <v>0</v>
      </c>
      <c r="I22" s="291">
        <v>4</v>
      </c>
      <c r="J22" s="291">
        <v>0</v>
      </c>
      <c r="K22" s="291">
        <v>0</v>
      </c>
      <c r="L22" s="291">
        <v>0</v>
      </c>
      <c r="M22" s="291">
        <v>0</v>
      </c>
      <c r="N22" s="291">
        <v>0</v>
      </c>
      <c r="O22" s="291">
        <v>0</v>
      </c>
      <c r="P22" s="291">
        <v>0</v>
      </c>
      <c r="Q22" s="291">
        <v>0</v>
      </c>
      <c r="R22" s="291">
        <v>0</v>
      </c>
      <c r="S22" s="291"/>
      <c r="T22" s="291"/>
      <c r="U22" s="291"/>
      <c r="V22" s="291"/>
      <c r="W22" s="291"/>
      <c r="X22" s="291">
        <v>36</v>
      </c>
      <c r="Y22" s="291">
        <v>393</v>
      </c>
      <c r="Z22" s="291">
        <v>429</v>
      </c>
      <c r="AA22" s="291">
        <v>429</v>
      </c>
      <c r="AB22" s="308">
        <v>24862</v>
      </c>
    </row>
    <row r="23" spans="1:28" ht="9.75">
      <c r="A23" s="289" t="s">
        <v>243</v>
      </c>
      <c r="B23" s="289" t="s">
        <v>91</v>
      </c>
      <c r="C23" s="291">
        <v>0</v>
      </c>
      <c r="D23" s="291">
        <v>0</v>
      </c>
      <c r="E23" s="291">
        <v>0</v>
      </c>
      <c r="F23" s="291">
        <v>0</v>
      </c>
      <c r="G23" s="291">
        <v>0</v>
      </c>
      <c r="H23" s="291">
        <v>0</v>
      </c>
      <c r="I23" s="291">
        <v>1</v>
      </c>
      <c r="J23" s="291">
        <v>0</v>
      </c>
      <c r="K23" s="291">
        <v>0</v>
      </c>
      <c r="L23" s="291">
        <v>0</v>
      </c>
      <c r="M23" s="291">
        <v>0</v>
      </c>
      <c r="N23" s="291">
        <v>0</v>
      </c>
      <c r="O23" s="291">
        <v>0</v>
      </c>
      <c r="P23" s="291">
        <v>0</v>
      </c>
      <c r="Q23" s="291">
        <v>0</v>
      </c>
      <c r="R23" s="291">
        <v>0</v>
      </c>
      <c r="S23" s="291">
        <v>22</v>
      </c>
      <c r="T23" s="291">
        <v>0</v>
      </c>
      <c r="U23" s="291">
        <v>0</v>
      </c>
      <c r="V23" s="291">
        <v>0</v>
      </c>
      <c r="W23" s="291">
        <v>0</v>
      </c>
      <c r="X23" s="291">
        <v>11</v>
      </c>
      <c r="Y23" s="291">
        <v>46</v>
      </c>
      <c r="Z23" s="291">
        <v>79</v>
      </c>
      <c r="AA23" s="291">
        <v>68</v>
      </c>
      <c r="AB23" s="308">
        <v>6215.5</v>
      </c>
    </row>
    <row r="24" spans="1:28" ht="9.75">
      <c r="A24" s="289" t="s">
        <v>244</v>
      </c>
      <c r="B24" s="289" t="s">
        <v>92</v>
      </c>
      <c r="C24" s="291">
        <v>6</v>
      </c>
      <c r="D24" s="291">
        <v>0</v>
      </c>
      <c r="E24" s="291">
        <v>0</v>
      </c>
      <c r="F24" s="291">
        <v>0</v>
      </c>
      <c r="G24" s="291">
        <v>0</v>
      </c>
      <c r="H24" s="291">
        <v>2</v>
      </c>
      <c r="I24" s="291">
        <v>19</v>
      </c>
      <c r="J24" s="291">
        <v>0</v>
      </c>
      <c r="K24" s="291">
        <v>0</v>
      </c>
      <c r="L24" s="291">
        <v>0</v>
      </c>
      <c r="M24" s="291">
        <v>0</v>
      </c>
      <c r="N24" s="291">
        <v>0</v>
      </c>
      <c r="O24" s="291">
        <v>0</v>
      </c>
      <c r="P24" s="291">
        <v>0</v>
      </c>
      <c r="Q24" s="291">
        <v>0</v>
      </c>
      <c r="R24" s="291">
        <v>0</v>
      </c>
      <c r="S24" s="291">
        <v>56</v>
      </c>
      <c r="T24" s="291"/>
      <c r="U24" s="291"/>
      <c r="V24" s="291"/>
      <c r="W24" s="291"/>
      <c r="X24" s="291">
        <v>36</v>
      </c>
      <c r="Y24" s="291">
        <v>245</v>
      </c>
      <c r="Z24" s="291">
        <v>337</v>
      </c>
      <c r="AA24" s="291">
        <v>309</v>
      </c>
      <c r="AB24" s="308">
        <v>149172</v>
      </c>
    </row>
    <row r="25" spans="1:28" ht="9.75">
      <c r="A25" s="291" t="s">
        <v>245</v>
      </c>
      <c r="B25" s="289" t="s">
        <v>246</v>
      </c>
      <c r="C25" s="291">
        <v>0</v>
      </c>
      <c r="D25" s="291">
        <v>0</v>
      </c>
      <c r="E25" s="291">
        <v>0</v>
      </c>
      <c r="F25" s="291">
        <v>0</v>
      </c>
      <c r="G25" s="291">
        <v>0</v>
      </c>
      <c r="H25" s="291">
        <v>0</v>
      </c>
      <c r="I25" s="291">
        <v>0</v>
      </c>
      <c r="J25" s="291">
        <v>13</v>
      </c>
      <c r="K25" s="291">
        <v>0</v>
      </c>
      <c r="L25" s="291">
        <v>0</v>
      </c>
      <c r="M25" s="291">
        <v>0</v>
      </c>
      <c r="N25" s="291">
        <v>0</v>
      </c>
      <c r="O25" s="291">
        <v>0</v>
      </c>
      <c r="P25" s="291">
        <v>0</v>
      </c>
      <c r="Q25" s="291">
        <v>0</v>
      </c>
      <c r="R25" s="291">
        <v>0</v>
      </c>
      <c r="S25" s="291"/>
      <c r="T25" s="291"/>
      <c r="U25" s="291"/>
      <c r="V25" s="291"/>
      <c r="W25" s="291"/>
      <c r="X25" s="291"/>
      <c r="Y25" s="291">
        <v>483</v>
      </c>
      <c r="Z25" s="291">
        <v>483</v>
      </c>
      <c r="AA25" s="291">
        <v>483</v>
      </c>
      <c r="AB25" s="308">
        <v>80801.5</v>
      </c>
    </row>
    <row r="26" spans="1:28" ht="9.75">
      <c r="A26" s="289" t="s">
        <v>93</v>
      </c>
      <c r="B26" s="289" t="s">
        <v>87</v>
      </c>
      <c r="C26" s="291">
        <v>0</v>
      </c>
      <c r="D26" s="291">
        <v>0</v>
      </c>
      <c r="E26" s="291">
        <v>0</v>
      </c>
      <c r="F26" s="291">
        <v>0</v>
      </c>
      <c r="G26" s="291">
        <v>0</v>
      </c>
      <c r="H26" s="291">
        <v>0</v>
      </c>
      <c r="I26" s="291">
        <v>0</v>
      </c>
      <c r="J26" s="291">
        <v>13</v>
      </c>
      <c r="K26" s="291">
        <v>0</v>
      </c>
      <c r="L26" s="291">
        <v>0</v>
      </c>
      <c r="M26" s="291">
        <v>0</v>
      </c>
      <c r="N26" s="291">
        <v>0</v>
      </c>
      <c r="O26" s="291">
        <v>0</v>
      </c>
      <c r="P26" s="291">
        <v>0</v>
      </c>
      <c r="Q26" s="291">
        <v>0</v>
      </c>
      <c r="R26" s="291">
        <v>0</v>
      </c>
      <c r="S26" s="291"/>
      <c r="T26" s="291"/>
      <c r="U26" s="291"/>
      <c r="V26" s="291"/>
      <c r="W26" s="291"/>
      <c r="X26" s="291"/>
      <c r="Y26" s="291">
        <v>370</v>
      </c>
      <c r="Z26" s="291">
        <v>370</v>
      </c>
      <c r="AA26" s="291">
        <v>370</v>
      </c>
      <c r="AB26" s="308">
        <v>80801.5</v>
      </c>
    </row>
    <row r="27" spans="1:28" ht="9.75">
      <c r="A27" s="289" t="s">
        <v>62</v>
      </c>
      <c r="B27" s="289" t="s">
        <v>94</v>
      </c>
      <c r="C27" s="291">
        <v>0</v>
      </c>
      <c r="D27" s="291">
        <v>1</v>
      </c>
      <c r="E27" s="291">
        <v>0</v>
      </c>
      <c r="F27" s="291">
        <v>0</v>
      </c>
      <c r="G27" s="291">
        <v>0</v>
      </c>
      <c r="H27" s="291">
        <v>1</v>
      </c>
      <c r="I27" s="291">
        <v>17</v>
      </c>
      <c r="J27" s="291">
        <v>0</v>
      </c>
      <c r="K27" s="291">
        <v>0</v>
      </c>
      <c r="L27" s="291">
        <v>0</v>
      </c>
      <c r="M27" s="291">
        <v>0</v>
      </c>
      <c r="N27" s="291">
        <v>0</v>
      </c>
      <c r="O27" s="291">
        <v>0</v>
      </c>
      <c r="P27" s="291">
        <v>0</v>
      </c>
      <c r="Q27" s="291">
        <v>1</v>
      </c>
      <c r="R27" s="291">
        <v>0</v>
      </c>
      <c r="S27" s="291"/>
      <c r="T27" s="291">
        <v>31</v>
      </c>
      <c r="U27" s="291"/>
      <c r="V27" s="291"/>
      <c r="W27" s="291"/>
      <c r="X27" s="291">
        <v>28</v>
      </c>
      <c r="Y27" s="291">
        <v>127</v>
      </c>
      <c r="Z27" s="291">
        <v>186</v>
      </c>
      <c r="AA27" s="291">
        <v>173.6</v>
      </c>
      <c r="AB27" s="308">
        <v>119485.3</v>
      </c>
    </row>
    <row r="28" spans="1:28" ht="9.75">
      <c r="A28" s="289" t="s">
        <v>95</v>
      </c>
      <c r="B28" s="289" t="s">
        <v>139</v>
      </c>
      <c r="C28" s="291">
        <v>0</v>
      </c>
      <c r="D28" s="291">
        <v>0</v>
      </c>
      <c r="E28" s="291">
        <v>0</v>
      </c>
      <c r="F28" s="291">
        <v>0</v>
      </c>
      <c r="G28" s="291">
        <v>0</v>
      </c>
      <c r="H28" s="291">
        <v>0</v>
      </c>
      <c r="I28" s="291">
        <v>27</v>
      </c>
      <c r="J28" s="291">
        <v>7</v>
      </c>
      <c r="K28" s="291">
        <v>0</v>
      </c>
      <c r="L28" s="291">
        <v>0</v>
      </c>
      <c r="M28" s="291">
        <v>0</v>
      </c>
      <c r="N28" s="291">
        <v>0</v>
      </c>
      <c r="O28" s="291">
        <v>0</v>
      </c>
      <c r="P28" s="291">
        <v>0</v>
      </c>
      <c r="Q28" s="291">
        <v>0</v>
      </c>
      <c r="R28" s="291">
        <v>0</v>
      </c>
      <c r="S28" s="291"/>
      <c r="T28" s="291"/>
      <c r="U28" s="291"/>
      <c r="V28" s="291"/>
      <c r="W28" s="291"/>
      <c r="X28" s="291"/>
      <c r="Y28" s="291">
        <v>51</v>
      </c>
      <c r="Z28" s="291">
        <v>51</v>
      </c>
      <c r="AA28" s="291">
        <v>51</v>
      </c>
      <c r="AB28" s="308">
        <v>211327</v>
      </c>
    </row>
    <row r="29" spans="1:28" ht="9.75">
      <c r="A29" s="289" t="s">
        <v>366</v>
      </c>
      <c r="B29" s="289" t="s">
        <v>96</v>
      </c>
      <c r="C29" s="291">
        <v>0</v>
      </c>
      <c r="D29" s="291">
        <v>0</v>
      </c>
      <c r="E29" s="291">
        <v>0</v>
      </c>
      <c r="F29" s="291">
        <v>0</v>
      </c>
      <c r="G29" s="291">
        <v>0</v>
      </c>
      <c r="H29" s="291">
        <v>0</v>
      </c>
      <c r="I29" s="291">
        <v>0</v>
      </c>
      <c r="J29" s="291">
        <v>10</v>
      </c>
      <c r="K29" s="291">
        <v>0</v>
      </c>
      <c r="L29" s="291">
        <v>0</v>
      </c>
      <c r="M29" s="291">
        <v>0</v>
      </c>
      <c r="N29" s="291">
        <v>0</v>
      </c>
      <c r="O29" s="291">
        <v>0</v>
      </c>
      <c r="P29" s="291">
        <v>0</v>
      </c>
      <c r="Q29" s="291">
        <v>0</v>
      </c>
      <c r="R29" s="291">
        <v>0</v>
      </c>
      <c r="S29" s="291"/>
      <c r="T29" s="291"/>
      <c r="U29" s="291"/>
      <c r="V29" s="291"/>
      <c r="W29" s="291"/>
      <c r="X29" s="291"/>
      <c r="Y29" s="291">
        <v>519</v>
      </c>
      <c r="Z29" s="291">
        <v>519</v>
      </c>
      <c r="AA29" s="291">
        <v>519</v>
      </c>
      <c r="AB29" s="308">
        <v>62155</v>
      </c>
    </row>
    <row r="30" spans="1:28" ht="9.75">
      <c r="A30" s="291" t="s">
        <v>247</v>
      </c>
      <c r="B30" s="289" t="s">
        <v>248</v>
      </c>
      <c r="C30" s="291">
        <v>0</v>
      </c>
      <c r="D30" s="291">
        <v>0</v>
      </c>
      <c r="E30" s="291">
        <v>0</v>
      </c>
      <c r="F30" s="291">
        <v>0</v>
      </c>
      <c r="G30" s="291">
        <v>0</v>
      </c>
      <c r="H30" s="291">
        <v>0</v>
      </c>
      <c r="I30" s="291">
        <v>2</v>
      </c>
      <c r="J30" s="291">
        <v>0</v>
      </c>
      <c r="K30" s="291">
        <v>0</v>
      </c>
      <c r="L30" s="291">
        <v>0</v>
      </c>
      <c r="M30" s="291">
        <v>0</v>
      </c>
      <c r="N30" s="291">
        <v>0</v>
      </c>
      <c r="O30" s="291">
        <v>0</v>
      </c>
      <c r="P30" s="291">
        <v>0</v>
      </c>
      <c r="Q30" s="291">
        <v>0</v>
      </c>
      <c r="R30" s="291">
        <v>0</v>
      </c>
      <c r="S30" s="291">
        <v>0</v>
      </c>
      <c r="T30" s="291">
        <v>27</v>
      </c>
      <c r="U30" s="291">
        <v>0</v>
      </c>
      <c r="V30" s="291">
        <v>0</v>
      </c>
      <c r="W30" s="291">
        <v>0</v>
      </c>
      <c r="X30" s="291">
        <v>25</v>
      </c>
      <c r="Y30" s="291">
        <v>139</v>
      </c>
      <c r="Z30" s="291">
        <v>191</v>
      </c>
      <c r="AA30" s="291">
        <v>180.2</v>
      </c>
      <c r="AB30" s="308">
        <v>12431</v>
      </c>
    </row>
    <row r="31" spans="1:28" ht="9.75">
      <c r="A31" s="291" t="s">
        <v>249</v>
      </c>
      <c r="B31" s="289" t="s">
        <v>58</v>
      </c>
      <c r="C31" s="291">
        <v>0</v>
      </c>
      <c r="D31" s="291">
        <v>0</v>
      </c>
      <c r="E31" s="291">
        <v>0</v>
      </c>
      <c r="F31" s="291">
        <v>0</v>
      </c>
      <c r="G31" s="291">
        <v>0</v>
      </c>
      <c r="H31" s="291">
        <v>0</v>
      </c>
      <c r="I31" s="291">
        <v>0</v>
      </c>
      <c r="J31" s="291">
        <v>4</v>
      </c>
      <c r="K31" s="291">
        <v>0</v>
      </c>
      <c r="L31" s="291">
        <v>0</v>
      </c>
      <c r="M31" s="291">
        <v>0</v>
      </c>
      <c r="N31" s="291">
        <v>0</v>
      </c>
      <c r="O31" s="291">
        <v>0</v>
      </c>
      <c r="P31" s="291">
        <v>0</v>
      </c>
      <c r="Q31" s="291">
        <v>0</v>
      </c>
      <c r="R31" s="291">
        <v>0</v>
      </c>
      <c r="S31" s="291"/>
      <c r="T31" s="291">
        <v>70</v>
      </c>
      <c r="U31" s="291"/>
      <c r="V31" s="291"/>
      <c r="W31" s="291"/>
      <c r="X31" s="291">
        <v>60</v>
      </c>
      <c r="Y31" s="291">
        <v>1299</v>
      </c>
      <c r="Z31" s="291">
        <v>1429</v>
      </c>
      <c r="AA31" s="291">
        <v>1401</v>
      </c>
      <c r="AB31" s="308">
        <v>24862</v>
      </c>
    </row>
    <row r="32" spans="1:28" ht="9.75">
      <c r="A32" s="289" t="s">
        <v>68</v>
      </c>
      <c r="B32" s="289" t="s">
        <v>58</v>
      </c>
      <c r="C32" s="291">
        <v>0</v>
      </c>
      <c r="D32" s="291">
        <v>0</v>
      </c>
      <c r="E32" s="291">
        <v>0</v>
      </c>
      <c r="F32" s="291">
        <v>0</v>
      </c>
      <c r="G32" s="291">
        <v>0</v>
      </c>
      <c r="H32" s="291">
        <v>0</v>
      </c>
      <c r="I32" s="291">
        <v>0</v>
      </c>
      <c r="J32" s="291">
        <v>35</v>
      </c>
      <c r="K32" s="291">
        <v>0</v>
      </c>
      <c r="L32" s="291">
        <v>0</v>
      </c>
      <c r="M32" s="291">
        <v>0</v>
      </c>
      <c r="N32" s="291">
        <v>0</v>
      </c>
      <c r="O32" s="291">
        <v>0</v>
      </c>
      <c r="P32" s="291">
        <v>0</v>
      </c>
      <c r="Q32" s="291">
        <v>0</v>
      </c>
      <c r="R32" s="291">
        <v>0</v>
      </c>
      <c r="S32" s="291"/>
      <c r="T32" s="291"/>
      <c r="U32" s="291"/>
      <c r="V32" s="291"/>
      <c r="W32" s="291"/>
      <c r="X32" s="291"/>
      <c r="Y32" s="291">
        <v>800</v>
      </c>
      <c r="Z32" s="291">
        <v>800</v>
      </c>
      <c r="AA32" s="291">
        <v>800</v>
      </c>
      <c r="AB32" s="308">
        <v>217542.5</v>
      </c>
    </row>
    <row r="33" spans="1:28" ht="9.75">
      <c r="A33" s="289" t="s">
        <v>97</v>
      </c>
      <c r="B33" s="289" t="s">
        <v>98</v>
      </c>
      <c r="C33" s="309">
        <v>0</v>
      </c>
      <c r="D33" s="310">
        <v>2</v>
      </c>
      <c r="E33" s="310">
        <v>0</v>
      </c>
      <c r="F33" s="310">
        <v>0</v>
      </c>
      <c r="G33" s="310">
        <v>0</v>
      </c>
      <c r="H33" s="310">
        <v>2</v>
      </c>
      <c r="I33" s="310">
        <v>6</v>
      </c>
      <c r="J33" s="310">
        <v>0</v>
      </c>
      <c r="K33" s="291">
        <v>0</v>
      </c>
      <c r="L33" s="291">
        <v>0</v>
      </c>
      <c r="M33" s="291">
        <v>0</v>
      </c>
      <c r="N33" s="291">
        <v>0</v>
      </c>
      <c r="O33" s="291">
        <v>0</v>
      </c>
      <c r="P33" s="291">
        <v>0</v>
      </c>
      <c r="Q33" s="291">
        <v>0</v>
      </c>
      <c r="R33" s="291">
        <v>0</v>
      </c>
      <c r="S33" s="291">
        <v>0</v>
      </c>
      <c r="T33" s="291">
        <v>5</v>
      </c>
      <c r="U33" s="291">
        <v>0</v>
      </c>
      <c r="V33" s="291">
        <v>0</v>
      </c>
      <c r="W33" s="291">
        <v>0</v>
      </c>
      <c r="X33" s="291">
        <v>6</v>
      </c>
      <c r="Y33" s="291">
        <v>43</v>
      </c>
      <c r="Z33" s="291">
        <v>54</v>
      </c>
      <c r="AA33" s="291">
        <v>52</v>
      </c>
      <c r="AB33" s="308">
        <v>57182.600000000006</v>
      </c>
    </row>
    <row r="34" spans="1:28" ht="9.75">
      <c r="A34" s="289" t="s">
        <v>367</v>
      </c>
      <c r="B34" s="289" t="s">
        <v>58</v>
      </c>
      <c r="C34" s="214">
        <v>0</v>
      </c>
      <c r="D34" s="214">
        <v>0</v>
      </c>
      <c r="E34" s="214">
        <v>0</v>
      </c>
      <c r="F34" s="213">
        <v>0</v>
      </c>
      <c r="G34" s="214">
        <v>0</v>
      </c>
      <c r="H34" s="214">
        <v>0</v>
      </c>
      <c r="I34" s="213">
        <v>1</v>
      </c>
      <c r="J34" s="214">
        <v>0</v>
      </c>
      <c r="K34" s="311">
        <v>0</v>
      </c>
      <c r="L34" s="291">
        <v>0</v>
      </c>
      <c r="M34" s="291">
        <v>0</v>
      </c>
      <c r="N34" s="291">
        <v>0</v>
      </c>
      <c r="O34" s="291">
        <v>0</v>
      </c>
      <c r="P34" s="291">
        <v>0</v>
      </c>
      <c r="Q34" s="291">
        <v>1</v>
      </c>
      <c r="R34" s="291">
        <v>0</v>
      </c>
      <c r="S34" s="291">
        <v>9</v>
      </c>
      <c r="T34" s="291"/>
      <c r="U34" s="291"/>
      <c r="V34" s="291"/>
      <c r="W34" s="291"/>
      <c r="X34" s="291">
        <v>13</v>
      </c>
      <c r="Y34" s="291">
        <v>148</v>
      </c>
      <c r="Z34" s="291">
        <v>170</v>
      </c>
      <c r="AA34" s="291">
        <v>165.5</v>
      </c>
      <c r="AB34" s="308">
        <v>10092.5</v>
      </c>
    </row>
    <row r="35" spans="1:28" ht="9.75">
      <c r="A35" s="289" t="s">
        <v>250</v>
      </c>
      <c r="B35" s="289" t="s">
        <v>251</v>
      </c>
      <c r="C35" s="312">
        <v>0</v>
      </c>
      <c r="D35" s="313">
        <v>0</v>
      </c>
      <c r="E35" s="313">
        <v>0</v>
      </c>
      <c r="F35" s="313">
        <v>0</v>
      </c>
      <c r="G35" s="313">
        <v>0</v>
      </c>
      <c r="H35" s="313">
        <v>0</v>
      </c>
      <c r="I35" s="313">
        <v>1</v>
      </c>
      <c r="J35" s="313">
        <v>0</v>
      </c>
      <c r="K35" s="291">
        <v>0</v>
      </c>
      <c r="L35" s="291">
        <v>0</v>
      </c>
      <c r="M35" s="291">
        <v>0</v>
      </c>
      <c r="N35" s="291">
        <v>0</v>
      </c>
      <c r="O35" s="291">
        <v>0</v>
      </c>
      <c r="P35" s="291">
        <v>0</v>
      </c>
      <c r="Q35" s="291">
        <v>0</v>
      </c>
      <c r="R35" s="291">
        <v>0</v>
      </c>
      <c r="S35" s="291"/>
      <c r="T35" s="291"/>
      <c r="U35" s="291"/>
      <c r="V35" s="291"/>
      <c r="W35" s="291"/>
      <c r="X35" s="291">
        <v>22</v>
      </c>
      <c r="Y35" s="291">
        <v>79</v>
      </c>
      <c r="Z35" s="291">
        <v>101</v>
      </c>
      <c r="AA35" s="291">
        <v>101</v>
      </c>
      <c r="AB35" s="308">
        <v>6215.5</v>
      </c>
    </row>
    <row r="36" spans="1:28" ht="9.75">
      <c r="A36" s="289" t="s">
        <v>252</v>
      </c>
      <c r="B36" s="289" t="s">
        <v>251</v>
      </c>
      <c r="C36" s="292">
        <v>0</v>
      </c>
      <c r="D36" s="291">
        <v>0</v>
      </c>
      <c r="E36" s="291">
        <v>0</v>
      </c>
      <c r="F36" s="291">
        <v>0</v>
      </c>
      <c r="G36" s="291">
        <v>0</v>
      </c>
      <c r="H36" s="291">
        <v>1</v>
      </c>
      <c r="I36" s="291">
        <v>3</v>
      </c>
      <c r="J36" s="291">
        <v>0</v>
      </c>
      <c r="K36" s="291">
        <v>0</v>
      </c>
      <c r="L36" s="291">
        <v>0</v>
      </c>
      <c r="M36" s="291">
        <v>0</v>
      </c>
      <c r="N36" s="291">
        <v>0</v>
      </c>
      <c r="O36" s="291">
        <v>0</v>
      </c>
      <c r="P36" s="291">
        <v>0</v>
      </c>
      <c r="Q36" s="291">
        <v>0</v>
      </c>
      <c r="R36" s="291">
        <v>0</v>
      </c>
      <c r="S36" s="291"/>
      <c r="T36" s="291"/>
      <c r="U36" s="291"/>
      <c r="V36" s="291"/>
      <c r="W36" s="291"/>
      <c r="X36" s="291">
        <v>33</v>
      </c>
      <c r="Y36" s="291">
        <v>147</v>
      </c>
      <c r="Z36" s="291">
        <v>180</v>
      </c>
      <c r="AA36" s="291">
        <v>180</v>
      </c>
      <c r="AB36" s="308">
        <v>24862</v>
      </c>
    </row>
    <row r="37" spans="1:28" ht="9.75">
      <c r="A37" s="289" t="s">
        <v>253</v>
      </c>
      <c r="B37" s="289" t="s">
        <v>251</v>
      </c>
      <c r="C37" s="292">
        <v>0</v>
      </c>
      <c r="D37" s="291">
        <v>0</v>
      </c>
      <c r="E37" s="291">
        <v>0</v>
      </c>
      <c r="F37" s="291">
        <v>0</v>
      </c>
      <c r="G37" s="291">
        <v>0</v>
      </c>
      <c r="H37" s="291">
        <v>0</v>
      </c>
      <c r="I37" s="291">
        <v>0</v>
      </c>
      <c r="J37" s="291">
        <v>3</v>
      </c>
      <c r="K37" s="291">
        <v>0</v>
      </c>
      <c r="L37" s="291">
        <v>0</v>
      </c>
      <c r="M37" s="291">
        <v>0</v>
      </c>
      <c r="N37" s="291">
        <v>0</v>
      </c>
      <c r="O37" s="291">
        <v>0</v>
      </c>
      <c r="P37" s="291">
        <v>0</v>
      </c>
      <c r="Q37" s="291">
        <v>0</v>
      </c>
      <c r="R37" s="291">
        <v>0</v>
      </c>
      <c r="S37" s="291"/>
      <c r="T37" s="291"/>
      <c r="U37" s="291"/>
      <c r="V37" s="291"/>
      <c r="W37" s="291"/>
      <c r="X37" s="291"/>
      <c r="Y37" s="291">
        <v>119</v>
      </c>
      <c r="Z37" s="291">
        <v>119</v>
      </c>
      <c r="AA37" s="291">
        <v>119</v>
      </c>
      <c r="AB37" s="308">
        <v>18646.5</v>
      </c>
    </row>
    <row r="38" spans="1:28" ht="9.75">
      <c r="A38" s="290" t="s">
        <v>254</v>
      </c>
      <c r="B38" s="289" t="s">
        <v>251</v>
      </c>
      <c r="C38" s="292">
        <v>0</v>
      </c>
      <c r="D38" s="291">
        <v>0</v>
      </c>
      <c r="E38" s="291">
        <v>0</v>
      </c>
      <c r="F38" s="291">
        <v>0</v>
      </c>
      <c r="G38" s="291">
        <v>0</v>
      </c>
      <c r="H38" s="291">
        <v>0</v>
      </c>
      <c r="I38" s="291">
        <v>2</v>
      </c>
      <c r="J38" s="291">
        <v>0</v>
      </c>
      <c r="K38" s="291">
        <v>0</v>
      </c>
      <c r="L38" s="291">
        <v>0</v>
      </c>
      <c r="M38" s="291">
        <v>0</v>
      </c>
      <c r="N38" s="291">
        <v>0</v>
      </c>
      <c r="O38" s="291">
        <v>0</v>
      </c>
      <c r="P38" s="291">
        <v>0</v>
      </c>
      <c r="Q38" s="291">
        <v>0</v>
      </c>
      <c r="R38" s="291">
        <v>0</v>
      </c>
      <c r="S38" s="291"/>
      <c r="T38" s="291"/>
      <c r="U38" s="291"/>
      <c r="V38" s="291"/>
      <c r="W38" s="291"/>
      <c r="X38" s="291"/>
      <c r="Y38" s="291">
        <v>143</v>
      </c>
      <c r="Z38" s="291">
        <v>143</v>
      </c>
      <c r="AA38" s="291">
        <v>143</v>
      </c>
      <c r="AB38" s="308">
        <v>12431</v>
      </c>
    </row>
    <row r="39" spans="1:28" ht="9.75">
      <c r="A39" s="291" t="s">
        <v>255</v>
      </c>
      <c r="B39" s="289" t="s">
        <v>58</v>
      </c>
      <c r="C39" s="291">
        <v>0</v>
      </c>
      <c r="D39" s="291">
        <v>1</v>
      </c>
      <c r="E39" s="291">
        <v>0</v>
      </c>
      <c r="F39" s="291">
        <v>0</v>
      </c>
      <c r="G39" s="291">
        <v>0</v>
      </c>
      <c r="H39" s="291">
        <v>0</v>
      </c>
      <c r="I39" s="291">
        <v>3</v>
      </c>
      <c r="J39" s="291">
        <v>0</v>
      </c>
      <c r="K39" s="291">
        <v>0</v>
      </c>
      <c r="L39" s="291">
        <v>0</v>
      </c>
      <c r="M39" s="291">
        <v>0</v>
      </c>
      <c r="N39" s="291">
        <v>0</v>
      </c>
      <c r="O39" s="291">
        <v>0</v>
      </c>
      <c r="P39" s="291">
        <v>0</v>
      </c>
      <c r="Q39" s="291">
        <v>0</v>
      </c>
      <c r="R39" s="291">
        <v>0</v>
      </c>
      <c r="S39" s="291">
        <v>0</v>
      </c>
      <c r="T39" s="291">
        <v>15</v>
      </c>
      <c r="U39" s="291">
        <v>0</v>
      </c>
      <c r="V39" s="291">
        <v>0</v>
      </c>
      <c r="W39" s="291">
        <v>0</v>
      </c>
      <c r="X39" s="291">
        <v>9</v>
      </c>
      <c r="Y39" s="291">
        <v>164</v>
      </c>
      <c r="Z39" s="291">
        <v>188</v>
      </c>
      <c r="AA39" s="291">
        <v>182</v>
      </c>
      <c r="AB39" s="308">
        <v>22375.8</v>
      </c>
    </row>
    <row r="40" spans="1:28" ht="9.75">
      <c r="A40" s="289" t="s">
        <v>99</v>
      </c>
      <c r="B40" s="289" t="s">
        <v>58</v>
      </c>
      <c r="C40" s="292">
        <v>0</v>
      </c>
      <c r="D40" s="291">
        <v>0</v>
      </c>
      <c r="E40" s="291">
        <v>0</v>
      </c>
      <c r="F40" s="291">
        <v>0</v>
      </c>
      <c r="G40" s="291">
        <v>0</v>
      </c>
      <c r="H40" s="291">
        <v>0</v>
      </c>
      <c r="I40" s="291">
        <v>4</v>
      </c>
      <c r="J40" s="291">
        <v>0</v>
      </c>
      <c r="K40" s="291">
        <v>0</v>
      </c>
      <c r="L40" s="291">
        <v>0</v>
      </c>
      <c r="M40" s="291">
        <v>0</v>
      </c>
      <c r="N40" s="291">
        <v>0</v>
      </c>
      <c r="O40" s="291">
        <v>0</v>
      </c>
      <c r="P40" s="291">
        <v>0</v>
      </c>
      <c r="Q40" s="291">
        <v>0</v>
      </c>
      <c r="R40" s="291">
        <v>0</v>
      </c>
      <c r="S40" s="291"/>
      <c r="T40" s="291">
        <v>18</v>
      </c>
      <c r="U40" s="291"/>
      <c r="V40" s="291"/>
      <c r="W40" s="291"/>
      <c r="X40" s="291">
        <v>18</v>
      </c>
      <c r="Y40" s="291">
        <v>175</v>
      </c>
      <c r="Z40" s="291">
        <v>211</v>
      </c>
      <c r="AA40" s="291">
        <v>203.8</v>
      </c>
      <c r="AB40" s="308">
        <v>24862</v>
      </c>
    </row>
    <row r="41" spans="1:28" ht="9.75">
      <c r="A41" s="291" t="s">
        <v>256</v>
      </c>
      <c r="B41" s="289" t="s">
        <v>257</v>
      </c>
      <c r="C41" s="292">
        <v>0</v>
      </c>
      <c r="D41" s="291">
        <v>0</v>
      </c>
      <c r="E41" s="291">
        <v>0</v>
      </c>
      <c r="F41" s="291">
        <v>0</v>
      </c>
      <c r="G41" s="291">
        <v>0</v>
      </c>
      <c r="H41" s="291">
        <v>0</v>
      </c>
      <c r="I41" s="291">
        <v>0</v>
      </c>
      <c r="J41" s="291">
        <v>13</v>
      </c>
      <c r="K41" s="291">
        <v>0</v>
      </c>
      <c r="L41" s="291">
        <v>0</v>
      </c>
      <c r="M41" s="291">
        <v>0</v>
      </c>
      <c r="N41" s="291">
        <v>0</v>
      </c>
      <c r="O41" s="291">
        <v>0</v>
      </c>
      <c r="P41" s="291">
        <v>0</v>
      </c>
      <c r="Q41" s="291">
        <v>0</v>
      </c>
      <c r="R41" s="291">
        <v>0</v>
      </c>
      <c r="S41" s="291"/>
      <c r="T41" s="291"/>
      <c r="U41" s="291"/>
      <c r="V41" s="291"/>
      <c r="W41" s="291"/>
      <c r="X41" s="291"/>
      <c r="Y41" s="291">
        <v>765</v>
      </c>
      <c r="Z41" s="291">
        <v>765</v>
      </c>
      <c r="AA41" s="291">
        <v>765</v>
      </c>
      <c r="AB41" s="308">
        <v>80801.5</v>
      </c>
    </row>
    <row r="42" spans="1:28" ht="9.75">
      <c r="A42" s="292" t="s">
        <v>258</v>
      </c>
      <c r="B42" s="289" t="s">
        <v>58</v>
      </c>
      <c r="C42" s="291">
        <v>0</v>
      </c>
      <c r="D42" s="291">
        <v>0</v>
      </c>
      <c r="E42" s="291">
        <v>0</v>
      </c>
      <c r="F42" s="291">
        <v>0</v>
      </c>
      <c r="G42" s="291">
        <v>0</v>
      </c>
      <c r="H42" s="291">
        <v>0</v>
      </c>
      <c r="I42" s="291">
        <v>3</v>
      </c>
      <c r="J42" s="291">
        <v>0</v>
      </c>
      <c r="K42" s="291">
        <v>0</v>
      </c>
      <c r="L42" s="291">
        <v>0</v>
      </c>
      <c r="M42" s="291">
        <v>0</v>
      </c>
      <c r="N42" s="291">
        <v>0</v>
      </c>
      <c r="O42" s="291">
        <v>0</v>
      </c>
      <c r="P42" s="291">
        <v>0</v>
      </c>
      <c r="Q42" s="291">
        <v>0</v>
      </c>
      <c r="R42" s="291">
        <v>0</v>
      </c>
      <c r="S42" s="291">
        <v>0</v>
      </c>
      <c r="T42" s="291">
        <v>32</v>
      </c>
      <c r="U42" s="291">
        <v>0</v>
      </c>
      <c r="V42" s="291">
        <v>0</v>
      </c>
      <c r="W42" s="291">
        <v>0</v>
      </c>
      <c r="X42" s="291">
        <v>48</v>
      </c>
      <c r="Y42" s="291">
        <v>426</v>
      </c>
      <c r="Z42" s="291">
        <v>506</v>
      </c>
      <c r="AA42" s="291">
        <v>493.2</v>
      </c>
      <c r="AB42" s="308">
        <v>18646.5</v>
      </c>
    </row>
    <row r="43" spans="1:28" ht="9.75">
      <c r="A43" s="291" t="s">
        <v>259</v>
      </c>
      <c r="B43" s="289" t="s">
        <v>58</v>
      </c>
      <c r="C43" s="291">
        <v>0</v>
      </c>
      <c r="D43" s="291">
        <v>0</v>
      </c>
      <c r="E43" s="291">
        <v>0</v>
      </c>
      <c r="F43" s="291">
        <v>0</v>
      </c>
      <c r="G43" s="291">
        <v>0</v>
      </c>
      <c r="H43" s="291">
        <v>0</v>
      </c>
      <c r="I43" s="291">
        <v>0</v>
      </c>
      <c r="J43" s="291">
        <v>0</v>
      </c>
      <c r="K43" s="291">
        <v>0</v>
      </c>
      <c r="L43" s="291">
        <v>0</v>
      </c>
      <c r="M43" s="291">
        <v>0</v>
      </c>
      <c r="N43" s="291">
        <v>0</v>
      </c>
      <c r="O43" s="291">
        <v>0</v>
      </c>
      <c r="P43" s="291">
        <v>0</v>
      </c>
      <c r="Q43" s="291">
        <v>0</v>
      </c>
      <c r="R43" s="291">
        <v>0</v>
      </c>
      <c r="S43" s="291"/>
      <c r="T43" s="291">
        <v>18</v>
      </c>
      <c r="U43" s="291"/>
      <c r="V43" s="291"/>
      <c r="W43" s="291"/>
      <c r="X43" s="291">
        <v>15</v>
      </c>
      <c r="Y43" s="291">
        <v>133</v>
      </c>
      <c r="Z43" s="291">
        <v>166</v>
      </c>
      <c r="AA43" s="291">
        <v>158.8</v>
      </c>
      <c r="AB43" s="308">
        <v>0</v>
      </c>
    </row>
    <row r="44" spans="1:28" ht="9.75">
      <c r="A44" s="289" t="s">
        <v>260</v>
      </c>
      <c r="B44" s="289" t="s">
        <v>154</v>
      </c>
      <c r="C44" s="291">
        <v>0</v>
      </c>
      <c r="D44" s="291">
        <v>0</v>
      </c>
      <c r="E44" s="291">
        <v>0</v>
      </c>
      <c r="F44" s="291">
        <v>0</v>
      </c>
      <c r="G44" s="291">
        <v>0</v>
      </c>
      <c r="H44" s="291">
        <v>0</v>
      </c>
      <c r="I44" s="291">
        <v>2</v>
      </c>
      <c r="J44" s="291">
        <v>0</v>
      </c>
      <c r="K44" s="291">
        <v>0</v>
      </c>
      <c r="L44" s="291">
        <v>0</v>
      </c>
      <c r="M44" s="291">
        <v>0</v>
      </c>
      <c r="N44" s="291">
        <v>0</v>
      </c>
      <c r="O44" s="291">
        <v>0</v>
      </c>
      <c r="P44" s="291">
        <v>0</v>
      </c>
      <c r="Q44" s="291">
        <v>0</v>
      </c>
      <c r="R44" s="291">
        <v>0</v>
      </c>
      <c r="S44" s="291"/>
      <c r="T44" s="291">
        <v>21</v>
      </c>
      <c r="U44" s="291"/>
      <c r="V44" s="291"/>
      <c r="W44" s="291"/>
      <c r="X44" s="291">
        <v>15</v>
      </c>
      <c r="Y44" s="291">
        <v>182</v>
      </c>
      <c r="Z44" s="291">
        <v>218</v>
      </c>
      <c r="AA44" s="291">
        <v>209.6</v>
      </c>
      <c r="AB44" s="308">
        <v>12431</v>
      </c>
    </row>
    <row r="45" spans="1:28" ht="9.75">
      <c r="A45" s="289" t="s">
        <v>100</v>
      </c>
      <c r="B45" s="289" t="s">
        <v>58</v>
      </c>
      <c r="C45" s="291">
        <v>0</v>
      </c>
      <c r="D45" s="291">
        <v>0</v>
      </c>
      <c r="E45" s="291">
        <v>0</v>
      </c>
      <c r="F45" s="291">
        <v>0</v>
      </c>
      <c r="G45" s="291">
        <v>0</v>
      </c>
      <c r="H45" s="291">
        <v>0</v>
      </c>
      <c r="I45" s="291">
        <v>0</v>
      </c>
      <c r="J45" s="291">
        <v>15</v>
      </c>
      <c r="K45" s="291">
        <v>0</v>
      </c>
      <c r="L45" s="291">
        <v>0</v>
      </c>
      <c r="M45" s="291">
        <v>0</v>
      </c>
      <c r="N45" s="291">
        <v>0</v>
      </c>
      <c r="O45" s="291">
        <v>0</v>
      </c>
      <c r="P45" s="291">
        <v>0</v>
      </c>
      <c r="Q45" s="291">
        <v>0</v>
      </c>
      <c r="R45" s="291">
        <v>1</v>
      </c>
      <c r="S45" s="291"/>
      <c r="T45" s="291"/>
      <c r="U45" s="291"/>
      <c r="V45" s="291"/>
      <c r="W45" s="291"/>
      <c r="X45" s="291"/>
      <c r="Y45" s="291">
        <v>753</v>
      </c>
      <c r="Z45" s="291">
        <v>753</v>
      </c>
      <c r="AA45" s="291">
        <v>753</v>
      </c>
      <c r="AB45" s="308">
        <v>97432.5</v>
      </c>
    </row>
    <row r="46" spans="1:28" ht="9.75">
      <c r="A46" s="291" t="s">
        <v>261</v>
      </c>
      <c r="B46" s="289" t="s">
        <v>58</v>
      </c>
      <c r="C46" s="291">
        <v>0</v>
      </c>
      <c r="D46" s="291">
        <v>0</v>
      </c>
      <c r="E46" s="291">
        <v>0</v>
      </c>
      <c r="F46" s="291">
        <v>0</v>
      </c>
      <c r="G46" s="291">
        <v>0</v>
      </c>
      <c r="H46" s="291">
        <v>0</v>
      </c>
      <c r="I46" s="291">
        <v>0</v>
      </c>
      <c r="J46" s="291">
        <v>0</v>
      </c>
      <c r="K46" s="291">
        <v>0</v>
      </c>
      <c r="L46" s="291">
        <v>0</v>
      </c>
      <c r="M46" s="291">
        <v>0</v>
      </c>
      <c r="N46" s="291">
        <v>0</v>
      </c>
      <c r="O46" s="291">
        <v>0</v>
      </c>
      <c r="P46" s="291">
        <v>0</v>
      </c>
      <c r="Q46" s="291">
        <v>0</v>
      </c>
      <c r="R46" s="291">
        <v>0</v>
      </c>
      <c r="S46" s="291"/>
      <c r="T46" s="291">
        <v>31</v>
      </c>
      <c r="U46" s="291"/>
      <c r="V46" s="291"/>
      <c r="W46" s="291"/>
      <c r="X46" s="291">
        <v>28</v>
      </c>
      <c r="Y46" s="291">
        <v>395</v>
      </c>
      <c r="Z46" s="291">
        <v>454</v>
      </c>
      <c r="AA46" s="291">
        <v>441.6</v>
      </c>
      <c r="AB46" s="308">
        <v>0</v>
      </c>
    </row>
    <row r="47" spans="1:28" ht="9.75">
      <c r="A47" s="291" t="s">
        <v>262</v>
      </c>
      <c r="B47" s="289" t="s">
        <v>263</v>
      </c>
      <c r="C47" s="291">
        <v>0</v>
      </c>
      <c r="D47" s="291">
        <v>0</v>
      </c>
      <c r="E47" s="291">
        <v>0</v>
      </c>
      <c r="F47" s="291">
        <v>0</v>
      </c>
      <c r="G47" s="291">
        <v>0</v>
      </c>
      <c r="H47" s="291">
        <v>1</v>
      </c>
      <c r="I47" s="291">
        <v>8</v>
      </c>
      <c r="J47" s="291">
        <v>0</v>
      </c>
      <c r="K47" s="291">
        <v>0</v>
      </c>
      <c r="L47" s="291">
        <v>0</v>
      </c>
      <c r="M47" s="291">
        <v>0</v>
      </c>
      <c r="N47" s="291">
        <v>0</v>
      </c>
      <c r="O47" s="291">
        <v>0</v>
      </c>
      <c r="P47" s="291">
        <v>0</v>
      </c>
      <c r="Q47" s="291">
        <v>0</v>
      </c>
      <c r="R47" s="291">
        <v>0</v>
      </c>
      <c r="S47" s="291">
        <v>3</v>
      </c>
      <c r="T47" s="291">
        <v>0</v>
      </c>
      <c r="U47" s="291">
        <v>0</v>
      </c>
      <c r="V47" s="291">
        <v>0</v>
      </c>
      <c r="W47" s="291">
        <v>0</v>
      </c>
      <c r="X47" s="291">
        <v>7</v>
      </c>
      <c r="Y47" s="291">
        <v>58</v>
      </c>
      <c r="Z47" s="291">
        <v>68</v>
      </c>
      <c r="AA47" s="291">
        <v>66.5</v>
      </c>
      <c r="AB47" s="308">
        <v>55939.5</v>
      </c>
    </row>
    <row r="48" spans="1:28" ht="9.75">
      <c r="A48" s="289" t="s">
        <v>63</v>
      </c>
      <c r="B48" s="289" t="s">
        <v>60</v>
      </c>
      <c r="C48" s="291">
        <v>0</v>
      </c>
      <c r="D48" s="291">
        <v>0</v>
      </c>
      <c r="E48" s="291">
        <v>0</v>
      </c>
      <c r="F48" s="291">
        <v>0</v>
      </c>
      <c r="G48" s="291">
        <v>0</v>
      </c>
      <c r="H48" s="291">
        <v>0</v>
      </c>
      <c r="I48" s="291">
        <v>2</v>
      </c>
      <c r="J48" s="291">
        <v>0</v>
      </c>
      <c r="K48" s="291">
        <v>0</v>
      </c>
      <c r="L48" s="291">
        <v>0</v>
      </c>
      <c r="M48" s="291">
        <v>0</v>
      </c>
      <c r="N48" s="291">
        <v>0</v>
      </c>
      <c r="O48" s="291">
        <v>0</v>
      </c>
      <c r="P48" s="291">
        <v>0</v>
      </c>
      <c r="Q48" s="291">
        <v>0</v>
      </c>
      <c r="R48" s="291">
        <v>0</v>
      </c>
      <c r="S48" s="291"/>
      <c r="T48" s="291">
        <v>39</v>
      </c>
      <c r="U48" s="291"/>
      <c r="V48" s="291"/>
      <c r="W48" s="291"/>
      <c r="X48" s="291">
        <v>42</v>
      </c>
      <c r="Y48" s="291">
        <v>257</v>
      </c>
      <c r="Z48" s="291">
        <v>338</v>
      </c>
      <c r="AA48" s="291">
        <v>322.4</v>
      </c>
      <c r="AB48" s="308">
        <v>12431</v>
      </c>
    </row>
    <row r="49" spans="1:28" ht="9.75">
      <c r="A49" s="291" t="s">
        <v>264</v>
      </c>
      <c r="B49" s="289" t="s">
        <v>265</v>
      </c>
      <c r="C49" s="291">
        <v>0</v>
      </c>
      <c r="D49" s="291">
        <v>0</v>
      </c>
      <c r="E49" s="291">
        <v>0</v>
      </c>
      <c r="F49" s="291">
        <v>0</v>
      </c>
      <c r="G49" s="291">
        <v>0</v>
      </c>
      <c r="H49" s="291">
        <v>0</v>
      </c>
      <c r="I49" s="291">
        <v>0</v>
      </c>
      <c r="J49" s="291">
        <v>3</v>
      </c>
      <c r="K49" s="291">
        <v>0</v>
      </c>
      <c r="L49" s="291">
        <v>0</v>
      </c>
      <c r="M49" s="291">
        <v>0</v>
      </c>
      <c r="N49" s="291">
        <v>0</v>
      </c>
      <c r="O49" s="291">
        <v>0</v>
      </c>
      <c r="P49" s="291">
        <v>0</v>
      </c>
      <c r="Q49" s="291">
        <v>0</v>
      </c>
      <c r="R49" s="291">
        <v>0</v>
      </c>
      <c r="S49" s="291"/>
      <c r="T49" s="291"/>
      <c r="U49" s="291"/>
      <c r="V49" s="291"/>
      <c r="W49" s="291"/>
      <c r="X49" s="291"/>
      <c r="Y49" s="291">
        <v>248</v>
      </c>
      <c r="Z49" s="291">
        <v>248</v>
      </c>
      <c r="AA49" s="291">
        <v>248</v>
      </c>
      <c r="AB49" s="308">
        <v>18646.5</v>
      </c>
    </row>
    <row r="50" spans="1:28" ht="9.75">
      <c r="A50" s="290" t="s">
        <v>266</v>
      </c>
      <c r="B50" s="289" t="s">
        <v>58</v>
      </c>
      <c r="C50" s="291">
        <v>0</v>
      </c>
      <c r="D50" s="291">
        <v>5</v>
      </c>
      <c r="E50" s="291">
        <v>0</v>
      </c>
      <c r="F50" s="291">
        <v>0</v>
      </c>
      <c r="G50" s="291">
        <v>0</v>
      </c>
      <c r="H50" s="291">
        <v>3</v>
      </c>
      <c r="I50" s="291">
        <v>42</v>
      </c>
      <c r="J50" s="291">
        <v>14</v>
      </c>
      <c r="K50" s="291">
        <v>0</v>
      </c>
      <c r="L50" s="291">
        <v>0</v>
      </c>
      <c r="M50" s="291">
        <v>0</v>
      </c>
      <c r="N50" s="291">
        <v>0</v>
      </c>
      <c r="O50" s="291">
        <v>0</v>
      </c>
      <c r="P50" s="291">
        <v>0</v>
      </c>
      <c r="Q50" s="291">
        <v>0</v>
      </c>
      <c r="R50" s="291">
        <v>0</v>
      </c>
      <c r="S50" s="291"/>
      <c r="T50" s="291">
        <v>59</v>
      </c>
      <c r="U50" s="291"/>
      <c r="V50" s="291"/>
      <c r="W50" s="291"/>
      <c r="X50" s="291">
        <v>58</v>
      </c>
      <c r="Y50" s="291">
        <v>762</v>
      </c>
      <c r="Z50" s="291">
        <v>879</v>
      </c>
      <c r="AA50" s="291">
        <v>855.4</v>
      </c>
      <c r="AB50" s="308">
        <v>385361</v>
      </c>
    </row>
    <row r="51" spans="1:28" ht="9.75">
      <c r="A51" s="291" t="s">
        <v>267</v>
      </c>
      <c r="B51" s="289" t="s">
        <v>58</v>
      </c>
      <c r="C51" s="291">
        <v>0</v>
      </c>
      <c r="D51" s="291">
        <v>0</v>
      </c>
      <c r="E51" s="291">
        <v>0</v>
      </c>
      <c r="F51" s="291">
        <v>0</v>
      </c>
      <c r="G51" s="291">
        <v>0</v>
      </c>
      <c r="H51" s="291">
        <v>0</v>
      </c>
      <c r="I51" s="291">
        <v>0</v>
      </c>
      <c r="J51" s="291">
        <v>0</v>
      </c>
      <c r="K51" s="291">
        <v>0</v>
      </c>
      <c r="L51" s="291">
        <v>0</v>
      </c>
      <c r="M51" s="291">
        <v>0</v>
      </c>
      <c r="N51" s="291">
        <v>0</v>
      </c>
      <c r="O51" s="291">
        <v>0</v>
      </c>
      <c r="P51" s="291">
        <v>0</v>
      </c>
      <c r="Q51" s="291">
        <v>0</v>
      </c>
      <c r="R51" s="291">
        <v>0</v>
      </c>
      <c r="S51" s="291"/>
      <c r="T51" s="291">
        <v>7</v>
      </c>
      <c r="U51" s="291"/>
      <c r="V51" s="291"/>
      <c r="W51" s="291"/>
      <c r="X51" s="291">
        <v>11</v>
      </c>
      <c r="Y51" s="291">
        <v>100</v>
      </c>
      <c r="Z51" s="291">
        <v>118</v>
      </c>
      <c r="AA51" s="291">
        <v>115.2</v>
      </c>
      <c r="AB51" s="308">
        <v>0</v>
      </c>
    </row>
    <row r="52" spans="1:28" ht="9.75">
      <c r="A52" s="291" t="s">
        <v>268</v>
      </c>
      <c r="B52" s="289" t="s">
        <v>58</v>
      </c>
      <c r="C52" s="291">
        <v>0</v>
      </c>
      <c r="D52" s="291">
        <v>0</v>
      </c>
      <c r="E52" s="291">
        <v>0</v>
      </c>
      <c r="F52" s="291">
        <v>0</v>
      </c>
      <c r="G52" s="291">
        <v>0</v>
      </c>
      <c r="H52" s="291">
        <v>0</v>
      </c>
      <c r="I52" s="291">
        <v>0</v>
      </c>
      <c r="J52" s="291">
        <v>0</v>
      </c>
      <c r="K52" s="291">
        <v>0</v>
      </c>
      <c r="L52" s="291">
        <v>0</v>
      </c>
      <c r="M52" s="291">
        <v>0</v>
      </c>
      <c r="N52" s="291">
        <v>0</v>
      </c>
      <c r="O52" s="291">
        <v>0</v>
      </c>
      <c r="P52" s="291">
        <v>0</v>
      </c>
      <c r="Q52" s="291">
        <v>0</v>
      </c>
      <c r="R52" s="291">
        <v>0</v>
      </c>
      <c r="S52" s="291"/>
      <c r="T52" s="291">
        <v>23</v>
      </c>
      <c r="U52" s="291"/>
      <c r="V52" s="291"/>
      <c r="W52" s="291"/>
      <c r="X52" s="291">
        <v>25</v>
      </c>
      <c r="Y52" s="291">
        <v>160</v>
      </c>
      <c r="Z52" s="291">
        <v>208</v>
      </c>
      <c r="AA52" s="291">
        <v>198.8</v>
      </c>
      <c r="AB52" s="308">
        <v>0</v>
      </c>
    </row>
    <row r="53" spans="1:28" ht="9.75">
      <c r="A53" s="289" t="s">
        <v>101</v>
      </c>
      <c r="B53" s="289" t="s">
        <v>58</v>
      </c>
      <c r="C53" s="291">
        <v>0</v>
      </c>
      <c r="D53" s="291">
        <v>0</v>
      </c>
      <c r="E53" s="291">
        <v>0</v>
      </c>
      <c r="F53" s="291">
        <v>0</v>
      </c>
      <c r="G53" s="291">
        <v>0</v>
      </c>
      <c r="H53" s="291">
        <v>0</v>
      </c>
      <c r="I53" s="291">
        <v>18</v>
      </c>
      <c r="J53" s="291">
        <v>11</v>
      </c>
      <c r="K53" s="291">
        <v>0</v>
      </c>
      <c r="L53" s="291">
        <v>0</v>
      </c>
      <c r="M53" s="291">
        <v>0</v>
      </c>
      <c r="N53" s="291">
        <v>0</v>
      </c>
      <c r="O53" s="291">
        <v>0</v>
      </c>
      <c r="P53" s="291">
        <v>0</v>
      </c>
      <c r="Q53" s="291">
        <v>0</v>
      </c>
      <c r="R53" s="291">
        <v>0</v>
      </c>
      <c r="S53" s="291">
        <v>0</v>
      </c>
      <c r="T53" s="291">
        <v>0</v>
      </c>
      <c r="U53" s="291">
        <v>0</v>
      </c>
      <c r="V53" s="291">
        <v>0</v>
      </c>
      <c r="W53" s="291">
        <v>0</v>
      </c>
      <c r="X53" s="291">
        <v>0</v>
      </c>
      <c r="Y53" s="291">
        <v>30</v>
      </c>
      <c r="Z53" s="291">
        <v>30</v>
      </c>
      <c r="AA53" s="291">
        <v>30</v>
      </c>
      <c r="AB53" s="308">
        <v>180249.5</v>
      </c>
    </row>
    <row r="54" spans="1:28" ht="9.75">
      <c r="A54" s="291" t="s">
        <v>269</v>
      </c>
      <c r="B54" s="289" t="s">
        <v>270</v>
      </c>
      <c r="C54" s="291">
        <v>0</v>
      </c>
      <c r="D54" s="291">
        <v>0</v>
      </c>
      <c r="E54" s="291">
        <v>0</v>
      </c>
      <c r="F54" s="291">
        <v>0</v>
      </c>
      <c r="G54" s="291">
        <v>0</v>
      </c>
      <c r="H54" s="291">
        <v>0</v>
      </c>
      <c r="I54" s="291">
        <v>12</v>
      </c>
      <c r="J54" s="291">
        <v>0</v>
      </c>
      <c r="K54" s="291">
        <v>0</v>
      </c>
      <c r="L54" s="291">
        <v>0</v>
      </c>
      <c r="M54" s="291">
        <v>0</v>
      </c>
      <c r="N54" s="291">
        <v>0</v>
      </c>
      <c r="O54" s="291">
        <v>0</v>
      </c>
      <c r="P54" s="291">
        <v>0</v>
      </c>
      <c r="Q54" s="291">
        <v>0</v>
      </c>
      <c r="R54" s="291">
        <v>0</v>
      </c>
      <c r="S54" s="291"/>
      <c r="T54" s="291"/>
      <c r="U54" s="291"/>
      <c r="V54" s="291"/>
      <c r="W54" s="291"/>
      <c r="X54" s="291">
        <v>17</v>
      </c>
      <c r="Y54" s="291">
        <v>119</v>
      </c>
      <c r="Z54" s="291">
        <v>136</v>
      </c>
      <c r="AA54" s="291">
        <v>136</v>
      </c>
      <c r="AB54" s="308">
        <v>74586</v>
      </c>
    </row>
    <row r="55" spans="1:28" ht="9.75">
      <c r="A55" s="291" t="s">
        <v>271</v>
      </c>
      <c r="B55" s="289" t="s">
        <v>272</v>
      </c>
      <c r="C55" s="291">
        <v>1</v>
      </c>
      <c r="D55" s="291">
        <v>0</v>
      </c>
      <c r="E55" s="291">
        <v>0</v>
      </c>
      <c r="F55" s="291">
        <v>0</v>
      </c>
      <c r="G55" s="291">
        <v>0</v>
      </c>
      <c r="H55" s="291">
        <v>0</v>
      </c>
      <c r="I55" s="291">
        <v>12</v>
      </c>
      <c r="J55" s="291">
        <v>3</v>
      </c>
      <c r="K55" s="291">
        <v>0</v>
      </c>
      <c r="L55" s="291">
        <v>0</v>
      </c>
      <c r="M55" s="291">
        <v>0</v>
      </c>
      <c r="N55" s="291">
        <v>0</v>
      </c>
      <c r="O55" s="291">
        <v>0</v>
      </c>
      <c r="P55" s="291">
        <v>0</v>
      </c>
      <c r="Q55" s="291">
        <v>0</v>
      </c>
      <c r="R55" s="291">
        <v>0</v>
      </c>
      <c r="S55" s="291">
        <v>28</v>
      </c>
      <c r="T55" s="291"/>
      <c r="U55" s="291"/>
      <c r="V55" s="291"/>
      <c r="W55" s="291"/>
      <c r="X55" s="291">
        <v>50</v>
      </c>
      <c r="Y55" s="291">
        <v>607</v>
      </c>
      <c r="Z55" s="291">
        <v>685</v>
      </c>
      <c r="AA55" s="291">
        <v>671</v>
      </c>
      <c r="AB55" s="308">
        <v>96340.25</v>
      </c>
    </row>
    <row r="56" spans="1:28" ht="9.75">
      <c r="A56" s="291" t="s">
        <v>273</v>
      </c>
      <c r="B56" s="289" t="s">
        <v>274</v>
      </c>
      <c r="C56" s="291">
        <v>0</v>
      </c>
      <c r="D56" s="291">
        <v>0</v>
      </c>
      <c r="E56" s="291">
        <v>0</v>
      </c>
      <c r="F56" s="291">
        <v>0</v>
      </c>
      <c r="G56" s="291">
        <v>0</v>
      </c>
      <c r="H56" s="291">
        <v>0</v>
      </c>
      <c r="I56" s="291">
        <v>0</v>
      </c>
      <c r="J56" s="291">
        <v>0</v>
      </c>
      <c r="K56" s="291">
        <v>0</v>
      </c>
      <c r="L56" s="291">
        <v>0</v>
      </c>
      <c r="M56" s="291">
        <v>0</v>
      </c>
      <c r="N56" s="291">
        <v>0</v>
      </c>
      <c r="O56" s="291">
        <v>0</v>
      </c>
      <c r="P56" s="291">
        <v>0</v>
      </c>
      <c r="Q56" s="291">
        <v>0</v>
      </c>
      <c r="R56" s="291">
        <v>0</v>
      </c>
      <c r="S56" s="291">
        <v>14</v>
      </c>
      <c r="T56" s="291"/>
      <c r="U56" s="291"/>
      <c r="V56" s="291"/>
      <c r="W56" s="291"/>
      <c r="X56" s="291">
        <v>8</v>
      </c>
      <c r="Y56" s="291">
        <v>26</v>
      </c>
      <c r="Z56" s="291">
        <v>48</v>
      </c>
      <c r="AA56" s="291">
        <v>41</v>
      </c>
      <c r="AB56" s="308">
        <v>0</v>
      </c>
    </row>
    <row r="57" spans="1:28" ht="9.75">
      <c r="A57" s="291" t="s">
        <v>275</v>
      </c>
      <c r="B57" s="289" t="s">
        <v>58</v>
      </c>
      <c r="C57" s="291">
        <v>0</v>
      </c>
      <c r="D57" s="291">
        <v>0</v>
      </c>
      <c r="E57" s="291">
        <v>0</v>
      </c>
      <c r="F57" s="291">
        <v>0</v>
      </c>
      <c r="G57" s="291">
        <v>0</v>
      </c>
      <c r="H57" s="291">
        <v>2</v>
      </c>
      <c r="I57" s="291">
        <v>2</v>
      </c>
      <c r="J57" s="291">
        <v>0</v>
      </c>
      <c r="K57" s="291">
        <v>0</v>
      </c>
      <c r="L57" s="291">
        <v>0</v>
      </c>
      <c r="M57" s="291">
        <v>0</v>
      </c>
      <c r="N57" s="291">
        <v>0</v>
      </c>
      <c r="O57" s="291">
        <v>0</v>
      </c>
      <c r="P57" s="291">
        <v>0</v>
      </c>
      <c r="Q57" s="291">
        <v>0</v>
      </c>
      <c r="R57" s="291">
        <v>0</v>
      </c>
      <c r="S57" s="291">
        <v>26</v>
      </c>
      <c r="T57" s="291">
        <v>0</v>
      </c>
      <c r="U57" s="291">
        <v>0</v>
      </c>
      <c r="V57" s="291">
        <v>0</v>
      </c>
      <c r="W57" s="291">
        <v>0</v>
      </c>
      <c r="X57" s="291">
        <v>20</v>
      </c>
      <c r="Y57" s="291">
        <v>142</v>
      </c>
      <c r="Z57" s="291">
        <v>188</v>
      </c>
      <c r="AA57" s="291">
        <v>175</v>
      </c>
      <c r="AB57" s="308">
        <v>24862</v>
      </c>
    </row>
    <row r="58" spans="1:28" ht="9.75">
      <c r="A58" s="289" t="s">
        <v>64</v>
      </c>
      <c r="B58" s="289" t="s">
        <v>58</v>
      </c>
      <c r="C58" s="291">
        <v>0</v>
      </c>
      <c r="D58" s="291">
        <v>9</v>
      </c>
      <c r="E58" s="291">
        <v>0</v>
      </c>
      <c r="F58" s="291">
        <v>0</v>
      </c>
      <c r="G58" s="291">
        <v>0</v>
      </c>
      <c r="H58" s="291">
        <v>10</v>
      </c>
      <c r="I58" s="291">
        <v>60</v>
      </c>
      <c r="J58" s="291">
        <v>0</v>
      </c>
      <c r="K58" s="291">
        <v>0</v>
      </c>
      <c r="L58" s="291">
        <v>0</v>
      </c>
      <c r="M58" s="291">
        <v>0</v>
      </c>
      <c r="N58" s="291">
        <v>0</v>
      </c>
      <c r="O58" s="291">
        <v>0</v>
      </c>
      <c r="P58" s="291">
        <v>1</v>
      </c>
      <c r="Q58" s="291">
        <v>4</v>
      </c>
      <c r="R58" s="291">
        <v>0</v>
      </c>
      <c r="S58" s="291"/>
      <c r="T58" s="291">
        <v>85</v>
      </c>
      <c r="U58" s="291"/>
      <c r="V58" s="291"/>
      <c r="W58" s="291"/>
      <c r="X58" s="291">
        <v>84</v>
      </c>
      <c r="Y58" s="291">
        <v>648</v>
      </c>
      <c r="Z58" s="291">
        <v>817</v>
      </c>
      <c r="AA58" s="291">
        <v>783</v>
      </c>
      <c r="AB58" s="308">
        <v>488033.69999999995</v>
      </c>
    </row>
    <row r="59" spans="1:28" ht="9.75">
      <c r="A59" s="291" t="s">
        <v>368</v>
      </c>
      <c r="B59" s="289" t="s">
        <v>276</v>
      </c>
      <c r="C59" s="291">
        <v>0</v>
      </c>
      <c r="D59" s="291">
        <v>1</v>
      </c>
      <c r="E59" s="291">
        <v>0</v>
      </c>
      <c r="F59" s="291">
        <v>0</v>
      </c>
      <c r="G59" s="291">
        <v>0</v>
      </c>
      <c r="H59" s="291">
        <v>0</v>
      </c>
      <c r="I59" s="291">
        <v>4</v>
      </c>
      <c r="J59" s="291">
        <v>0</v>
      </c>
      <c r="K59" s="291">
        <v>0</v>
      </c>
      <c r="L59" s="291">
        <v>0</v>
      </c>
      <c r="M59" s="291">
        <v>0</v>
      </c>
      <c r="N59" s="291">
        <v>0</v>
      </c>
      <c r="O59" s="291">
        <v>0</v>
      </c>
      <c r="P59" s="291">
        <v>0</v>
      </c>
      <c r="Q59" s="291">
        <v>0</v>
      </c>
      <c r="R59" s="291">
        <v>0</v>
      </c>
      <c r="S59" s="291"/>
      <c r="T59" s="291">
        <v>22</v>
      </c>
      <c r="U59" s="291"/>
      <c r="V59" s="291"/>
      <c r="W59" s="291"/>
      <c r="X59" s="291">
        <v>2</v>
      </c>
      <c r="Y59" s="291">
        <v>28</v>
      </c>
      <c r="Z59" s="291">
        <v>52</v>
      </c>
      <c r="AA59" s="291">
        <v>43.2</v>
      </c>
      <c r="AB59" s="308">
        <v>28591.3</v>
      </c>
    </row>
    <row r="60" spans="1:28" ht="9.75">
      <c r="A60" s="289" t="s">
        <v>102</v>
      </c>
      <c r="B60" s="289" t="s">
        <v>58</v>
      </c>
      <c r="C60" s="291">
        <v>0</v>
      </c>
      <c r="D60" s="291">
        <v>0</v>
      </c>
      <c r="E60" s="291">
        <v>0</v>
      </c>
      <c r="F60" s="291">
        <v>0</v>
      </c>
      <c r="G60" s="291">
        <v>0</v>
      </c>
      <c r="H60" s="291">
        <v>0</v>
      </c>
      <c r="I60" s="291">
        <v>4</v>
      </c>
      <c r="J60" s="291">
        <v>0</v>
      </c>
      <c r="K60" s="291">
        <v>0</v>
      </c>
      <c r="L60" s="291">
        <v>0</v>
      </c>
      <c r="M60" s="291">
        <v>0</v>
      </c>
      <c r="N60" s="291">
        <v>0</v>
      </c>
      <c r="O60" s="291">
        <v>0</v>
      </c>
      <c r="P60" s="291">
        <v>0</v>
      </c>
      <c r="Q60" s="291">
        <v>0</v>
      </c>
      <c r="R60" s="291">
        <v>0</v>
      </c>
      <c r="S60" s="291"/>
      <c r="T60" s="291">
        <v>19</v>
      </c>
      <c r="U60" s="291"/>
      <c r="V60" s="291"/>
      <c r="W60" s="291"/>
      <c r="X60" s="291">
        <v>17</v>
      </c>
      <c r="Y60" s="291">
        <v>144</v>
      </c>
      <c r="Z60" s="291">
        <v>180</v>
      </c>
      <c r="AA60" s="291">
        <v>172.4</v>
      </c>
      <c r="AB60" s="308">
        <v>24862</v>
      </c>
    </row>
    <row r="61" spans="1:28" ht="9.75">
      <c r="A61" s="290" t="s">
        <v>277</v>
      </c>
      <c r="B61" s="289" t="s">
        <v>278</v>
      </c>
      <c r="C61" s="291">
        <v>0</v>
      </c>
      <c r="D61" s="291">
        <v>0</v>
      </c>
      <c r="E61" s="291">
        <v>0</v>
      </c>
      <c r="F61" s="291">
        <v>0</v>
      </c>
      <c r="G61" s="291">
        <v>0</v>
      </c>
      <c r="H61" s="291">
        <v>0</v>
      </c>
      <c r="I61" s="291">
        <v>1</v>
      </c>
      <c r="J61" s="291">
        <v>0</v>
      </c>
      <c r="K61" s="291">
        <v>0</v>
      </c>
      <c r="L61" s="291">
        <v>0</v>
      </c>
      <c r="M61" s="291">
        <v>0</v>
      </c>
      <c r="N61" s="291">
        <v>0</v>
      </c>
      <c r="O61" s="291">
        <v>0</v>
      </c>
      <c r="P61" s="291">
        <v>0</v>
      </c>
      <c r="Q61" s="291">
        <v>0</v>
      </c>
      <c r="R61" s="291">
        <v>0</v>
      </c>
      <c r="S61" s="291">
        <v>4</v>
      </c>
      <c r="T61" s="291">
        <v>0</v>
      </c>
      <c r="U61" s="291">
        <v>0</v>
      </c>
      <c r="V61" s="291">
        <v>0</v>
      </c>
      <c r="W61" s="291">
        <v>0</v>
      </c>
      <c r="X61" s="291">
        <v>2</v>
      </c>
      <c r="Y61" s="291">
        <v>25</v>
      </c>
      <c r="Z61" s="291">
        <v>31</v>
      </c>
      <c r="AA61" s="291">
        <v>29</v>
      </c>
      <c r="AB61" s="308">
        <v>6215.5</v>
      </c>
    </row>
    <row r="62" spans="1:28" ht="9.75">
      <c r="A62" s="289" t="s">
        <v>140</v>
      </c>
      <c r="B62" s="289" t="s">
        <v>141</v>
      </c>
      <c r="C62" s="291">
        <v>2</v>
      </c>
      <c r="D62" s="291">
        <v>0</v>
      </c>
      <c r="E62" s="291">
        <v>0</v>
      </c>
      <c r="F62" s="291">
        <v>0</v>
      </c>
      <c r="G62" s="291">
        <v>0</v>
      </c>
      <c r="H62" s="291">
        <v>4</v>
      </c>
      <c r="I62" s="291">
        <v>22</v>
      </c>
      <c r="J62" s="291">
        <v>12</v>
      </c>
      <c r="K62" s="291">
        <v>0</v>
      </c>
      <c r="L62" s="291">
        <v>0</v>
      </c>
      <c r="M62" s="291">
        <v>0</v>
      </c>
      <c r="N62" s="291">
        <v>0</v>
      </c>
      <c r="O62" s="291">
        <v>0</v>
      </c>
      <c r="P62" s="291">
        <v>0</v>
      </c>
      <c r="Q62" s="291">
        <v>0</v>
      </c>
      <c r="R62" s="291">
        <v>0</v>
      </c>
      <c r="S62" s="291">
        <v>46</v>
      </c>
      <c r="T62" s="291"/>
      <c r="U62" s="291"/>
      <c r="V62" s="291"/>
      <c r="W62" s="291"/>
      <c r="X62" s="291">
        <v>60</v>
      </c>
      <c r="Y62" s="291">
        <v>757</v>
      </c>
      <c r="Z62" s="291">
        <v>863</v>
      </c>
      <c r="AA62" s="291">
        <v>840</v>
      </c>
      <c r="AB62" s="308">
        <v>242404.5</v>
      </c>
    </row>
    <row r="63" spans="1:28" ht="9.75">
      <c r="A63" s="293" t="s">
        <v>279</v>
      </c>
      <c r="B63" s="289" t="s">
        <v>222</v>
      </c>
      <c r="C63" s="291">
        <v>0</v>
      </c>
      <c r="D63" s="291">
        <v>0</v>
      </c>
      <c r="E63" s="291">
        <v>0</v>
      </c>
      <c r="F63" s="291">
        <v>0</v>
      </c>
      <c r="G63" s="291">
        <v>0</v>
      </c>
      <c r="H63" s="291">
        <v>2</v>
      </c>
      <c r="I63" s="291">
        <v>6</v>
      </c>
      <c r="J63" s="291">
        <v>0</v>
      </c>
      <c r="K63" s="291">
        <v>0</v>
      </c>
      <c r="L63" s="291">
        <v>0</v>
      </c>
      <c r="M63" s="291">
        <v>0</v>
      </c>
      <c r="N63" s="291">
        <v>0</v>
      </c>
      <c r="O63" s="291">
        <v>0</v>
      </c>
      <c r="P63" s="291">
        <v>0</v>
      </c>
      <c r="Q63" s="291">
        <v>0</v>
      </c>
      <c r="R63" s="291">
        <v>0</v>
      </c>
      <c r="S63" s="291">
        <v>18</v>
      </c>
      <c r="T63" s="291"/>
      <c r="U63" s="291"/>
      <c r="V63" s="291"/>
      <c r="W63" s="291"/>
      <c r="X63" s="291">
        <v>21</v>
      </c>
      <c r="Y63" s="291">
        <v>135</v>
      </c>
      <c r="Z63" s="291">
        <v>174</v>
      </c>
      <c r="AA63" s="291">
        <v>165</v>
      </c>
      <c r="AB63" s="308">
        <v>49724</v>
      </c>
    </row>
    <row r="64" spans="1:28" ht="9.75">
      <c r="A64" s="289" t="s">
        <v>280</v>
      </c>
      <c r="B64" s="289" t="s">
        <v>281</v>
      </c>
      <c r="C64" s="291">
        <v>0</v>
      </c>
      <c r="D64" s="291">
        <v>0</v>
      </c>
      <c r="E64" s="291">
        <v>0</v>
      </c>
      <c r="F64" s="291">
        <v>0</v>
      </c>
      <c r="G64" s="291">
        <v>0</v>
      </c>
      <c r="H64" s="291">
        <v>1</v>
      </c>
      <c r="I64" s="291">
        <v>1</v>
      </c>
      <c r="J64" s="291">
        <v>0</v>
      </c>
      <c r="K64" s="291">
        <v>0</v>
      </c>
      <c r="L64" s="291">
        <v>0</v>
      </c>
      <c r="M64" s="291">
        <v>0</v>
      </c>
      <c r="N64" s="291">
        <v>0</v>
      </c>
      <c r="O64" s="291">
        <v>0</v>
      </c>
      <c r="P64" s="291">
        <v>0</v>
      </c>
      <c r="Q64" s="291">
        <v>0</v>
      </c>
      <c r="R64" s="291">
        <v>0</v>
      </c>
      <c r="S64" s="291">
        <v>15</v>
      </c>
      <c r="T64" s="291"/>
      <c r="U64" s="291"/>
      <c r="V64" s="291"/>
      <c r="W64" s="291"/>
      <c r="X64" s="291">
        <v>7</v>
      </c>
      <c r="Y64" s="291">
        <v>49</v>
      </c>
      <c r="Z64" s="291">
        <v>71</v>
      </c>
      <c r="AA64" s="291">
        <v>63.5</v>
      </c>
      <c r="AB64" s="308">
        <v>12431</v>
      </c>
    </row>
    <row r="65" spans="1:28" ht="9.75">
      <c r="A65" s="292" t="s">
        <v>282</v>
      </c>
      <c r="B65" s="289" t="s">
        <v>103</v>
      </c>
      <c r="C65" s="291">
        <v>0</v>
      </c>
      <c r="D65" s="291">
        <v>0</v>
      </c>
      <c r="E65" s="291">
        <v>0</v>
      </c>
      <c r="F65" s="291">
        <v>0</v>
      </c>
      <c r="G65" s="291">
        <v>0</v>
      </c>
      <c r="H65" s="291">
        <v>1</v>
      </c>
      <c r="I65" s="291">
        <v>2</v>
      </c>
      <c r="J65" s="291">
        <v>0</v>
      </c>
      <c r="K65" s="291">
        <v>0</v>
      </c>
      <c r="L65" s="291">
        <v>0</v>
      </c>
      <c r="M65" s="291">
        <v>0</v>
      </c>
      <c r="N65" s="291">
        <v>0</v>
      </c>
      <c r="O65" s="291">
        <v>0</v>
      </c>
      <c r="P65" s="291">
        <v>0</v>
      </c>
      <c r="Q65" s="291">
        <v>1</v>
      </c>
      <c r="R65" s="291">
        <v>0</v>
      </c>
      <c r="S65" s="291">
        <v>3</v>
      </c>
      <c r="T65" s="291"/>
      <c r="U65" s="291"/>
      <c r="V65" s="291"/>
      <c r="W65" s="291"/>
      <c r="X65" s="291">
        <v>8</v>
      </c>
      <c r="Y65" s="291">
        <v>46</v>
      </c>
      <c r="Z65" s="291">
        <v>57</v>
      </c>
      <c r="AA65" s="291">
        <v>55.5</v>
      </c>
      <c r="AB65" s="308">
        <v>22523.5</v>
      </c>
    </row>
    <row r="66" spans="1:28" ht="9.75">
      <c r="A66" s="291" t="s">
        <v>283</v>
      </c>
      <c r="B66" s="289" t="s">
        <v>58</v>
      </c>
      <c r="C66" s="291">
        <v>0</v>
      </c>
      <c r="D66" s="291">
        <v>0</v>
      </c>
      <c r="E66" s="291">
        <v>0</v>
      </c>
      <c r="F66" s="291">
        <v>0</v>
      </c>
      <c r="G66" s="291">
        <v>0</v>
      </c>
      <c r="H66" s="291">
        <v>0</v>
      </c>
      <c r="I66" s="291">
        <v>4</v>
      </c>
      <c r="J66" s="291">
        <v>0</v>
      </c>
      <c r="K66" s="291">
        <v>0</v>
      </c>
      <c r="L66" s="291">
        <v>0</v>
      </c>
      <c r="M66" s="291">
        <v>0</v>
      </c>
      <c r="N66" s="291">
        <v>0</v>
      </c>
      <c r="O66" s="291">
        <v>0</v>
      </c>
      <c r="P66" s="291">
        <v>0</v>
      </c>
      <c r="Q66" s="291">
        <v>0</v>
      </c>
      <c r="R66" s="291">
        <v>0</v>
      </c>
      <c r="S66" s="291">
        <v>0</v>
      </c>
      <c r="T66" s="291">
        <v>20</v>
      </c>
      <c r="U66" s="291">
        <v>0</v>
      </c>
      <c r="V66" s="291">
        <v>0</v>
      </c>
      <c r="W66" s="291">
        <v>0</v>
      </c>
      <c r="X66" s="291">
        <v>39</v>
      </c>
      <c r="Y66" s="291">
        <v>268</v>
      </c>
      <c r="Z66" s="291">
        <v>327</v>
      </c>
      <c r="AA66" s="291">
        <v>319</v>
      </c>
      <c r="AB66" s="308">
        <v>24862</v>
      </c>
    </row>
    <row r="67" spans="1:28" ht="9.75">
      <c r="A67" s="291" t="s">
        <v>284</v>
      </c>
      <c r="B67" s="289" t="s">
        <v>58</v>
      </c>
      <c r="C67" s="291">
        <v>0</v>
      </c>
      <c r="D67" s="291">
        <v>0</v>
      </c>
      <c r="E67" s="291">
        <v>0</v>
      </c>
      <c r="F67" s="291">
        <v>0</v>
      </c>
      <c r="G67" s="291">
        <v>0</v>
      </c>
      <c r="H67" s="291">
        <v>0</v>
      </c>
      <c r="I67" s="291">
        <v>0</v>
      </c>
      <c r="J67" s="291">
        <v>0</v>
      </c>
      <c r="K67" s="291">
        <v>0</v>
      </c>
      <c r="L67" s="291">
        <v>0</v>
      </c>
      <c r="M67" s="291">
        <v>0</v>
      </c>
      <c r="N67" s="291">
        <v>0</v>
      </c>
      <c r="O67" s="291">
        <v>0</v>
      </c>
      <c r="P67" s="291">
        <v>0</v>
      </c>
      <c r="Q67" s="291">
        <v>0</v>
      </c>
      <c r="R67" s="291">
        <v>0</v>
      </c>
      <c r="S67" s="291"/>
      <c r="T67" s="291">
        <v>21</v>
      </c>
      <c r="U67" s="291"/>
      <c r="V67" s="291"/>
      <c r="W67" s="291"/>
      <c r="X67" s="291">
        <v>33</v>
      </c>
      <c r="Y67" s="291">
        <v>238</v>
      </c>
      <c r="Z67" s="291">
        <v>292</v>
      </c>
      <c r="AA67" s="291">
        <v>283.6</v>
      </c>
      <c r="AB67" s="308">
        <v>0</v>
      </c>
    </row>
    <row r="68" spans="1:28" ht="9.75">
      <c r="A68" s="291" t="s">
        <v>285</v>
      </c>
      <c r="B68" s="289" t="s">
        <v>58</v>
      </c>
      <c r="C68" s="291">
        <v>0</v>
      </c>
      <c r="D68" s="291">
        <v>0</v>
      </c>
      <c r="E68" s="291">
        <v>0</v>
      </c>
      <c r="F68" s="291">
        <v>0</v>
      </c>
      <c r="G68" s="291">
        <v>0</v>
      </c>
      <c r="H68" s="291">
        <v>0</v>
      </c>
      <c r="I68" s="291">
        <v>0</v>
      </c>
      <c r="J68" s="291">
        <v>0</v>
      </c>
      <c r="K68" s="291">
        <v>0</v>
      </c>
      <c r="L68" s="291">
        <v>0</v>
      </c>
      <c r="M68" s="291">
        <v>0</v>
      </c>
      <c r="N68" s="291">
        <v>0</v>
      </c>
      <c r="O68" s="291">
        <v>0</v>
      </c>
      <c r="P68" s="291">
        <v>0</v>
      </c>
      <c r="Q68" s="291">
        <v>0</v>
      </c>
      <c r="R68" s="291">
        <v>0</v>
      </c>
      <c r="S68" s="291"/>
      <c r="T68" s="291">
        <v>24</v>
      </c>
      <c r="U68" s="291"/>
      <c r="V68" s="291"/>
      <c r="W68" s="291"/>
      <c r="X68" s="291">
        <v>20</v>
      </c>
      <c r="Y68" s="291">
        <v>174</v>
      </c>
      <c r="Z68" s="291">
        <v>218</v>
      </c>
      <c r="AA68" s="291">
        <v>208.4</v>
      </c>
      <c r="AB68" s="308">
        <v>0</v>
      </c>
    </row>
    <row r="69" spans="1:28" ht="9.75">
      <c r="A69" s="291" t="s">
        <v>286</v>
      </c>
      <c r="B69" s="289" t="s">
        <v>58</v>
      </c>
      <c r="C69" s="291">
        <v>0</v>
      </c>
      <c r="D69" s="291">
        <v>0</v>
      </c>
      <c r="E69" s="291">
        <v>0</v>
      </c>
      <c r="F69" s="291">
        <v>0</v>
      </c>
      <c r="G69" s="291">
        <v>0</v>
      </c>
      <c r="H69" s="291">
        <v>0</v>
      </c>
      <c r="I69" s="291">
        <v>0</v>
      </c>
      <c r="J69" s="291">
        <v>0</v>
      </c>
      <c r="K69" s="291">
        <v>0</v>
      </c>
      <c r="L69" s="291">
        <v>0</v>
      </c>
      <c r="M69" s="291">
        <v>0</v>
      </c>
      <c r="N69" s="291">
        <v>0</v>
      </c>
      <c r="O69" s="291">
        <v>0</v>
      </c>
      <c r="P69" s="291">
        <v>0</v>
      </c>
      <c r="Q69" s="291">
        <v>0</v>
      </c>
      <c r="R69" s="291">
        <v>0</v>
      </c>
      <c r="S69" s="291">
        <v>41</v>
      </c>
      <c r="T69" s="291"/>
      <c r="U69" s="291"/>
      <c r="V69" s="291"/>
      <c r="W69" s="291"/>
      <c r="X69" s="291">
        <v>41</v>
      </c>
      <c r="Y69" s="291">
        <v>287</v>
      </c>
      <c r="Z69" s="291">
        <v>369</v>
      </c>
      <c r="AA69" s="291">
        <v>348.5</v>
      </c>
      <c r="AB69" s="308">
        <v>0</v>
      </c>
    </row>
    <row r="70" spans="1:28" ht="9.75">
      <c r="A70" s="291" t="s">
        <v>287</v>
      </c>
      <c r="B70" s="289" t="s">
        <v>288</v>
      </c>
      <c r="C70" s="291">
        <v>0</v>
      </c>
      <c r="D70" s="291">
        <v>0</v>
      </c>
      <c r="E70" s="291">
        <v>0</v>
      </c>
      <c r="F70" s="291">
        <v>0</v>
      </c>
      <c r="G70" s="291">
        <v>0</v>
      </c>
      <c r="H70" s="291">
        <v>0</v>
      </c>
      <c r="I70" s="291">
        <v>0</v>
      </c>
      <c r="J70" s="291">
        <v>2</v>
      </c>
      <c r="K70" s="291">
        <v>0</v>
      </c>
      <c r="L70" s="291">
        <v>0</v>
      </c>
      <c r="M70" s="291">
        <v>0</v>
      </c>
      <c r="N70" s="291">
        <v>0</v>
      </c>
      <c r="O70" s="291">
        <v>0</v>
      </c>
      <c r="P70" s="291">
        <v>0</v>
      </c>
      <c r="Q70" s="291">
        <v>0</v>
      </c>
      <c r="R70" s="291">
        <v>0</v>
      </c>
      <c r="S70" s="291"/>
      <c r="T70" s="291"/>
      <c r="U70" s="291"/>
      <c r="V70" s="291"/>
      <c r="W70" s="291"/>
      <c r="X70" s="291"/>
      <c r="Y70" s="291">
        <v>337</v>
      </c>
      <c r="Z70" s="291">
        <v>337</v>
      </c>
      <c r="AA70" s="291">
        <v>337</v>
      </c>
      <c r="AB70" s="308">
        <v>12431</v>
      </c>
    </row>
    <row r="71" spans="1:28" ht="9.75">
      <c r="A71" s="291" t="s">
        <v>289</v>
      </c>
      <c r="B71" s="289" t="s">
        <v>290</v>
      </c>
      <c r="C71" s="291">
        <v>0</v>
      </c>
      <c r="D71" s="291">
        <v>0</v>
      </c>
      <c r="E71" s="291">
        <v>0</v>
      </c>
      <c r="F71" s="291">
        <v>0</v>
      </c>
      <c r="G71" s="291">
        <v>0</v>
      </c>
      <c r="H71" s="291">
        <v>1</v>
      </c>
      <c r="I71" s="291">
        <v>2</v>
      </c>
      <c r="J71" s="291">
        <v>1</v>
      </c>
      <c r="K71" s="291">
        <v>0</v>
      </c>
      <c r="L71" s="291">
        <v>0</v>
      </c>
      <c r="M71" s="291">
        <v>0</v>
      </c>
      <c r="N71" s="291">
        <v>0</v>
      </c>
      <c r="O71" s="291">
        <v>0</v>
      </c>
      <c r="P71" s="291">
        <v>0</v>
      </c>
      <c r="Q71" s="291">
        <v>0</v>
      </c>
      <c r="R71" s="291">
        <v>0</v>
      </c>
      <c r="S71" s="291">
        <v>0</v>
      </c>
      <c r="T71" s="291">
        <v>0</v>
      </c>
      <c r="U71" s="291">
        <v>0</v>
      </c>
      <c r="V71" s="291">
        <v>0</v>
      </c>
      <c r="W71" s="291">
        <v>0</v>
      </c>
      <c r="X71" s="291">
        <v>8</v>
      </c>
      <c r="Y71" s="291">
        <v>30</v>
      </c>
      <c r="Z71" s="291">
        <v>38</v>
      </c>
      <c r="AA71" s="291">
        <v>38</v>
      </c>
      <c r="AB71" s="308">
        <v>24862</v>
      </c>
    </row>
    <row r="72" spans="1:28" ht="9.75">
      <c r="A72" s="289" t="s">
        <v>65</v>
      </c>
      <c r="B72" s="289" t="s">
        <v>58</v>
      </c>
      <c r="C72" s="291">
        <v>0</v>
      </c>
      <c r="D72" s="291">
        <v>1</v>
      </c>
      <c r="E72" s="291">
        <v>0</v>
      </c>
      <c r="F72" s="291">
        <v>0</v>
      </c>
      <c r="G72" s="291">
        <v>0</v>
      </c>
      <c r="H72" s="291">
        <v>3</v>
      </c>
      <c r="I72" s="291">
        <v>11</v>
      </c>
      <c r="J72" s="291">
        <v>4</v>
      </c>
      <c r="K72" s="291">
        <v>0</v>
      </c>
      <c r="L72" s="291">
        <v>0</v>
      </c>
      <c r="M72" s="291">
        <v>0</v>
      </c>
      <c r="N72" s="291">
        <v>0</v>
      </c>
      <c r="O72" s="291">
        <v>0</v>
      </c>
      <c r="P72" s="291">
        <v>0</v>
      </c>
      <c r="Q72" s="291">
        <v>0</v>
      </c>
      <c r="R72" s="291">
        <v>0</v>
      </c>
      <c r="S72" s="291"/>
      <c r="T72" s="291">
        <v>23</v>
      </c>
      <c r="U72" s="291"/>
      <c r="V72" s="291"/>
      <c r="W72" s="291"/>
      <c r="X72" s="291">
        <v>35</v>
      </c>
      <c r="Y72" s="291">
        <v>235</v>
      </c>
      <c r="Z72" s="291">
        <v>293</v>
      </c>
      <c r="AA72" s="291">
        <v>283.8</v>
      </c>
      <c r="AB72" s="308">
        <v>115608.3</v>
      </c>
    </row>
    <row r="73" spans="1:28" ht="9.75">
      <c r="A73" s="291" t="s">
        <v>291</v>
      </c>
      <c r="B73" s="289" t="s">
        <v>292</v>
      </c>
      <c r="C73" s="291">
        <v>0</v>
      </c>
      <c r="D73" s="291">
        <v>0</v>
      </c>
      <c r="E73" s="291">
        <v>0</v>
      </c>
      <c r="F73" s="291">
        <v>0</v>
      </c>
      <c r="G73" s="291">
        <v>0</v>
      </c>
      <c r="H73" s="291">
        <v>0</v>
      </c>
      <c r="I73" s="291">
        <v>0</v>
      </c>
      <c r="J73" s="291">
        <v>3</v>
      </c>
      <c r="K73" s="291">
        <v>0</v>
      </c>
      <c r="L73" s="291">
        <v>0</v>
      </c>
      <c r="M73" s="291">
        <v>0</v>
      </c>
      <c r="N73" s="291">
        <v>0</v>
      </c>
      <c r="O73" s="291">
        <v>0</v>
      </c>
      <c r="P73" s="291">
        <v>0</v>
      </c>
      <c r="Q73" s="291">
        <v>0</v>
      </c>
      <c r="R73" s="291">
        <v>0</v>
      </c>
      <c r="S73" s="291">
        <v>0</v>
      </c>
      <c r="T73" s="291">
        <v>0</v>
      </c>
      <c r="U73" s="291">
        <v>0</v>
      </c>
      <c r="V73" s="291">
        <v>0</v>
      </c>
      <c r="W73" s="291">
        <v>0</v>
      </c>
      <c r="X73" s="291">
        <v>0</v>
      </c>
      <c r="Y73" s="291">
        <v>33</v>
      </c>
      <c r="Z73" s="291">
        <v>33</v>
      </c>
      <c r="AA73" s="291">
        <v>33</v>
      </c>
      <c r="AB73" s="308">
        <v>18646.5</v>
      </c>
    </row>
    <row r="74" spans="1:28" ht="9.75">
      <c r="A74" s="292" t="s">
        <v>293</v>
      </c>
      <c r="B74" s="289" t="s">
        <v>58</v>
      </c>
      <c r="C74" s="291">
        <v>0</v>
      </c>
      <c r="D74" s="291">
        <v>0</v>
      </c>
      <c r="E74" s="291">
        <v>0</v>
      </c>
      <c r="F74" s="291">
        <v>0</v>
      </c>
      <c r="G74" s="291">
        <v>0</v>
      </c>
      <c r="H74" s="291">
        <v>0</v>
      </c>
      <c r="I74" s="291">
        <v>0</v>
      </c>
      <c r="J74" s="291">
        <v>24</v>
      </c>
      <c r="K74" s="291">
        <v>0</v>
      </c>
      <c r="L74" s="291">
        <v>0</v>
      </c>
      <c r="M74" s="291">
        <v>0</v>
      </c>
      <c r="N74" s="291">
        <v>0</v>
      </c>
      <c r="O74" s="291">
        <v>0</v>
      </c>
      <c r="P74" s="291">
        <v>0</v>
      </c>
      <c r="Q74" s="291">
        <v>0</v>
      </c>
      <c r="R74" s="291">
        <v>0</v>
      </c>
      <c r="S74" s="291"/>
      <c r="T74" s="291"/>
      <c r="U74" s="291"/>
      <c r="V74" s="291"/>
      <c r="W74" s="291"/>
      <c r="X74" s="291"/>
      <c r="Y74" s="291">
        <v>111</v>
      </c>
      <c r="Z74" s="291">
        <v>111</v>
      </c>
      <c r="AA74" s="291">
        <v>111</v>
      </c>
      <c r="AB74" s="308">
        <v>149172</v>
      </c>
    </row>
    <row r="75" spans="1:28" ht="9.75">
      <c r="A75" s="289" t="s">
        <v>66</v>
      </c>
      <c r="B75" s="289" t="s">
        <v>58</v>
      </c>
      <c r="C75" s="291">
        <v>1</v>
      </c>
      <c r="D75" s="291">
        <v>0</v>
      </c>
      <c r="E75" s="291">
        <v>0</v>
      </c>
      <c r="F75" s="291">
        <v>0</v>
      </c>
      <c r="G75" s="291">
        <v>0</v>
      </c>
      <c r="H75" s="291">
        <v>0</v>
      </c>
      <c r="I75" s="291">
        <v>8</v>
      </c>
      <c r="J75" s="291">
        <v>1</v>
      </c>
      <c r="K75" s="291">
        <v>0</v>
      </c>
      <c r="L75" s="291">
        <v>0</v>
      </c>
      <c r="M75" s="291">
        <v>0</v>
      </c>
      <c r="N75" s="291">
        <v>0</v>
      </c>
      <c r="O75" s="291">
        <v>0</v>
      </c>
      <c r="P75" s="291">
        <v>0</v>
      </c>
      <c r="Q75" s="291">
        <v>0</v>
      </c>
      <c r="R75" s="291">
        <v>0</v>
      </c>
      <c r="S75" s="291">
        <v>4</v>
      </c>
      <c r="T75" s="291"/>
      <c r="U75" s="291"/>
      <c r="V75" s="291"/>
      <c r="W75" s="291"/>
      <c r="X75" s="291"/>
      <c r="Y75" s="291">
        <v>17</v>
      </c>
      <c r="Z75" s="291">
        <v>21</v>
      </c>
      <c r="AA75" s="291">
        <v>19</v>
      </c>
      <c r="AB75" s="308">
        <v>59047.25</v>
      </c>
    </row>
    <row r="76" spans="1:28" ht="9.75">
      <c r="A76" s="291" t="s">
        <v>294</v>
      </c>
      <c r="B76" s="289" t="s">
        <v>141</v>
      </c>
      <c r="C76" s="291">
        <v>0</v>
      </c>
      <c r="D76" s="291">
        <v>0</v>
      </c>
      <c r="E76" s="291">
        <v>0</v>
      </c>
      <c r="F76" s="291">
        <v>0</v>
      </c>
      <c r="G76" s="291">
        <v>0</v>
      </c>
      <c r="H76" s="291">
        <v>0</v>
      </c>
      <c r="I76" s="291">
        <v>0</v>
      </c>
      <c r="J76" s="291">
        <v>3</v>
      </c>
      <c r="K76" s="291">
        <v>0</v>
      </c>
      <c r="L76" s="291">
        <v>0</v>
      </c>
      <c r="M76" s="291">
        <v>0</v>
      </c>
      <c r="N76" s="291">
        <v>0</v>
      </c>
      <c r="O76" s="291">
        <v>0</v>
      </c>
      <c r="P76" s="291">
        <v>0</v>
      </c>
      <c r="Q76" s="291">
        <v>0</v>
      </c>
      <c r="R76" s="291">
        <v>0</v>
      </c>
      <c r="S76" s="291">
        <v>0</v>
      </c>
      <c r="T76" s="291">
        <v>0</v>
      </c>
      <c r="U76" s="291">
        <v>0</v>
      </c>
      <c r="V76" s="291">
        <v>0</v>
      </c>
      <c r="W76" s="291">
        <v>0</v>
      </c>
      <c r="X76" s="291">
        <v>0</v>
      </c>
      <c r="Y76" s="291">
        <v>281</v>
      </c>
      <c r="Z76" s="291">
        <v>281</v>
      </c>
      <c r="AA76" s="291">
        <v>281</v>
      </c>
      <c r="AB76" s="308">
        <v>18646.5</v>
      </c>
    </row>
    <row r="77" spans="1:28" ht="9.75">
      <c r="A77" s="289" t="s">
        <v>295</v>
      </c>
      <c r="B77" s="289" t="s">
        <v>142</v>
      </c>
      <c r="C77" s="291">
        <v>0</v>
      </c>
      <c r="D77" s="291">
        <v>0</v>
      </c>
      <c r="E77" s="291">
        <v>0</v>
      </c>
      <c r="F77" s="291">
        <v>0</v>
      </c>
      <c r="G77" s="291">
        <v>0</v>
      </c>
      <c r="H77" s="291">
        <v>0</v>
      </c>
      <c r="I77" s="291">
        <v>1</v>
      </c>
      <c r="J77" s="291">
        <v>0</v>
      </c>
      <c r="K77" s="291">
        <v>0</v>
      </c>
      <c r="L77" s="291">
        <v>0</v>
      </c>
      <c r="M77" s="291">
        <v>0</v>
      </c>
      <c r="N77" s="291">
        <v>0</v>
      </c>
      <c r="O77" s="291">
        <v>0</v>
      </c>
      <c r="P77" s="291">
        <v>0</v>
      </c>
      <c r="Q77" s="291">
        <v>0</v>
      </c>
      <c r="R77" s="291">
        <v>0</v>
      </c>
      <c r="S77" s="291">
        <v>22</v>
      </c>
      <c r="T77" s="291"/>
      <c r="U77" s="291"/>
      <c r="V77" s="291"/>
      <c r="W77" s="291"/>
      <c r="X77" s="291">
        <v>7</v>
      </c>
      <c r="Y77" s="291">
        <v>74</v>
      </c>
      <c r="Z77" s="291">
        <v>103</v>
      </c>
      <c r="AA77" s="291">
        <v>92</v>
      </c>
      <c r="AB77" s="308">
        <v>6215.5</v>
      </c>
    </row>
    <row r="90" spans="1:28" ht="9.75">
      <c r="A90" s="187">
        <v>1</v>
      </c>
      <c r="B90" s="187">
        <v>2</v>
      </c>
      <c r="C90" s="187">
        <v>3</v>
      </c>
      <c r="D90" s="187">
        <v>4</v>
      </c>
      <c r="E90" s="187">
        <v>5</v>
      </c>
      <c r="F90" s="187">
        <v>6</v>
      </c>
      <c r="G90" s="187">
        <v>7</v>
      </c>
      <c r="H90" s="187">
        <v>8</v>
      </c>
      <c r="I90" s="187">
        <v>9</v>
      </c>
      <c r="J90" s="187">
        <v>10</v>
      </c>
      <c r="K90" s="187">
        <v>11</v>
      </c>
      <c r="L90" s="187">
        <v>12</v>
      </c>
      <c r="M90" s="187">
        <v>13</v>
      </c>
      <c r="N90" s="187">
        <v>14</v>
      </c>
      <c r="O90" s="187">
        <v>15</v>
      </c>
      <c r="P90" s="187">
        <v>16</v>
      </c>
      <c r="Q90" s="187">
        <v>17</v>
      </c>
      <c r="R90" s="187">
        <v>18</v>
      </c>
      <c r="S90" s="187">
        <v>19</v>
      </c>
      <c r="T90" s="187">
        <v>20</v>
      </c>
      <c r="U90" s="187">
        <v>21</v>
      </c>
      <c r="V90" s="187">
        <v>22</v>
      </c>
      <c r="W90" s="187">
        <v>23</v>
      </c>
      <c r="X90" s="187">
        <v>24</v>
      </c>
      <c r="Y90" s="187">
        <v>25</v>
      </c>
      <c r="Z90" s="187">
        <v>26</v>
      </c>
      <c r="AA90" s="187">
        <v>27</v>
      </c>
      <c r="AB90" s="187">
        <v>28</v>
      </c>
    </row>
  </sheetData>
  <sheetProtection password="EC9D" sheet="1"/>
  <autoFilter ref="A1:AC1"/>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216"/>
  <sheetViews>
    <sheetView showGridLines="0" workbookViewId="0" topLeftCell="A1">
      <selection activeCell="M12" sqref="M12"/>
    </sheetView>
  </sheetViews>
  <sheetFormatPr defaultColWidth="9.140625" defaultRowHeight="15"/>
  <cols>
    <col min="1" max="1" width="11.421875" style="4" customWidth="1"/>
    <col min="2" max="2" width="20.421875" style="4" customWidth="1"/>
    <col min="3" max="3" width="31.8515625" style="4" customWidth="1"/>
    <col min="4" max="4" width="12.7109375" style="4" customWidth="1"/>
    <col min="5" max="5" width="19.00390625" style="4" customWidth="1"/>
    <col min="6" max="6" width="12.140625" style="4" customWidth="1"/>
    <col min="7" max="7" width="12.7109375" style="4" customWidth="1"/>
    <col min="8" max="8" width="9.140625" style="4" customWidth="1"/>
    <col min="9" max="9" width="9.140625" style="4" hidden="1" customWidth="1"/>
    <col min="10" max="16384" width="9.140625" style="4" customWidth="1"/>
  </cols>
  <sheetData>
    <row r="1" spans="2:5" ht="86.25" customHeight="1" thickBot="1">
      <c r="B1" s="345" t="s">
        <v>380</v>
      </c>
      <c r="C1" s="346"/>
      <c r="D1" s="347" t="s">
        <v>364</v>
      </c>
      <c r="E1" s="348"/>
    </row>
    <row r="2" spans="1:5" ht="18.75" customHeight="1" thickTop="1">
      <c r="A2" s="7"/>
      <c r="B2" s="8"/>
      <c r="C2" s="9" t="s">
        <v>35</v>
      </c>
      <c r="D2" s="8"/>
      <c r="E2" s="8"/>
    </row>
    <row r="3" spans="1:5" ht="14.25" customHeight="1">
      <c r="A3" s="349" t="s">
        <v>33</v>
      </c>
      <c r="B3" s="349"/>
      <c r="C3" s="349"/>
      <c r="D3" s="349"/>
      <c r="E3" s="349"/>
    </row>
    <row r="4" spans="1:5" ht="21.75" customHeight="1">
      <c r="A4" s="350"/>
      <c r="B4" s="350"/>
      <c r="C4" s="350"/>
      <c r="D4" s="350"/>
      <c r="E4" s="350"/>
    </row>
    <row r="5" spans="1:5" ht="14.25" customHeight="1">
      <c r="A5" s="349" t="s">
        <v>54</v>
      </c>
      <c r="B5" s="349"/>
      <c r="C5" s="349"/>
      <c r="D5" s="349"/>
      <c r="E5" s="349"/>
    </row>
    <row r="6" spans="1:9" ht="21.75" customHeight="1">
      <c r="A6" s="351">
        <f>IF(A4="","",VLOOKUP(A4,Counts!A2:B77,2,FALSE))</f>
      </c>
      <c r="B6" s="351"/>
      <c r="C6" s="351"/>
      <c r="D6" s="351"/>
      <c r="E6" s="351"/>
      <c r="I6" s="4" t="s">
        <v>52</v>
      </c>
    </row>
    <row r="7" spans="1:9" ht="14.25" customHeight="1">
      <c r="A7" s="349" t="s">
        <v>69</v>
      </c>
      <c r="B7" s="349"/>
      <c r="C7" s="349"/>
      <c r="D7" s="349"/>
      <c r="E7" s="349"/>
      <c r="I7" s="4" t="s">
        <v>51</v>
      </c>
    </row>
    <row r="8" spans="1:9" ht="21.75" customHeight="1" thickBot="1">
      <c r="A8" s="350"/>
      <c r="B8" s="350"/>
      <c r="C8" s="350"/>
      <c r="D8" s="350"/>
      <c r="E8" s="350"/>
      <c r="I8" s="4" t="s">
        <v>53</v>
      </c>
    </row>
    <row r="9" spans="1:5" s="10" customFormat="1" ht="18" customHeight="1" thickTop="1">
      <c r="A9" s="7"/>
      <c r="B9" s="8"/>
      <c r="C9" s="9" t="s">
        <v>36</v>
      </c>
      <c r="D9" s="8"/>
      <c r="E9" s="8"/>
    </row>
    <row r="10" spans="1:5" s="10" customFormat="1" ht="14.25" customHeight="1">
      <c r="A10" s="130" t="s">
        <v>34</v>
      </c>
      <c r="B10" s="130"/>
      <c r="C10" s="130"/>
      <c r="D10" s="352" t="s">
        <v>151</v>
      </c>
      <c r="E10" s="353"/>
    </row>
    <row r="11" spans="1:5" s="10" customFormat="1" ht="21.75" customHeight="1" thickBot="1">
      <c r="A11" s="361"/>
      <c r="B11" s="361"/>
      <c r="C11" s="362"/>
      <c r="D11" s="363"/>
      <c r="E11" s="361"/>
    </row>
    <row r="12" spans="1:5" ht="18.75" customHeight="1" thickTop="1">
      <c r="A12" s="7"/>
      <c r="B12" s="8"/>
      <c r="C12" s="9" t="s">
        <v>37</v>
      </c>
      <c r="D12" s="8"/>
      <c r="E12" s="8"/>
    </row>
    <row r="13" spans="1:5" ht="53.25" customHeight="1">
      <c r="A13" s="358" t="s">
        <v>315</v>
      </c>
      <c r="B13" s="358"/>
      <c r="C13" s="358"/>
      <c r="D13" s="358"/>
      <c r="E13" s="358"/>
    </row>
    <row r="14" spans="1:5" ht="12.75" customHeight="1">
      <c r="A14" s="359" t="s">
        <v>155</v>
      </c>
      <c r="B14" s="359"/>
      <c r="C14" s="359"/>
      <c r="D14" s="360"/>
      <c r="E14" s="11" t="s">
        <v>38</v>
      </c>
    </row>
    <row r="15" spans="1:5" ht="28.5" customHeight="1">
      <c r="A15" s="356" t="s">
        <v>349</v>
      </c>
      <c r="B15" s="356"/>
      <c r="C15" s="356"/>
      <c r="D15" s="357"/>
      <c r="E15" s="285"/>
    </row>
    <row r="16" spans="1:5" s="23" customFormat="1" ht="10.5" thickBot="1">
      <c r="A16" s="286"/>
      <c r="B16" s="286"/>
      <c r="C16" s="286"/>
      <c r="D16" s="286"/>
      <c r="E16" s="287"/>
    </row>
    <row r="17" spans="1:5" s="23" customFormat="1" ht="25.5" customHeight="1" thickBot="1">
      <c r="A17" s="354" t="s">
        <v>373</v>
      </c>
      <c r="B17" s="354"/>
      <c r="C17" s="355"/>
      <c r="D17" s="24"/>
      <c r="E17" s="288"/>
    </row>
    <row r="18" spans="1:5" ht="10.5" thickBot="1">
      <c r="A18" s="25"/>
      <c r="B18" s="25"/>
      <c r="C18" s="25"/>
      <c r="D18" s="25"/>
      <c r="E18" s="25"/>
    </row>
    <row r="19" ht="10.5" thickTop="1"/>
    <row r="20" spans="1:5" ht="9.75">
      <c r="A20" s="244" t="s">
        <v>324</v>
      </c>
      <c r="B20" s="245"/>
      <c r="C20" s="246"/>
      <c r="D20" s="247" t="s">
        <v>319</v>
      </c>
      <c r="E20" s="248"/>
    </row>
    <row r="21" spans="1:5" ht="9.75">
      <c r="A21" s="249" t="s">
        <v>370</v>
      </c>
      <c r="B21" s="26"/>
      <c r="C21" s="26"/>
      <c r="D21" s="315">
        <f>IF(ISBLANK($A$4),"",'Schedule 2'!B18)</f>
      </c>
      <c r="E21" s="316"/>
    </row>
    <row r="22" spans="1:5" ht="9.75">
      <c r="A22" s="250" t="s">
        <v>320</v>
      </c>
      <c r="B22" s="251"/>
      <c r="C22" s="251"/>
      <c r="D22" s="317">
        <f>IF(ISBLANK($A$4),"",'Schedule 3'!B19)</f>
      </c>
      <c r="E22" s="318"/>
    </row>
    <row r="23" spans="1:5" ht="9.75">
      <c r="A23" s="249" t="s">
        <v>321</v>
      </c>
      <c r="B23" s="26"/>
      <c r="C23" s="26"/>
      <c r="D23" s="315">
        <f>IF(ISBLANK($A$4),"",'Schedule 4'!B17)</f>
      </c>
      <c r="E23" s="316"/>
    </row>
    <row r="24" spans="1:5" ht="9.75">
      <c r="A24" s="250" t="s">
        <v>322</v>
      </c>
      <c r="B24" s="251"/>
      <c r="C24" s="251"/>
      <c r="D24" s="317">
        <f>'Schedule 3'!L5</f>
        <v>0</v>
      </c>
      <c r="E24" s="318"/>
    </row>
    <row r="25" spans="1:5" ht="9.75">
      <c r="A25" s="249" t="s">
        <v>365</v>
      </c>
      <c r="B25" s="26"/>
      <c r="C25" s="26"/>
      <c r="D25" s="315" t="str">
        <f>IF((ABS('Schedule 1-1'!F19)+ABS('Schedule 1-1'!F20))=0,"No K4 Parental Outreach Change",IF('Schedule 1-1'!F19&lt;0,"K4 Parental Outreach Added","K4 Parental Outreach Disallowed"))</f>
        <v>No K4 Parental Outreach Change</v>
      </c>
      <c r="E25" s="316"/>
    </row>
    <row r="26" spans="1:5" ht="9.75">
      <c r="A26" s="249"/>
      <c r="B26" s="26"/>
      <c r="C26" s="26"/>
      <c r="D26" s="26"/>
      <c r="E26" s="252"/>
    </row>
    <row r="27" spans="1:5" ht="27" customHeight="1">
      <c r="A27" s="342" t="s">
        <v>323</v>
      </c>
      <c r="B27" s="343"/>
      <c r="C27" s="343"/>
      <c r="D27" s="343"/>
      <c r="E27" s="344"/>
    </row>
    <row r="32" s="26" customFormat="1" ht="9.75" hidden="1">
      <c r="A32" s="289" t="s">
        <v>221</v>
      </c>
    </row>
    <row r="33" s="26" customFormat="1" ht="9.75" hidden="1">
      <c r="A33" s="290" t="s">
        <v>223</v>
      </c>
    </row>
    <row r="34" s="26" customFormat="1" ht="9.75" hidden="1">
      <c r="A34" s="291" t="s">
        <v>224</v>
      </c>
    </row>
    <row r="35" s="26" customFormat="1" ht="9.75" hidden="1">
      <c r="A35" s="291" t="s">
        <v>225</v>
      </c>
    </row>
    <row r="36" s="26" customFormat="1" ht="9.75" hidden="1">
      <c r="A36" s="290" t="s">
        <v>226</v>
      </c>
    </row>
    <row r="37" s="26" customFormat="1" ht="9.75" hidden="1">
      <c r="A37" s="290" t="s">
        <v>227</v>
      </c>
    </row>
    <row r="38" s="26" customFormat="1" ht="9.75" hidden="1">
      <c r="A38" s="291" t="s">
        <v>228</v>
      </c>
    </row>
    <row r="39" s="26" customFormat="1" ht="9.75" hidden="1">
      <c r="A39" s="291" t="s">
        <v>229</v>
      </c>
    </row>
    <row r="40" s="26" customFormat="1" ht="9.75" hidden="1">
      <c r="A40" s="289" t="s">
        <v>231</v>
      </c>
    </row>
    <row r="41" s="26" customFormat="1" ht="9.75" hidden="1">
      <c r="A41" s="289" t="s">
        <v>59</v>
      </c>
    </row>
    <row r="42" s="26" customFormat="1" ht="9.75" hidden="1">
      <c r="A42" s="291" t="s">
        <v>232</v>
      </c>
    </row>
    <row r="43" s="26" customFormat="1" ht="9.75" hidden="1">
      <c r="A43" s="290" t="s">
        <v>233</v>
      </c>
    </row>
    <row r="44" s="26" customFormat="1" ht="9.75" hidden="1">
      <c r="A44" s="289" t="s">
        <v>86</v>
      </c>
    </row>
    <row r="45" s="26" customFormat="1" ht="9.75" hidden="1">
      <c r="A45" s="291" t="s">
        <v>235</v>
      </c>
    </row>
    <row r="46" s="26" customFormat="1" ht="9.75" hidden="1">
      <c r="A46" s="292" t="s">
        <v>237</v>
      </c>
    </row>
    <row r="47" s="26" customFormat="1" ht="9.75" hidden="1">
      <c r="A47" s="289" t="s">
        <v>67</v>
      </c>
    </row>
    <row r="48" s="26" customFormat="1" ht="9.75" hidden="1">
      <c r="A48" s="289" t="s">
        <v>61</v>
      </c>
    </row>
    <row r="49" s="26" customFormat="1" ht="9.75" hidden="1">
      <c r="A49" s="291" t="s">
        <v>239</v>
      </c>
    </row>
    <row r="50" s="26" customFormat="1" ht="9.75" hidden="1">
      <c r="A50" s="292" t="s">
        <v>240</v>
      </c>
    </row>
    <row r="51" s="26" customFormat="1" ht="9.75" hidden="1">
      <c r="A51" s="289" t="s">
        <v>89</v>
      </c>
    </row>
    <row r="52" s="26" customFormat="1" ht="9.75" hidden="1">
      <c r="A52" s="290" t="s">
        <v>241</v>
      </c>
    </row>
    <row r="53" s="26" customFormat="1" ht="9.75" hidden="1">
      <c r="A53" s="289" t="s">
        <v>243</v>
      </c>
    </row>
    <row r="54" s="26" customFormat="1" ht="9.75" hidden="1">
      <c r="A54" s="289" t="s">
        <v>244</v>
      </c>
    </row>
    <row r="55" s="26" customFormat="1" ht="9.75" hidden="1">
      <c r="A55" s="291" t="s">
        <v>245</v>
      </c>
    </row>
    <row r="56" s="26" customFormat="1" ht="9.75" hidden="1">
      <c r="A56" s="289" t="s">
        <v>93</v>
      </c>
    </row>
    <row r="57" s="26" customFormat="1" ht="9.75" hidden="1">
      <c r="A57" s="289" t="s">
        <v>62</v>
      </c>
    </row>
    <row r="58" s="26" customFormat="1" ht="9.75" hidden="1">
      <c r="A58" s="289" t="s">
        <v>95</v>
      </c>
    </row>
    <row r="59" s="26" customFormat="1" ht="9.75" hidden="1">
      <c r="A59" s="289" t="s">
        <v>366</v>
      </c>
    </row>
    <row r="60" s="26" customFormat="1" ht="9.75" hidden="1">
      <c r="A60" s="291" t="s">
        <v>247</v>
      </c>
    </row>
    <row r="61" s="26" customFormat="1" ht="9.75" hidden="1">
      <c r="A61" s="291" t="s">
        <v>249</v>
      </c>
    </row>
    <row r="62" s="26" customFormat="1" ht="9.75" hidden="1">
      <c r="A62" s="289" t="s">
        <v>68</v>
      </c>
    </row>
    <row r="63" s="26" customFormat="1" ht="9.75" hidden="1">
      <c r="A63" s="289" t="s">
        <v>97</v>
      </c>
    </row>
    <row r="64" s="26" customFormat="1" ht="9.75" hidden="1">
      <c r="A64" s="289" t="s">
        <v>367</v>
      </c>
    </row>
    <row r="65" s="26" customFormat="1" ht="9.75" hidden="1">
      <c r="A65" s="289" t="s">
        <v>250</v>
      </c>
    </row>
    <row r="66" s="26" customFormat="1" ht="9.75" hidden="1">
      <c r="A66" s="289" t="s">
        <v>252</v>
      </c>
    </row>
    <row r="67" s="26" customFormat="1" ht="9.75" hidden="1">
      <c r="A67" s="289" t="s">
        <v>253</v>
      </c>
    </row>
    <row r="68" s="26" customFormat="1" ht="9.75" hidden="1">
      <c r="A68" s="290" t="s">
        <v>254</v>
      </c>
    </row>
    <row r="69" s="26" customFormat="1" ht="9.75" hidden="1">
      <c r="A69" s="291" t="s">
        <v>255</v>
      </c>
    </row>
    <row r="70" s="26" customFormat="1" ht="9.75" hidden="1">
      <c r="A70" s="289" t="s">
        <v>99</v>
      </c>
    </row>
    <row r="71" s="26" customFormat="1" ht="9.75" hidden="1">
      <c r="A71" s="291" t="s">
        <v>256</v>
      </c>
    </row>
    <row r="72" s="26" customFormat="1" ht="9.75" hidden="1">
      <c r="A72" s="292" t="s">
        <v>258</v>
      </c>
    </row>
    <row r="73" s="26" customFormat="1" ht="9.75" hidden="1">
      <c r="A73" s="291" t="s">
        <v>259</v>
      </c>
    </row>
    <row r="74" s="26" customFormat="1" ht="9.75" hidden="1">
      <c r="A74" s="289" t="s">
        <v>260</v>
      </c>
    </row>
    <row r="75" s="26" customFormat="1" ht="9.75" hidden="1">
      <c r="A75" s="289" t="s">
        <v>100</v>
      </c>
    </row>
    <row r="76" s="26" customFormat="1" ht="9.75" hidden="1">
      <c r="A76" s="291" t="s">
        <v>261</v>
      </c>
    </row>
    <row r="77" s="26" customFormat="1" ht="9.75" hidden="1">
      <c r="A77" s="291" t="s">
        <v>262</v>
      </c>
    </row>
    <row r="78" s="26" customFormat="1" ht="9.75" hidden="1">
      <c r="A78" s="289" t="s">
        <v>63</v>
      </c>
    </row>
    <row r="79" s="26" customFormat="1" ht="9.75" hidden="1">
      <c r="A79" s="291" t="s">
        <v>264</v>
      </c>
    </row>
    <row r="80" s="26" customFormat="1" ht="9.75" hidden="1">
      <c r="A80" s="290" t="s">
        <v>266</v>
      </c>
    </row>
    <row r="81" s="26" customFormat="1" ht="9.75" hidden="1">
      <c r="A81" s="291" t="s">
        <v>267</v>
      </c>
    </row>
    <row r="82" s="26" customFormat="1" ht="9.75" hidden="1">
      <c r="A82" s="291" t="s">
        <v>268</v>
      </c>
    </row>
    <row r="83" s="26" customFormat="1" ht="9.75" hidden="1">
      <c r="A83" s="289" t="s">
        <v>101</v>
      </c>
    </row>
    <row r="84" s="26" customFormat="1" ht="9.75" hidden="1">
      <c r="A84" s="291" t="s">
        <v>269</v>
      </c>
    </row>
    <row r="85" s="26" customFormat="1" ht="9.75" hidden="1">
      <c r="A85" s="291" t="s">
        <v>271</v>
      </c>
    </row>
    <row r="86" s="26" customFormat="1" ht="9.75" hidden="1">
      <c r="A86" s="291" t="s">
        <v>273</v>
      </c>
    </row>
    <row r="87" s="26" customFormat="1" ht="9.75" hidden="1">
      <c r="A87" s="291" t="s">
        <v>275</v>
      </c>
    </row>
    <row r="88" s="26" customFormat="1" ht="9.75" hidden="1">
      <c r="A88" s="289" t="s">
        <v>64</v>
      </c>
    </row>
    <row r="89" s="26" customFormat="1" ht="9.75" hidden="1">
      <c r="A89" s="291" t="s">
        <v>368</v>
      </c>
    </row>
    <row r="90" s="26" customFormat="1" ht="9.75" hidden="1">
      <c r="A90" s="289" t="s">
        <v>102</v>
      </c>
    </row>
    <row r="91" s="26" customFormat="1" ht="9.75" hidden="1">
      <c r="A91" s="290" t="s">
        <v>277</v>
      </c>
    </row>
    <row r="92" s="26" customFormat="1" ht="9.75" hidden="1">
      <c r="A92" s="289" t="s">
        <v>140</v>
      </c>
    </row>
    <row r="93" s="26" customFormat="1" ht="9.75" hidden="1">
      <c r="A93" s="293" t="s">
        <v>279</v>
      </c>
    </row>
    <row r="94" s="26" customFormat="1" ht="9.75" hidden="1">
      <c r="A94" s="289" t="s">
        <v>280</v>
      </c>
    </row>
    <row r="95" s="26" customFormat="1" ht="9.75" hidden="1">
      <c r="A95" s="292" t="s">
        <v>282</v>
      </c>
    </row>
    <row r="96" s="26" customFormat="1" ht="9.75" hidden="1">
      <c r="A96" s="291" t="s">
        <v>283</v>
      </c>
    </row>
    <row r="97" s="26" customFormat="1" ht="9.75" hidden="1">
      <c r="A97" s="291" t="s">
        <v>284</v>
      </c>
    </row>
    <row r="98" s="26" customFormat="1" ht="9.75" hidden="1">
      <c r="A98" s="291" t="s">
        <v>285</v>
      </c>
    </row>
    <row r="99" s="26" customFormat="1" ht="9.75" hidden="1">
      <c r="A99" s="291" t="s">
        <v>286</v>
      </c>
    </row>
    <row r="100" s="26" customFormat="1" ht="9.75" hidden="1">
      <c r="A100" s="291" t="s">
        <v>287</v>
      </c>
    </row>
    <row r="101" s="26" customFormat="1" ht="9.75" hidden="1">
      <c r="A101" s="291" t="s">
        <v>289</v>
      </c>
    </row>
    <row r="102" s="26" customFormat="1" ht="9.75" hidden="1">
      <c r="A102" s="289" t="s">
        <v>65</v>
      </c>
    </row>
    <row r="103" s="26" customFormat="1" ht="9.75" hidden="1">
      <c r="A103" s="291" t="s">
        <v>291</v>
      </c>
    </row>
    <row r="104" s="26" customFormat="1" ht="9.75" hidden="1">
      <c r="A104" s="292" t="s">
        <v>293</v>
      </c>
    </row>
    <row r="105" s="26" customFormat="1" ht="9.75" hidden="1">
      <c r="A105" s="289" t="s">
        <v>66</v>
      </c>
    </row>
    <row r="106" s="26" customFormat="1" ht="9.75" hidden="1">
      <c r="A106" s="291" t="s">
        <v>294</v>
      </c>
    </row>
    <row r="107" s="26" customFormat="1" ht="9.75" hidden="1">
      <c r="A107" s="289" t="s">
        <v>295</v>
      </c>
    </row>
    <row r="108" s="26" customFormat="1" ht="9.75">
      <c r="A108" s="294"/>
    </row>
    <row r="109" s="26" customFormat="1" ht="9.75">
      <c r="A109" s="294"/>
    </row>
    <row r="110" s="26" customFormat="1" ht="9.75">
      <c r="A110" s="294"/>
    </row>
    <row r="111" s="26" customFormat="1" ht="9.75">
      <c r="A111" s="294"/>
    </row>
    <row r="112" s="26" customFormat="1" ht="9.75">
      <c r="A112" s="294"/>
    </row>
    <row r="113" s="26" customFormat="1" ht="9.75">
      <c r="A113" s="294"/>
    </row>
    <row r="114" s="26" customFormat="1" ht="9.75">
      <c r="A114" s="294"/>
    </row>
    <row r="115" s="26" customFormat="1" ht="9.75">
      <c r="A115" s="294"/>
    </row>
    <row r="116" s="26" customFormat="1" ht="9.75">
      <c r="A116" s="294"/>
    </row>
    <row r="117" s="26" customFormat="1" ht="9.75">
      <c r="A117" s="294"/>
    </row>
    <row r="118" s="26" customFormat="1" ht="9.75">
      <c r="A118" s="294"/>
    </row>
    <row r="119" s="26" customFormat="1" ht="9.75">
      <c r="A119" s="294"/>
    </row>
    <row r="120" s="26" customFormat="1" ht="9.75">
      <c r="A120" s="294"/>
    </row>
    <row r="121" s="26" customFormat="1" ht="9.75">
      <c r="A121" s="294"/>
    </row>
    <row r="122" s="26" customFormat="1" ht="9.75">
      <c r="A122" s="294"/>
    </row>
    <row r="123" s="26" customFormat="1" ht="9.75">
      <c r="A123" s="294"/>
    </row>
    <row r="124" s="26" customFormat="1" ht="9.75">
      <c r="A124" s="294"/>
    </row>
    <row r="125" s="26" customFormat="1" ht="9.75">
      <c r="A125" s="294"/>
    </row>
    <row r="126" s="26" customFormat="1" ht="9.75">
      <c r="A126" s="294"/>
    </row>
    <row r="127" s="26" customFormat="1" ht="9.75">
      <c r="A127" s="294"/>
    </row>
    <row r="128" s="26" customFormat="1" ht="9.75">
      <c r="A128" s="294"/>
    </row>
    <row r="129" s="26" customFormat="1" ht="9.75">
      <c r="A129" s="294"/>
    </row>
    <row r="130" s="26" customFormat="1" ht="9.75">
      <c r="A130" s="294"/>
    </row>
    <row r="131" s="26" customFormat="1" ht="9.75">
      <c r="A131" s="294"/>
    </row>
    <row r="132" s="26" customFormat="1" ht="9.75">
      <c r="A132" s="294"/>
    </row>
    <row r="133" s="26" customFormat="1" ht="9.75">
      <c r="A133" s="294"/>
    </row>
    <row r="134" s="26" customFormat="1" ht="9.75">
      <c r="A134" s="294"/>
    </row>
    <row r="135" s="26" customFormat="1" ht="9.75">
      <c r="A135" s="294"/>
    </row>
    <row r="136" s="26" customFormat="1" ht="9.75">
      <c r="A136" s="294"/>
    </row>
    <row r="137" s="26" customFormat="1" ht="9.75">
      <c r="A137" s="294"/>
    </row>
    <row r="138" s="26" customFormat="1" ht="9.75">
      <c r="A138" s="294"/>
    </row>
    <row r="139" s="26" customFormat="1" ht="9.75">
      <c r="A139" s="294"/>
    </row>
    <row r="140" s="26" customFormat="1" ht="9.75">
      <c r="A140" s="294"/>
    </row>
    <row r="141" s="26" customFormat="1" ht="9.75">
      <c r="A141" s="294"/>
    </row>
    <row r="142" s="26" customFormat="1" ht="9.75">
      <c r="A142" s="294"/>
    </row>
    <row r="143" s="26" customFormat="1" ht="9.75">
      <c r="A143" s="294"/>
    </row>
    <row r="144" s="26" customFormat="1" ht="9.75">
      <c r="A144" s="294"/>
    </row>
    <row r="145" s="26" customFormat="1" ht="9.75">
      <c r="A145" s="294"/>
    </row>
    <row r="146" s="26" customFormat="1" ht="9.75">
      <c r="A146" s="294"/>
    </row>
    <row r="147" s="26" customFormat="1" ht="9.75">
      <c r="A147" s="294"/>
    </row>
    <row r="148" s="26" customFormat="1" ht="9.75">
      <c r="A148" s="294"/>
    </row>
    <row r="149" s="26" customFormat="1" ht="9.75">
      <c r="A149" s="294"/>
    </row>
    <row r="150" s="26" customFormat="1" ht="9.75">
      <c r="A150" s="294"/>
    </row>
    <row r="151" s="26" customFormat="1" ht="9.75">
      <c r="A151" s="294"/>
    </row>
    <row r="152" s="26" customFormat="1" ht="9.75">
      <c r="A152" s="294"/>
    </row>
    <row r="153" s="26" customFormat="1" ht="9.75">
      <c r="A153" s="294"/>
    </row>
    <row r="154" s="26" customFormat="1" ht="9.75">
      <c r="A154" s="294"/>
    </row>
    <row r="155" s="26" customFormat="1" ht="9.75">
      <c r="A155" s="294"/>
    </row>
    <row r="156" s="26" customFormat="1" ht="9.75">
      <c r="A156" s="294"/>
    </row>
    <row r="157" s="26" customFormat="1" ht="9.75">
      <c r="A157" s="294"/>
    </row>
    <row r="158" s="26" customFormat="1" ht="9.75">
      <c r="A158" s="294"/>
    </row>
    <row r="159" s="26" customFormat="1" ht="9.75">
      <c r="A159" s="294"/>
    </row>
    <row r="160" s="26" customFormat="1" ht="9.75">
      <c r="A160" s="294"/>
    </row>
    <row r="161" s="26" customFormat="1" ht="9.75">
      <c r="A161" s="294"/>
    </row>
    <row r="162" s="26" customFormat="1" ht="9.75">
      <c r="A162" s="294"/>
    </row>
    <row r="163" s="26" customFormat="1" ht="9.75">
      <c r="A163" s="294"/>
    </row>
    <row r="164" s="26" customFormat="1" ht="9.75">
      <c r="A164" s="294"/>
    </row>
    <row r="165" s="26" customFormat="1" ht="9.75">
      <c r="A165" s="294"/>
    </row>
    <row r="166" s="26" customFormat="1" ht="9.75">
      <c r="A166" s="294"/>
    </row>
    <row r="167" s="26" customFormat="1" ht="9.75">
      <c r="A167" s="294"/>
    </row>
    <row r="168" s="26" customFormat="1" ht="9.75">
      <c r="A168" s="294"/>
    </row>
    <row r="169" s="26" customFormat="1" ht="9.75">
      <c r="A169" s="294"/>
    </row>
    <row r="170" s="26" customFormat="1" ht="9.75">
      <c r="A170" s="294"/>
    </row>
    <row r="171" s="26" customFormat="1" ht="9.75">
      <c r="A171" s="294"/>
    </row>
    <row r="172" s="26" customFormat="1" ht="9.75">
      <c r="A172" s="294"/>
    </row>
    <row r="173" s="26" customFormat="1" ht="9.75">
      <c r="A173" s="294"/>
    </row>
    <row r="174" s="26" customFormat="1" ht="9.75">
      <c r="A174" s="294"/>
    </row>
    <row r="175" s="26" customFormat="1" ht="9.75">
      <c r="A175" s="294"/>
    </row>
    <row r="176" s="26" customFormat="1" ht="9.75">
      <c r="A176" s="294"/>
    </row>
    <row r="177" s="26" customFormat="1" ht="9.75">
      <c r="A177" s="295"/>
    </row>
    <row r="178" s="26" customFormat="1" ht="9.75">
      <c r="A178" s="294"/>
    </row>
    <row r="179" s="26" customFormat="1" ht="9.75">
      <c r="A179" s="294"/>
    </row>
    <row r="180" s="26" customFormat="1" ht="9.75">
      <c r="A180" s="294"/>
    </row>
    <row r="181" s="26" customFormat="1" ht="9.75">
      <c r="A181" s="294"/>
    </row>
    <row r="182" s="26" customFormat="1" ht="9.75">
      <c r="A182" s="294"/>
    </row>
    <row r="183" s="26" customFormat="1" ht="9.75">
      <c r="A183" s="294"/>
    </row>
    <row r="184" s="26" customFormat="1" ht="9.75">
      <c r="A184" s="294"/>
    </row>
    <row r="185" s="26" customFormat="1" ht="9.75">
      <c r="A185" s="294"/>
    </row>
    <row r="186" s="26" customFormat="1" ht="9.75">
      <c r="A186" s="294"/>
    </row>
    <row r="187" s="26" customFormat="1" ht="9.75">
      <c r="A187" s="294"/>
    </row>
    <row r="188" s="26" customFormat="1" ht="9.75">
      <c r="A188" s="294"/>
    </row>
    <row r="189" s="26" customFormat="1" ht="9.75">
      <c r="A189" s="294"/>
    </row>
    <row r="190" s="26" customFormat="1" ht="9.75">
      <c r="A190" s="294"/>
    </row>
    <row r="191" s="26" customFormat="1" ht="9.75">
      <c r="A191" s="294"/>
    </row>
    <row r="192" s="26" customFormat="1" ht="9.75">
      <c r="A192" s="294"/>
    </row>
    <row r="193" s="26" customFormat="1" ht="9.75">
      <c r="A193" s="294"/>
    </row>
    <row r="194" s="26" customFormat="1" ht="9.75">
      <c r="A194" s="294"/>
    </row>
    <row r="195" s="26" customFormat="1" ht="9.75">
      <c r="A195" s="294"/>
    </row>
    <row r="196" s="26" customFormat="1" ht="9.75">
      <c r="A196" s="294"/>
    </row>
    <row r="197" s="26" customFormat="1" ht="9.75">
      <c r="A197" s="294"/>
    </row>
    <row r="198" s="26" customFormat="1" ht="9.75">
      <c r="A198" s="294"/>
    </row>
    <row r="199" s="26" customFormat="1" ht="9.75">
      <c r="A199" s="295"/>
    </row>
    <row r="200" s="26" customFormat="1" ht="9.75">
      <c r="A200" s="294"/>
    </row>
    <row r="201" s="26" customFormat="1" ht="9.75">
      <c r="A201" s="294"/>
    </row>
    <row r="202" s="26" customFormat="1" ht="9.75">
      <c r="A202" s="295"/>
    </row>
    <row r="203" s="26" customFormat="1" ht="9.75">
      <c r="A203" s="294"/>
    </row>
    <row r="204" s="26" customFormat="1" ht="9.75">
      <c r="A204" s="294"/>
    </row>
    <row r="205" s="26" customFormat="1" ht="9.75">
      <c r="A205" s="294"/>
    </row>
    <row r="206" s="26" customFormat="1" ht="9.75">
      <c r="A206" s="294"/>
    </row>
    <row r="207" s="26" customFormat="1" ht="9.75">
      <c r="A207" s="294"/>
    </row>
    <row r="208" s="26" customFormat="1" ht="9.75">
      <c r="A208" s="294"/>
    </row>
    <row r="209" s="26" customFormat="1" ht="9.75">
      <c r="A209" s="294"/>
    </row>
    <row r="210" s="26" customFormat="1" ht="9.75">
      <c r="A210" s="294"/>
    </row>
    <row r="211" s="26" customFormat="1" ht="9.75">
      <c r="A211" s="294"/>
    </row>
    <row r="212" s="26" customFormat="1" ht="9.75">
      <c r="A212" s="294"/>
    </row>
    <row r="213" s="26" customFormat="1" ht="9.75">
      <c r="A213" s="294"/>
    </row>
    <row r="214" s="26" customFormat="1" ht="9.75">
      <c r="A214" s="294"/>
    </row>
    <row r="215" s="26" customFormat="1" ht="9.75">
      <c r="A215" s="294"/>
    </row>
    <row r="216" s="26" customFormat="1" ht="9.75">
      <c r="A216" s="294"/>
    </row>
    <row r="217" s="26" customFormat="1" ht="9.75"/>
    <row r="218" s="26" customFormat="1" ht="9.75"/>
    <row r="219" s="26" customFormat="1" ht="9.75"/>
  </sheetData>
  <sheetProtection password="EC9D" sheet="1"/>
  <mergeCells count="16">
    <mergeCell ref="A7:E7"/>
    <mergeCell ref="A8:E8"/>
    <mergeCell ref="A13:E13"/>
    <mergeCell ref="A14:D14"/>
    <mergeCell ref="A11:C11"/>
    <mergeCell ref="D11:E11"/>
    <mergeCell ref="A27:E27"/>
    <mergeCell ref="B1:C1"/>
    <mergeCell ref="D1:E1"/>
    <mergeCell ref="A3:E3"/>
    <mergeCell ref="A4:E4"/>
    <mergeCell ref="A5:E5"/>
    <mergeCell ref="A6:E6"/>
    <mergeCell ref="D10:E10"/>
    <mergeCell ref="A17:C17"/>
    <mergeCell ref="A15:D15"/>
  </mergeCells>
  <dataValidations count="1">
    <dataValidation type="list" allowBlank="1" showInputMessage="1" showErrorMessage="1" sqref="A4:E4">
      <formula1>$A$32:$A$107</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workbookViewId="0" topLeftCell="A1">
      <selection activeCell="M12" sqref="M12"/>
    </sheetView>
  </sheetViews>
  <sheetFormatPr defaultColWidth="9.140625" defaultRowHeight="15"/>
  <cols>
    <col min="1" max="1" width="3.28125" style="43" bestFit="1" customWidth="1"/>
    <col min="2" max="2" width="60.140625" style="43" customWidth="1"/>
    <col min="3" max="16384" width="9.140625" style="43" customWidth="1"/>
  </cols>
  <sheetData>
    <row r="1" spans="1:4" ht="12" customHeight="1">
      <c r="A1" s="364">
        <f>'Cover Page'!A4:E4</f>
        <v>0</v>
      </c>
      <c r="B1" s="364"/>
      <c r="C1" s="364"/>
      <c r="D1" s="364"/>
    </row>
    <row r="2" spans="1:4" ht="12" customHeight="1">
      <c r="A2" s="365" t="s">
        <v>48</v>
      </c>
      <c r="B2" s="365"/>
      <c r="C2" s="365"/>
      <c r="D2" s="365"/>
    </row>
    <row r="3" spans="1:4" ht="12" customHeight="1">
      <c r="A3" s="365" t="str">
        <f>'Schedule 2'!B2</f>
        <v>January 11, 2019 SNSP Enrollment Audit</v>
      </c>
      <c r="B3" s="365"/>
      <c r="C3" s="365"/>
      <c r="D3" s="365"/>
    </row>
    <row r="4" spans="3:5" ht="12" customHeight="1">
      <c r="C4" s="44"/>
      <c r="D4" s="45"/>
      <c r="E4" s="45"/>
    </row>
    <row r="5" spans="1:5" ht="14.25" customHeight="1">
      <c r="A5" s="366" t="s">
        <v>50</v>
      </c>
      <c r="B5" s="366"/>
      <c r="C5" s="366"/>
      <c r="D5" s="366"/>
      <c r="E5" s="46"/>
    </row>
    <row r="6" spans="1:5" ht="14.25" customHeight="1">
      <c r="A6" s="366" t="s">
        <v>49</v>
      </c>
      <c r="B6" s="366"/>
      <c r="C6" s="366"/>
      <c r="D6" s="366"/>
      <c r="E6" s="47"/>
    </row>
    <row r="7" spans="1:4" ht="14.25" customHeight="1">
      <c r="A7" s="366" t="s">
        <v>152</v>
      </c>
      <c r="B7" s="366"/>
      <c r="C7" s="366"/>
      <c r="D7" s="366"/>
    </row>
    <row r="8" spans="1:4" ht="16.5" customHeight="1" thickBot="1">
      <c r="A8" s="44"/>
      <c r="B8" s="44"/>
      <c r="C8" s="44"/>
      <c r="D8" s="47"/>
    </row>
    <row r="9" spans="1:5" ht="16.5" customHeight="1" thickBot="1">
      <c r="A9" s="205" t="s">
        <v>47</v>
      </c>
      <c r="B9" s="369" t="s">
        <v>148</v>
      </c>
      <c r="C9" s="369"/>
      <c r="D9" s="369"/>
      <c r="E9" s="48" t="str">
        <f>IF('Schedule 1-1'!G14&gt;0,"ERROR","OK")</f>
        <v>OK</v>
      </c>
    </row>
    <row r="10" spans="1:5" s="50" customFormat="1" ht="16.5" customHeight="1" thickBot="1">
      <c r="A10" s="296"/>
      <c r="B10" s="58"/>
      <c r="C10" s="58"/>
      <c r="D10" s="58"/>
      <c r="E10" s="59"/>
    </row>
    <row r="11" spans="1:5" ht="27" customHeight="1" thickBot="1">
      <c r="A11" s="205" t="s">
        <v>47</v>
      </c>
      <c r="B11" s="369" t="s">
        <v>318</v>
      </c>
      <c r="C11" s="369"/>
      <c r="D11" s="369"/>
      <c r="E11" s="48" t="str">
        <f>IF('Schedule 3'!L5="","ERROR","OK")</f>
        <v>ERROR</v>
      </c>
    </row>
    <row r="12" spans="1:6" ht="16.5" customHeight="1" thickBot="1">
      <c r="A12" s="51"/>
      <c r="B12" s="49"/>
      <c r="C12" s="49"/>
      <c r="D12" s="49"/>
      <c r="E12" s="51"/>
      <c r="F12" s="52"/>
    </row>
    <row r="13" spans="1:5" ht="16.5" customHeight="1" thickBot="1">
      <c r="A13" s="205" t="s">
        <v>47</v>
      </c>
      <c r="B13" s="367" t="s">
        <v>143</v>
      </c>
      <c r="C13" s="367"/>
      <c r="D13" s="367"/>
      <c r="E13" s="48" t="str">
        <f>IF('Schedule 1-1'!I29="","ERROR",IF(AND('Schedule 1-1'!I29="N/A",SUM('Schedule 1-1'!E19:E20)&gt;0),"ERROR","OK"))</f>
        <v>ERROR</v>
      </c>
    </row>
    <row r="14" spans="1:5" ht="16.5" customHeight="1" thickBot="1">
      <c r="A14" s="296"/>
      <c r="B14" s="256"/>
      <c r="C14" s="256"/>
      <c r="E14" s="59"/>
    </row>
    <row r="15" spans="1:5" ht="16.5" customHeight="1" thickBot="1">
      <c r="A15" s="205" t="s">
        <v>47</v>
      </c>
      <c r="B15" s="256" t="s">
        <v>208</v>
      </c>
      <c r="C15" s="256"/>
      <c r="D15" s="256"/>
      <c r="E15" s="48" t="str">
        <f>IF(ISBLANK('Cover Page'!A4),"OK",IF(AND('Schedule 2'!B18='Schedule 2'!C18,'Schedule 2'!B18='Schedule 2'!D18,'Schedule 2'!B18='Schedule 2'!E18,'Schedule 2'!B18='Schedule 2'!F18,'Schedule 2'!B18='Schedule 2'!G18),"OK","ERROR"))</f>
        <v>OK</v>
      </c>
    </row>
    <row r="16" spans="1:5" ht="16.5" customHeight="1" thickBot="1">
      <c r="A16" s="206"/>
      <c r="B16" s="256"/>
      <c r="C16" s="256"/>
      <c r="D16" s="49"/>
      <c r="E16" s="50"/>
    </row>
    <row r="17" spans="1:5" ht="16.5" customHeight="1" thickBot="1">
      <c r="A17" s="205" t="s">
        <v>47</v>
      </c>
      <c r="B17" s="256" t="s">
        <v>209</v>
      </c>
      <c r="C17" s="256"/>
      <c r="D17" s="256"/>
      <c r="E17" s="48" t="str">
        <f>IF(ISBLANK('Cover Page'!A4),"OK",IF(AND('Schedule 3'!B19='Schedule 3'!C19,'Schedule 3'!B19='Schedule 3'!D19,'Schedule 3'!B19='Schedule 3'!E19,'Schedule 3'!B19='Schedule 3'!F19),"OK","ERROR"))</f>
        <v>OK</v>
      </c>
    </row>
    <row r="18" spans="1:5" ht="16.5" customHeight="1" thickBot="1">
      <c r="A18" s="206"/>
      <c r="B18" s="256"/>
      <c r="C18" s="256"/>
      <c r="D18" s="49"/>
      <c r="E18" s="50"/>
    </row>
    <row r="19" spans="1:5" ht="16.5" customHeight="1" thickBot="1">
      <c r="A19" s="205" t="s">
        <v>47</v>
      </c>
      <c r="B19" s="329" t="s">
        <v>352</v>
      </c>
      <c r="C19" s="329"/>
      <c r="D19" s="329"/>
      <c r="E19" s="48" t="str">
        <f>IF(ISBLANK('Cover Page'!A6),"OK",IF(COUNTIF('Schedule 3'!P9:P18,"Error")&gt;0,"ERROR","OK"))</f>
        <v>OK</v>
      </c>
    </row>
    <row r="20" ht="16.5" customHeight="1" thickBot="1"/>
    <row r="21" spans="1:5" ht="16.5" customHeight="1" thickBot="1">
      <c r="A21" s="205" t="s">
        <v>47</v>
      </c>
      <c r="B21" s="367" t="s">
        <v>351</v>
      </c>
      <c r="C21" s="367"/>
      <c r="D21" s="367"/>
      <c r="E21" s="48" t="str">
        <f>IF(ISBLANK('Cover Page'!A4),"OK",IF(AND('Schedule 4'!B17='Schedule 4'!C17,'Schedule 4'!B17='Schedule 4'!D17,'Schedule 4'!B17='Schedule 4'!E17,'Schedule 4'!B17='Schedule 4'!F17,'Schedule 4'!B17='Schedule 4'!G17),"OK","ERROR"))</f>
        <v>OK</v>
      </c>
    </row>
    <row r="22" ht="16.5" customHeight="1"/>
    <row r="23" spans="1:5" ht="16.5" customHeight="1" hidden="1" thickBot="1">
      <c r="A23" s="205" t="s">
        <v>47</v>
      </c>
      <c r="B23" s="368" t="s">
        <v>353</v>
      </c>
      <c r="C23" s="368"/>
      <c r="D23" s="368"/>
      <c r="E23" s="48" t="str">
        <f>IF(ISBLANK('Schedule 6'!H5),"ERROR",IF(AND('Schedule 6'!H5="N/A",'Schedule 5'!I28&gt;0),"ERROR","OK"))</f>
        <v>ERROR</v>
      </c>
    </row>
    <row r="24" spans="1:5" ht="16.5" customHeight="1" hidden="1" thickBot="1">
      <c r="A24" s="207"/>
      <c r="B24" s="257"/>
      <c r="C24" s="257"/>
      <c r="D24" s="257"/>
      <c r="E24" s="208"/>
    </row>
    <row r="25" spans="1:5" ht="16.5" customHeight="1" hidden="1" thickBot="1">
      <c r="A25" s="205" t="s">
        <v>47</v>
      </c>
      <c r="B25" s="368" t="s">
        <v>354</v>
      </c>
      <c r="C25" s="368"/>
      <c r="D25" s="368"/>
      <c r="E25" s="48" t="str">
        <f>IF('Schedule 6'!H6="","ERROR","OK")</f>
        <v>ERROR</v>
      </c>
    </row>
    <row r="26" ht="16.5" customHeight="1" hidden="1" thickBot="1"/>
    <row r="27" spans="1:5" ht="16.5" customHeight="1" hidden="1" thickBot="1">
      <c r="A27" s="205" t="s">
        <v>47</v>
      </c>
      <c r="B27" s="368" t="s">
        <v>355</v>
      </c>
      <c r="C27" s="368"/>
      <c r="D27" s="368"/>
      <c r="E27" s="48" t="str">
        <f>IF(SUM('Schedule 6'!J34:L34)&gt;0,"ERROR","OK")</f>
        <v>OK</v>
      </c>
    </row>
    <row r="28" ht="9.75" hidden="1"/>
    <row r="29" ht="11.25"/>
    <row r="30" ht="11.25"/>
    <row r="31" ht="11.25"/>
    <row r="32" ht="11.25"/>
    <row r="34" ht="11.25"/>
    <row r="35" ht="11.25"/>
    <row r="36" ht="11.25"/>
    <row r="37" ht="11.25"/>
    <row r="38" ht="11.25"/>
    <row r="39" ht="11.25"/>
    <row r="40" ht="11.25"/>
    <row r="41" ht="11.25"/>
    <row r="42" ht="11.25"/>
  </sheetData>
  <sheetProtection password="EC9D" sheet="1"/>
  <mergeCells count="13">
    <mergeCell ref="B21:D21"/>
    <mergeCell ref="B23:D23"/>
    <mergeCell ref="B25:D25"/>
    <mergeCell ref="B27:D27"/>
    <mergeCell ref="B9:D9"/>
    <mergeCell ref="B11:D11"/>
    <mergeCell ref="B13:D13"/>
    <mergeCell ref="A1:D1"/>
    <mergeCell ref="A2:D2"/>
    <mergeCell ref="A3:D3"/>
    <mergeCell ref="A5:D5"/>
    <mergeCell ref="A6:D6"/>
    <mergeCell ref="A7:D7"/>
  </mergeCells>
  <conditionalFormatting sqref="E1:E18 E21:E65536">
    <cfRule type="cellIs" priority="2" dxfId="5" operator="equal" stopIfTrue="1">
      <formula>"ERROR"</formula>
    </cfRule>
  </conditionalFormatting>
  <conditionalFormatting sqref="E19">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1&amp;R&amp;"Arial,Regular"&amp;8PI-SNSP-0103 (10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M12" sqref="M12"/>
    </sheetView>
  </sheetViews>
  <sheetFormatPr defaultColWidth="9.140625" defaultRowHeight="15"/>
  <cols>
    <col min="1" max="1" width="3.28125" style="4" customWidth="1"/>
    <col min="2" max="2" width="19.57421875" style="4" customWidth="1"/>
    <col min="3" max="3" width="13.28125" style="4" customWidth="1"/>
    <col min="4" max="5" width="10.7109375" style="4" customWidth="1"/>
    <col min="6" max="9" width="9.7109375" style="4" customWidth="1"/>
    <col min="10" max="10" width="9.140625" style="26" customWidth="1"/>
    <col min="11" max="16384" width="9.140625" style="4" customWidth="1"/>
  </cols>
  <sheetData>
    <row r="1" spans="1:10" s="12" customFormat="1" ht="15" customHeight="1">
      <c r="A1" s="402" t="str">
        <f>IF(ISBLANK('Cover Page'!A4),"School Name",'Cover Page'!A4)</f>
        <v>School Name</v>
      </c>
      <c r="B1" s="402"/>
      <c r="C1" s="402"/>
      <c r="D1" s="402"/>
      <c r="E1" s="402"/>
      <c r="F1" s="402"/>
      <c r="G1" s="402"/>
      <c r="H1" s="402"/>
      <c r="I1" s="402"/>
      <c r="J1" s="29"/>
    </row>
    <row r="2" spans="1:10" s="12" customFormat="1" ht="15" customHeight="1">
      <c r="A2" s="403" t="str">
        <f>'Schedule 2'!B2</f>
        <v>January 11, 2019 SNSP Enrollment Audit</v>
      </c>
      <c r="B2" s="403"/>
      <c r="C2" s="403"/>
      <c r="D2" s="403"/>
      <c r="E2" s="403"/>
      <c r="F2" s="403"/>
      <c r="G2" s="403"/>
      <c r="H2" s="403"/>
      <c r="I2" s="403"/>
      <c r="J2" s="29"/>
    </row>
    <row r="3" spans="1:10" s="12" customFormat="1" ht="15" customHeight="1" thickBot="1">
      <c r="A3" s="404" t="s">
        <v>138</v>
      </c>
      <c r="B3" s="404"/>
      <c r="C3" s="404"/>
      <c r="D3" s="404"/>
      <c r="E3" s="404"/>
      <c r="F3" s="404"/>
      <c r="G3" s="404"/>
      <c r="H3" s="404"/>
      <c r="I3" s="404"/>
      <c r="J3" s="29"/>
    </row>
    <row r="4" spans="1:9" ht="18.75" customHeight="1" thickTop="1">
      <c r="A4" s="13"/>
      <c r="B4" s="13"/>
      <c r="C4" s="401" t="s">
        <v>39</v>
      </c>
      <c r="D4" s="401"/>
      <c r="E4" s="401"/>
      <c r="F4" s="401"/>
      <c r="G4" s="401"/>
      <c r="H4" s="13"/>
      <c r="I4" s="13"/>
    </row>
    <row r="5" spans="1:9" ht="37.5" customHeight="1">
      <c r="A5" s="392" t="s">
        <v>374</v>
      </c>
      <c r="B5" s="392"/>
      <c r="C5" s="392"/>
      <c r="D5" s="392"/>
      <c r="E5" s="392"/>
      <c r="F5" s="392"/>
      <c r="G5" s="392"/>
      <c r="H5" s="392"/>
      <c r="I5" s="392"/>
    </row>
    <row r="6" spans="1:9" ht="25.5" customHeight="1">
      <c r="A6" s="75" t="s">
        <v>45</v>
      </c>
      <c r="B6" s="405" t="s">
        <v>46</v>
      </c>
      <c r="C6" s="406"/>
      <c r="D6" s="267" t="s">
        <v>43</v>
      </c>
      <c r="E6" s="267" t="s">
        <v>44</v>
      </c>
      <c r="F6" s="258" t="s">
        <v>2</v>
      </c>
      <c r="G6" s="396" t="s">
        <v>84</v>
      </c>
      <c r="H6" s="397"/>
      <c r="I6" s="397"/>
    </row>
    <row r="7" spans="1:9" ht="19.5" customHeight="1">
      <c r="A7" s="14">
        <v>1</v>
      </c>
      <c r="B7" s="382" t="s">
        <v>114</v>
      </c>
      <c r="C7" s="383"/>
      <c r="D7" s="232">
        <f>IF('Cover Page'!$A$4="",0,VLOOKUP('Cover Page'!$A$4,Counts!$A$1:$AB$77,Counts!S$90,FALSE))</f>
        <v>0</v>
      </c>
      <c r="E7" s="297"/>
      <c r="F7" s="233">
        <f aca="true" t="shared" si="0" ref="F7:F13">E7-D7</f>
        <v>0</v>
      </c>
      <c r="G7" s="370" t="str">
        <f aca="true" t="shared" si="1" ref="G7:G12">IF(E7&lt;E19,"ERROR","OK")</f>
        <v>OK</v>
      </c>
      <c r="H7" s="371"/>
      <c r="I7" s="371"/>
    </row>
    <row r="8" spans="1:9" ht="19.5" customHeight="1">
      <c r="A8" s="14">
        <v>2</v>
      </c>
      <c r="B8" s="260" t="s">
        <v>115</v>
      </c>
      <c r="C8" s="261"/>
      <c r="D8" s="232">
        <f>IF('Cover Page'!$A$4="",0,VLOOKUP('Cover Page'!$A$4,Counts!$A$1:$AB$77,Counts!T$90,FALSE))</f>
        <v>0</v>
      </c>
      <c r="E8" s="297"/>
      <c r="F8" s="233">
        <f t="shared" si="0"/>
        <v>0</v>
      </c>
      <c r="G8" s="370" t="str">
        <f t="shared" si="1"/>
        <v>OK</v>
      </c>
      <c r="H8" s="371"/>
      <c r="I8" s="371"/>
    </row>
    <row r="9" spans="1:9" ht="19.5" customHeight="1">
      <c r="A9" s="14">
        <v>3</v>
      </c>
      <c r="B9" s="384" t="s">
        <v>116</v>
      </c>
      <c r="C9" s="385"/>
      <c r="D9" s="232">
        <f>IF('Cover Page'!$A$4="",0,VLOOKUP('Cover Page'!$A$4,Counts!$A$1:$AB$77,Counts!U$90,FALSE))</f>
        <v>0</v>
      </c>
      <c r="E9" s="297"/>
      <c r="F9" s="233">
        <f t="shared" si="0"/>
        <v>0</v>
      </c>
      <c r="G9" s="370" t="str">
        <f t="shared" si="1"/>
        <v>OK</v>
      </c>
      <c r="H9" s="371"/>
      <c r="I9" s="371"/>
    </row>
    <row r="10" spans="1:9" ht="19.5" customHeight="1">
      <c r="A10" s="14">
        <v>4</v>
      </c>
      <c r="B10" s="384" t="s">
        <v>117</v>
      </c>
      <c r="C10" s="385"/>
      <c r="D10" s="232">
        <f>IF('Cover Page'!$A$4="",0,VLOOKUP('Cover Page'!$A$4,Counts!$A$1:$AB$77,Counts!V$90,FALSE))</f>
        <v>0</v>
      </c>
      <c r="E10" s="297"/>
      <c r="F10" s="233">
        <f t="shared" si="0"/>
        <v>0</v>
      </c>
      <c r="G10" s="370" t="str">
        <f t="shared" si="1"/>
        <v>OK</v>
      </c>
      <c r="H10" s="371"/>
      <c r="I10" s="371"/>
    </row>
    <row r="11" spans="1:9" ht="19.5" customHeight="1">
      <c r="A11" s="14">
        <v>5</v>
      </c>
      <c r="B11" s="384" t="s">
        <v>118</v>
      </c>
      <c r="C11" s="385"/>
      <c r="D11" s="232">
        <f>IF('Cover Page'!$A$4="",0,VLOOKUP('Cover Page'!$A$4,Counts!$A$1:$AB$77,Counts!W$90,FALSE))</f>
        <v>0</v>
      </c>
      <c r="E11" s="297"/>
      <c r="F11" s="233">
        <f t="shared" si="0"/>
        <v>0</v>
      </c>
      <c r="G11" s="370" t="str">
        <f t="shared" si="1"/>
        <v>OK</v>
      </c>
      <c r="H11" s="371"/>
      <c r="I11" s="371"/>
    </row>
    <row r="12" spans="1:9" ht="19.5" customHeight="1">
      <c r="A12" s="14">
        <v>6</v>
      </c>
      <c r="B12" s="384" t="s">
        <v>119</v>
      </c>
      <c r="C12" s="385"/>
      <c r="D12" s="232">
        <f>IF('Cover Page'!$A$4="",0,VLOOKUP('Cover Page'!$A$4,Counts!$A$1:$AB$77,Counts!X$90,FALSE))</f>
        <v>0</v>
      </c>
      <c r="E12" s="297"/>
      <c r="F12" s="233">
        <f t="shared" si="0"/>
        <v>0</v>
      </c>
      <c r="G12" s="370" t="str">
        <f t="shared" si="1"/>
        <v>OK</v>
      </c>
      <c r="H12" s="371"/>
      <c r="I12" s="371"/>
    </row>
    <row r="13" spans="1:9" ht="19.5" customHeight="1" thickBot="1">
      <c r="A13" s="15">
        <v>7</v>
      </c>
      <c r="B13" s="53" t="s">
        <v>127</v>
      </c>
      <c r="C13" s="54"/>
      <c r="D13" s="232">
        <f>IF('Cover Page'!$A$4="",0,VLOOKUP('Cover Page'!$A$4,Counts!$A$1:$AB$77,Counts!Y$90,FALSE))</f>
        <v>0</v>
      </c>
      <c r="E13" s="298"/>
      <c r="F13" s="233">
        <f t="shared" si="0"/>
        <v>0</v>
      </c>
      <c r="G13" s="388" t="str">
        <f>IF(E13&lt;(E26+E25),"ERROR","OK")</f>
        <v>OK</v>
      </c>
      <c r="H13" s="389"/>
      <c r="I13" s="389"/>
    </row>
    <row r="14" spans="1:9" ht="19.5" customHeight="1" thickBot="1">
      <c r="A14" s="16">
        <v>8</v>
      </c>
      <c r="B14" s="374" t="s">
        <v>0</v>
      </c>
      <c r="C14" s="375"/>
      <c r="D14" s="230">
        <f>SUM(D7:D13)</f>
        <v>0</v>
      </c>
      <c r="E14" s="234">
        <f>SUM(E7:E13)</f>
        <v>0</v>
      </c>
      <c r="F14" s="231">
        <f>SUM(F7:F13)</f>
        <v>0</v>
      </c>
      <c r="G14" s="372">
        <f>COUNTIF(G7:I13,"ERROR")</f>
        <v>0</v>
      </c>
      <c r="H14" s="373"/>
      <c r="I14" s="373"/>
    </row>
    <row r="15" spans="1:9" ht="18.75" customHeight="1" thickTop="1">
      <c r="A15" s="13"/>
      <c r="B15" s="13"/>
      <c r="C15" s="401" t="s">
        <v>70</v>
      </c>
      <c r="D15" s="401"/>
      <c r="E15" s="401"/>
      <c r="F15" s="401"/>
      <c r="G15" s="401"/>
      <c r="H15" s="13"/>
      <c r="I15" s="13"/>
    </row>
    <row r="16" spans="1:9" ht="39" customHeight="1">
      <c r="A16" s="395" t="s">
        <v>313</v>
      </c>
      <c r="B16" s="395"/>
      <c r="C16" s="395"/>
      <c r="D16" s="395"/>
      <c r="E16" s="395"/>
      <c r="F16" s="395"/>
      <c r="G16" s="395"/>
      <c r="H16" s="395"/>
      <c r="I16" s="395"/>
    </row>
    <row r="17" spans="1:9" ht="14.25" customHeight="1">
      <c r="A17" s="407" t="s">
        <v>45</v>
      </c>
      <c r="B17" s="378" t="s">
        <v>81</v>
      </c>
      <c r="C17" s="379"/>
      <c r="D17" s="386" t="s">
        <v>43</v>
      </c>
      <c r="E17" s="393" t="s">
        <v>44</v>
      </c>
      <c r="F17" s="390" t="s">
        <v>2</v>
      </c>
      <c r="G17" s="391"/>
      <c r="H17" s="391"/>
      <c r="I17" s="391"/>
    </row>
    <row r="18" spans="1:9" ht="27" customHeight="1">
      <c r="A18" s="408"/>
      <c r="B18" s="380"/>
      <c r="C18" s="381"/>
      <c r="D18" s="387"/>
      <c r="E18" s="394"/>
      <c r="F18" s="269" t="s">
        <v>111</v>
      </c>
      <c r="G18" s="269" t="s">
        <v>1</v>
      </c>
      <c r="H18" s="268" t="s">
        <v>165</v>
      </c>
      <c r="I18" s="268" t="s">
        <v>166</v>
      </c>
    </row>
    <row r="19" spans="1:9" ht="19.5" customHeight="1">
      <c r="A19" s="14">
        <v>9</v>
      </c>
      <c r="B19" s="382" t="s">
        <v>114</v>
      </c>
      <c r="C19" s="383"/>
      <c r="D19" s="232">
        <f>'Schedule 1-2'!D8+'Schedule 1-2'!D20</f>
        <v>0</v>
      </c>
      <c r="E19" s="235">
        <f>'Schedule 1-2'!E8+'Schedule 1-2'!E20</f>
        <v>0</v>
      </c>
      <c r="F19" s="223">
        <f>'Schedule 1-2'!F8+'Schedule 1-2'!F20</f>
        <v>0</v>
      </c>
      <c r="G19" s="223">
        <f>'Schedule 1-2'!G8+'Schedule 1-2'!G20</f>
        <v>0</v>
      </c>
      <c r="H19" s="236">
        <f>'Schedule 1-2'!H8+'Schedule 1-2'!H20</f>
        <v>0</v>
      </c>
      <c r="I19" s="236">
        <f>'Schedule 1-2'!J8+'Schedule 1-2'!J20</f>
        <v>0</v>
      </c>
    </row>
    <row r="20" spans="1:9" ht="19.5" customHeight="1">
      <c r="A20" s="14">
        <v>10</v>
      </c>
      <c r="B20" s="384" t="s">
        <v>115</v>
      </c>
      <c r="C20" s="385"/>
      <c r="D20" s="232">
        <f>'Schedule 1-2'!D9+'Schedule 1-2'!D21</f>
        <v>0</v>
      </c>
      <c r="E20" s="235">
        <f>'Schedule 1-2'!E9+'Schedule 1-2'!E21</f>
        <v>0</v>
      </c>
      <c r="F20" s="237">
        <f>'Schedule 1-2'!F9+'Schedule 1-2'!F21</f>
        <v>0</v>
      </c>
      <c r="G20" s="223">
        <f>'Schedule 1-2'!G9+'Schedule 1-2'!G21</f>
        <v>0</v>
      </c>
      <c r="H20" s="236">
        <f>'Schedule 1-2'!H9+'Schedule 1-2'!H21</f>
        <v>0</v>
      </c>
      <c r="I20" s="236">
        <f>'Schedule 1-2'!J9+'Schedule 1-2'!J21</f>
        <v>0</v>
      </c>
    </row>
    <row r="21" spans="1:9" ht="19.5" customHeight="1">
      <c r="A21" s="14">
        <v>11</v>
      </c>
      <c r="B21" s="384" t="s">
        <v>116</v>
      </c>
      <c r="C21" s="385"/>
      <c r="D21" s="232">
        <f>'Schedule 1-2'!D10+'Schedule 1-2'!D22</f>
        <v>0</v>
      </c>
      <c r="E21" s="235">
        <f>'Schedule 1-2'!E10+'Schedule 1-2'!E22</f>
        <v>0</v>
      </c>
      <c r="F21" s="224"/>
      <c r="G21" s="238">
        <f>'Schedule 1-2'!G10+'Schedule 1-2'!G22</f>
        <v>0</v>
      </c>
      <c r="H21" s="236">
        <f>'Schedule 1-2'!H10+'Schedule 1-2'!H22</f>
        <v>0</v>
      </c>
      <c r="I21" s="236">
        <f>'Schedule 1-2'!J10+'Schedule 1-2'!J22</f>
        <v>0</v>
      </c>
    </row>
    <row r="22" spans="1:9" ht="19.5" customHeight="1">
      <c r="A22" s="14">
        <v>12</v>
      </c>
      <c r="B22" s="384" t="s">
        <v>117</v>
      </c>
      <c r="C22" s="385"/>
      <c r="D22" s="232">
        <f>'Schedule 1-2'!D11+'Schedule 1-2'!D23</f>
        <v>0</v>
      </c>
      <c r="E22" s="235">
        <f>'Schedule 1-2'!E11+'Schedule 1-2'!E23</f>
        <v>0</v>
      </c>
      <c r="F22" s="225"/>
      <c r="G22" s="238">
        <f>'Schedule 1-2'!G11+'Schedule 1-2'!G23</f>
        <v>0</v>
      </c>
      <c r="H22" s="236">
        <f>'Schedule 1-2'!H11+'Schedule 1-2'!H23</f>
        <v>0</v>
      </c>
      <c r="I22" s="236">
        <f>'Schedule 1-2'!J11+'Schedule 1-2'!J23</f>
        <v>0</v>
      </c>
    </row>
    <row r="23" spans="1:9" ht="19.5" customHeight="1">
      <c r="A23" s="14">
        <v>13</v>
      </c>
      <c r="B23" s="384" t="s">
        <v>118</v>
      </c>
      <c r="C23" s="385"/>
      <c r="D23" s="232">
        <f>'Schedule 1-2'!D12+'Schedule 1-2'!D24</f>
        <v>0</v>
      </c>
      <c r="E23" s="235">
        <f>'Schedule 1-2'!E12+'Schedule 1-2'!E24</f>
        <v>0</v>
      </c>
      <c r="F23" s="225"/>
      <c r="G23" s="238">
        <f>'Schedule 1-2'!G12+'Schedule 1-2'!G24</f>
        <v>0</v>
      </c>
      <c r="H23" s="236">
        <f>'Schedule 1-2'!H12+'Schedule 1-2'!H24</f>
        <v>0</v>
      </c>
      <c r="I23" s="236">
        <f>'Schedule 1-2'!J12+'Schedule 1-2'!J24</f>
        <v>0</v>
      </c>
    </row>
    <row r="24" spans="1:9" ht="19.5" customHeight="1">
      <c r="A24" s="14">
        <v>14</v>
      </c>
      <c r="B24" s="384" t="s">
        <v>119</v>
      </c>
      <c r="C24" s="385"/>
      <c r="D24" s="232">
        <f>'Schedule 1-2'!D13+'Schedule 1-2'!D25</f>
        <v>0</v>
      </c>
      <c r="E24" s="235">
        <f>'Schedule 1-2'!E13+'Schedule 1-2'!E25</f>
        <v>0</v>
      </c>
      <c r="F24" s="225"/>
      <c r="G24" s="238">
        <f>'Schedule 1-2'!G13+'Schedule 1-2'!G25</f>
        <v>0</v>
      </c>
      <c r="H24" s="236">
        <f>'Schedule 1-2'!H13+'Schedule 1-2'!H25</f>
        <v>0</v>
      </c>
      <c r="I24" s="236">
        <f>'Schedule 1-2'!J13+'Schedule 1-2'!J25</f>
        <v>0</v>
      </c>
    </row>
    <row r="25" spans="1:9" ht="19.5" customHeight="1">
      <c r="A25" s="15">
        <v>15</v>
      </c>
      <c r="B25" s="53" t="s">
        <v>120</v>
      </c>
      <c r="C25" s="54"/>
      <c r="D25" s="232">
        <f>'Schedule 1-2'!D14+'Schedule 1-2'!D26</f>
        <v>0</v>
      </c>
      <c r="E25" s="235">
        <f>'Schedule 1-2'!E14+'Schedule 1-2'!E26</f>
        <v>0</v>
      </c>
      <c r="F25" s="225"/>
      <c r="G25" s="239">
        <f>'Schedule 1-2'!G14+'Schedule 1-2'!G26</f>
        <v>0</v>
      </c>
      <c r="H25" s="240">
        <f>'Schedule 1-2'!H14+'Schedule 1-2'!H26</f>
        <v>0</v>
      </c>
      <c r="I25" s="240">
        <f>'Schedule 1-2'!J14+'Schedule 1-2'!J26</f>
        <v>0</v>
      </c>
    </row>
    <row r="26" spans="1:9" ht="19.5" customHeight="1" thickBot="1">
      <c r="A26" s="15">
        <v>16</v>
      </c>
      <c r="B26" s="376" t="s">
        <v>121</v>
      </c>
      <c r="C26" s="377"/>
      <c r="D26" s="232">
        <f>'Schedule 1-2'!D15+'Schedule 1-2'!D27</f>
        <v>0</v>
      </c>
      <c r="E26" s="235">
        <f>'Schedule 1-2'!E15+'Schedule 1-2'!E27</f>
        <v>0</v>
      </c>
      <c r="F26" s="226"/>
      <c r="G26" s="239">
        <f>'Schedule 1-2'!G15+'Schedule 1-2'!G27</f>
        <v>0</v>
      </c>
      <c r="H26" s="240">
        <f>'Schedule 1-2'!H15+'Schedule 1-2'!H27</f>
        <v>0</v>
      </c>
      <c r="I26" s="240">
        <f>'Schedule 1-2'!J15+'Schedule 1-2'!J27</f>
        <v>0</v>
      </c>
    </row>
    <row r="27" spans="1:9" ht="19.5" customHeight="1" thickBot="1">
      <c r="A27" s="16">
        <v>17</v>
      </c>
      <c r="B27" s="374" t="s">
        <v>71</v>
      </c>
      <c r="C27" s="375"/>
      <c r="D27" s="230">
        <f>SUM(D19:D26)</f>
        <v>0</v>
      </c>
      <c r="E27" s="234">
        <f>SUM(E19:E26)</f>
        <v>0</v>
      </c>
      <c r="F27" s="229"/>
      <c r="G27" s="230">
        <f>SUM(G19:G26)</f>
        <v>0</v>
      </c>
      <c r="H27" s="231">
        <f>SUM(H19:H26)</f>
        <v>0</v>
      </c>
      <c r="I27" s="231">
        <f>SUM(I19:I26)</f>
        <v>0</v>
      </c>
    </row>
    <row r="28" spans="1:9" ht="15" customHeight="1" thickTop="1">
      <c r="A28" s="62"/>
      <c r="B28" s="62"/>
      <c r="C28" s="401" t="s">
        <v>82</v>
      </c>
      <c r="D28" s="401"/>
      <c r="E28" s="401"/>
      <c r="F28" s="401"/>
      <c r="G28" s="401"/>
      <c r="H28" s="62"/>
      <c r="I28" s="62"/>
    </row>
    <row r="29" spans="1:9" ht="28.5" customHeight="1" thickBot="1">
      <c r="A29" s="65">
        <v>18</v>
      </c>
      <c r="B29" s="398" t="s">
        <v>316</v>
      </c>
      <c r="C29" s="399"/>
      <c r="D29" s="399"/>
      <c r="E29" s="399"/>
      <c r="F29" s="399"/>
      <c r="G29" s="399"/>
      <c r="H29" s="400"/>
      <c r="I29" s="73"/>
    </row>
    <row r="30" ht="10.5" thickTop="1"/>
  </sheetData>
  <sheetProtection password="EC9D" sheet="1"/>
  <mergeCells count="38">
    <mergeCell ref="B29:H29"/>
    <mergeCell ref="C4:G4"/>
    <mergeCell ref="C15:G15"/>
    <mergeCell ref="C28:G28"/>
    <mergeCell ref="A1:I1"/>
    <mergeCell ref="A2:I2"/>
    <mergeCell ref="A3:I3"/>
    <mergeCell ref="B6:C6"/>
    <mergeCell ref="B7:C7"/>
    <mergeCell ref="A17:A18"/>
    <mergeCell ref="A5:I5"/>
    <mergeCell ref="B12:C12"/>
    <mergeCell ref="B24:C24"/>
    <mergeCell ref="B22:C22"/>
    <mergeCell ref="B23:C23"/>
    <mergeCell ref="E17:E18"/>
    <mergeCell ref="B21:C21"/>
    <mergeCell ref="A16:I16"/>
    <mergeCell ref="G6:I6"/>
    <mergeCell ref="G7:I7"/>
    <mergeCell ref="G8:I8"/>
    <mergeCell ref="G9:I9"/>
    <mergeCell ref="G11:I11"/>
    <mergeCell ref="B14:C14"/>
    <mergeCell ref="B9:C9"/>
    <mergeCell ref="D17:D18"/>
    <mergeCell ref="G12:I12"/>
    <mergeCell ref="G13:I13"/>
    <mergeCell ref="F17:I17"/>
    <mergeCell ref="B11:C11"/>
    <mergeCell ref="G10:I10"/>
    <mergeCell ref="G14:I14"/>
    <mergeCell ref="B27:C27"/>
    <mergeCell ref="B26:C26"/>
    <mergeCell ref="B17:C18"/>
    <mergeCell ref="B19:C19"/>
    <mergeCell ref="B20:C20"/>
    <mergeCell ref="B10:C10"/>
  </mergeCells>
  <conditionalFormatting sqref="G7:G13 I7:I13">
    <cfRule type="cellIs" priority="2" dxfId="5" operator="equal" stopIfTrue="1">
      <formula>"ERROR"</formula>
    </cfRule>
  </conditionalFormatting>
  <conditionalFormatting sqref="H7:H13">
    <cfRule type="cellIs" priority="1" dxfId="5"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2&amp;R&amp;"Arial,Regular"&amp;8PI-SNSP-0103 (10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workbookViewId="0" topLeftCell="A1">
      <selection activeCell="M12" sqref="M12"/>
    </sheetView>
  </sheetViews>
  <sheetFormatPr defaultColWidth="9.140625" defaultRowHeight="15"/>
  <cols>
    <col min="1" max="1" width="5.00390625" style="4" customWidth="1"/>
    <col min="2" max="2" width="19.57421875" style="4" customWidth="1"/>
    <col min="3" max="3" width="14.00390625" style="4" customWidth="1"/>
    <col min="4" max="5" width="10.8515625" style="4" customWidth="1"/>
    <col min="6" max="10" width="9.8515625" style="4" customWidth="1"/>
    <col min="11" max="16384" width="9.140625" style="4" customWidth="1"/>
  </cols>
  <sheetData>
    <row r="1" spans="1:10" s="12" customFormat="1" ht="15" customHeight="1">
      <c r="A1" s="402" t="str">
        <f>IF(ISBLANK('Cover Page'!A4),"School Name",'Cover Page'!A4)</f>
        <v>School Name</v>
      </c>
      <c r="B1" s="402"/>
      <c r="C1" s="402"/>
      <c r="D1" s="402"/>
      <c r="E1" s="402"/>
      <c r="F1" s="402"/>
      <c r="G1" s="402"/>
      <c r="H1" s="402"/>
      <c r="I1" s="402"/>
      <c r="J1" s="402"/>
    </row>
    <row r="2" spans="1:10" s="12" customFormat="1" ht="15" customHeight="1">
      <c r="A2" s="403" t="str">
        <f>'Schedule 2'!B2</f>
        <v>January 11, 2019 SNSP Enrollment Audit</v>
      </c>
      <c r="B2" s="403"/>
      <c r="C2" s="403"/>
      <c r="D2" s="403"/>
      <c r="E2" s="403"/>
      <c r="F2" s="403"/>
      <c r="G2" s="403"/>
      <c r="H2" s="403"/>
      <c r="I2" s="403"/>
      <c r="J2" s="403"/>
    </row>
    <row r="3" spans="1:10" s="12" customFormat="1" ht="15" customHeight="1">
      <c r="A3" s="409" t="s">
        <v>124</v>
      </c>
      <c r="B3" s="409"/>
      <c r="C3" s="409"/>
      <c r="D3" s="409"/>
      <c r="E3" s="409"/>
      <c r="F3" s="409"/>
      <c r="G3" s="409"/>
      <c r="H3" s="409"/>
      <c r="I3" s="409"/>
      <c r="J3" s="409"/>
    </row>
    <row r="4" spans="1:10" ht="39" customHeight="1" thickBot="1">
      <c r="A4" s="410" t="s">
        <v>375</v>
      </c>
      <c r="B4" s="410"/>
      <c r="C4" s="410"/>
      <c r="D4" s="410"/>
      <c r="E4" s="410"/>
      <c r="F4" s="410"/>
      <c r="G4" s="410"/>
      <c r="H4" s="410"/>
      <c r="I4" s="410"/>
      <c r="J4" s="410"/>
    </row>
    <row r="5" spans="1:10" ht="16.5" customHeight="1" thickTop="1">
      <c r="A5" s="13"/>
      <c r="B5" s="13"/>
      <c r="C5" s="401" t="s">
        <v>122</v>
      </c>
      <c r="D5" s="401"/>
      <c r="E5" s="401"/>
      <c r="F5" s="401"/>
      <c r="G5" s="401"/>
      <c r="H5" s="13"/>
      <c r="I5" s="13"/>
      <c r="J5" s="13"/>
    </row>
    <row r="6" spans="1:10" ht="14.25" customHeight="1">
      <c r="A6" s="411" t="s">
        <v>45</v>
      </c>
      <c r="B6" s="378" t="s">
        <v>81</v>
      </c>
      <c r="C6" s="379"/>
      <c r="D6" s="386" t="s">
        <v>43</v>
      </c>
      <c r="E6" s="393" t="s">
        <v>44</v>
      </c>
      <c r="F6" s="390" t="s">
        <v>2</v>
      </c>
      <c r="G6" s="391"/>
      <c r="H6" s="391"/>
      <c r="I6" s="391"/>
      <c r="J6" s="391"/>
    </row>
    <row r="7" spans="1:10" ht="36" customHeight="1">
      <c r="A7" s="412"/>
      <c r="B7" s="380"/>
      <c r="C7" s="381"/>
      <c r="D7" s="387"/>
      <c r="E7" s="394"/>
      <c r="F7" s="269" t="s">
        <v>111</v>
      </c>
      <c r="G7" s="269" t="s">
        <v>1</v>
      </c>
      <c r="H7" s="268" t="s">
        <v>165</v>
      </c>
      <c r="I7" s="268" t="s">
        <v>326</v>
      </c>
      <c r="J7" s="268" t="s">
        <v>166</v>
      </c>
    </row>
    <row r="8" spans="1:10" ht="16.5" customHeight="1">
      <c r="A8" s="14">
        <v>1</v>
      </c>
      <c r="B8" s="382" t="s">
        <v>114</v>
      </c>
      <c r="C8" s="383"/>
      <c r="D8" s="221">
        <f>IF('Cover Page'!$A$4="",0,VLOOKUP('Cover Page'!$A$4,Counts!$A$1:$AB$77,Counts!C$90,FALSE))</f>
        <v>0</v>
      </c>
      <c r="E8" s="222">
        <f>D8+SUM(F8:J8)</f>
        <v>0</v>
      </c>
      <c r="F8" s="223">
        <f>IF('Schedule 1-1'!$I$29="No",D9,IF('Schedule 1-1'!$I$29="Yes",-D8,0))</f>
        <v>0</v>
      </c>
      <c r="G8" s="223">
        <f>-1*IF('Schedule 1-1'!$I$29="No",_xlfn.COUNTIFS('Schedule 2'!$F$8:$F$17,"Full",'Schedule 2'!$B$8:$B$17,"K4"),0)</f>
        <v>0</v>
      </c>
      <c r="H8" s="223">
        <f>IF('Schedule 1-1'!$I$29="No",(-1*_xlfn.COUNTIFS('Schedule 3'!$F$9:$F$18,"Full",'Schedule 3'!$B$9:$B$18,"K4",'Schedule 3'!$N$9:$N$18,"Yes"))+_xlfn.COUNTIFS('Schedule 3'!$F$9:$F$18,"Full",'Schedule 3'!$G$9:$G$18,"K4",'Schedule 3'!$N$9:$N$18,"Yes"),0)</f>
        <v>0</v>
      </c>
      <c r="I8" s="223">
        <f>IF('Schedule 1-1'!$I$29="No",(-1*_xlfn.COUNTIFS('Schedule 3'!$F$9:$F$18,"Full",'Schedule 3'!$G$9:$G$18,"K4",'Schedule 3'!$O$9:$O$18,"Yes"))+_xlfn.COUNTIFS('Schedule 3'!$J$9:$J$18,"Full",'Schedule 3'!$G$9:$G$18,"K4",'Schedule 3'!$O$9:$O$18,"Yes"),0)</f>
        <v>0</v>
      </c>
      <c r="J8" s="236">
        <f>IF('Schedule 1-1'!$I$29="No",_xlfn.COUNTIFS('Schedule 4'!$F$7:$F$16,"Full",'Schedule 4'!$B$7:$B$16,"K4"),0)</f>
        <v>0</v>
      </c>
    </row>
    <row r="9" spans="1:10" ht="16.5" customHeight="1">
      <c r="A9" s="14">
        <v>2</v>
      </c>
      <c r="B9" s="384" t="s">
        <v>115</v>
      </c>
      <c r="C9" s="385"/>
      <c r="D9" s="221">
        <f>IF('Cover Page'!$A$4="",0,VLOOKUP('Cover Page'!$A$4,Counts!$A$1:$AB$77,Counts!D$90,FALSE))</f>
        <v>0</v>
      </c>
      <c r="E9" s="222">
        <f>D9+SUM(F9:J9)</f>
        <v>0</v>
      </c>
      <c r="F9" s="223">
        <f>IF('Schedule 1-1'!$I$29="Yes",D8,IF('Schedule 1-1'!$I$29="No",-D9,0))</f>
        <v>0</v>
      </c>
      <c r="G9" s="223">
        <f>-1*IF('Schedule 1-1'!$I$29="Yes",_xlfn.COUNTIFS('Schedule 2'!$F$8:$F$17,"Full",'Schedule 2'!$B$8:$B$17,"K4"),0)</f>
        <v>0</v>
      </c>
      <c r="H9" s="223">
        <f>IF('Schedule 1-1'!$I$29="Yes",(-1*_xlfn.COUNTIFS('Schedule 3'!$F$9:$F$18,"Full",'Schedule 3'!$B$9:$B$18,"K4",'Schedule 3'!$N$9:$N$18,"Yes"))+_xlfn.COUNTIFS('Schedule 3'!$F$9:$F$18,"Full",'Schedule 3'!$G$9:$G$18,"K4",'Schedule 3'!$N$9:$N$18,"Yes"),0)</f>
        <v>0</v>
      </c>
      <c r="I9" s="223">
        <f>IF('Schedule 1-1'!$I$29="Yes",(-1*_xlfn.COUNTIFS('Schedule 3'!$F$9:$F$18,"Full",'Schedule 3'!$G$9:$G$18,"K4",'Schedule 3'!$O$9:$O$18,"Yes"))+_xlfn.COUNTIFS('Schedule 3'!$J$9:$J$18,"Full",'Schedule 3'!$G$9:$G$18,"K4",'Schedule 3'!$O$9:$O$18,"Yes"),0)</f>
        <v>0</v>
      </c>
      <c r="J9" s="236">
        <f>IF('Schedule 1-1'!$I$29="Yes",_xlfn.COUNTIFS('Schedule 4'!$F$7:$F$16,"Full",'Schedule 4'!$B$7:$B$16,"K4"),0)</f>
        <v>0</v>
      </c>
    </row>
    <row r="10" spans="1:10" ht="16.5" customHeight="1">
      <c r="A10" s="14">
        <v>3</v>
      </c>
      <c r="B10" s="384" t="s">
        <v>116</v>
      </c>
      <c r="C10" s="385"/>
      <c r="D10" s="221">
        <f>IF('Cover Page'!$A$4="",0,VLOOKUP('Cover Page'!$A$4,Counts!$A$1:$AB$77,Counts!E$90,FALSE))</f>
        <v>0</v>
      </c>
      <c r="E10" s="222">
        <f aca="true" t="shared" si="0" ref="E10:E15">D10+SUM(G10:J10)</f>
        <v>0</v>
      </c>
      <c r="F10" s="224"/>
      <c r="G10" s="223">
        <f>-1*_xlfn.COUNTIFS('Schedule 2'!$F$8:$F$17,"Full",'Schedule 2'!$B$8:$B$17,"K5-0.5 FTE")</f>
        <v>0</v>
      </c>
      <c r="H10" s="223">
        <f>(-1*_xlfn.COUNTIFS('Schedule 3'!$F$9:$F$18,"Full",'Schedule 3'!$B$9:$B$18,"K5-0.5 FTE",'Schedule 3'!$N$9:$N$18,"Yes"))+_xlfn.COUNTIFS('Schedule 3'!$F$9:$F$18,"Full",'Schedule 3'!$G$9:$G$18,"K5-0.5 FTE",'Schedule 3'!$N$9:$N$18,"Yes")</f>
        <v>0</v>
      </c>
      <c r="I10" s="223">
        <f>(-1*_xlfn.COUNTIFS('Schedule 3'!$F$9:$F$18,"Full",'Schedule 3'!$G$9:$G$18,"K5-0.5 FTE",'Schedule 3'!$O$9:$O$18,"Yes"))+_xlfn.COUNTIFS('Schedule 3'!$J$9:$J$18,"Full",'Schedule 3'!$G$9:$G$18,"K5-0.5 FTE",'Schedule 3'!$O$9:$O$18,"Yes")</f>
        <v>0</v>
      </c>
      <c r="J10" s="236">
        <f>_xlfn.COUNTIFS('Schedule 4'!$F$7:$F$16,"Full",'Schedule 4'!$B$7:$B$16,"K5-0.5 FTE")</f>
        <v>0</v>
      </c>
    </row>
    <row r="11" spans="1:10" ht="16.5" customHeight="1">
      <c r="A11" s="14">
        <v>4</v>
      </c>
      <c r="B11" s="384" t="s">
        <v>117</v>
      </c>
      <c r="C11" s="385"/>
      <c r="D11" s="221">
        <f>IF('Cover Page'!$A$4="",0,VLOOKUP('Cover Page'!$A$4,Counts!$A$1:$AB$77,Counts!F$90,FALSE))</f>
        <v>0</v>
      </c>
      <c r="E11" s="222">
        <f t="shared" si="0"/>
        <v>0</v>
      </c>
      <c r="F11" s="225"/>
      <c r="G11" s="223">
        <f>-1*_xlfn.COUNTIFS('Schedule 2'!$F$8:$F$17,"Full",'Schedule 2'!$B$8:$B$17,"K5-0.6 FTE")</f>
        <v>0</v>
      </c>
      <c r="H11" s="223">
        <f>(-1*_xlfn.COUNTIFS('Schedule 3'!$F$9:$F$18,"Full",'Schedule 3'!$B$9:$B$18,"K5-0.6 FTE",'Schedule 3'!$N$9:$N$18,"Yes"))+_xlfn.COUNTIFS('Schedule 3'!$F$9:$F$18,"Full",'Schedule 3'!$G$9:$G$18,"K5-0.6 FTE",'Schedule 3'!$N$9:$N$18,"Yes")</f>
        <v>0</v>
      </c>
      <c r="I11" s="223">
        <f>(-1*_xlfn.COUNTIFS('Schedule 3'!$F$9:$F$18,"Full",'Schedule 3'!$G$9:$G$18,"K5-0.6 FTE",'Schedule 3'!$O$9:$O$18,"Yes"))+_xlfn.COUNTIFS('Schedule 3'!$J$9:$J$18,"Full",'Schedule 3'!$G$9:$G$18,"K5-0.6 FTE",'Schedule 3'!$O$9:$O$18,"Yes")</f>
        <v>0</v>
      </c>
      <c r="J11" s="236">
        <f>_xlfn.COUNTIFS('Schedule 4'!$F$7:$F$16,"Full",'Schedule 4'!$B$7:$B$16,"K5-0.6 FTE")</f>
        <v>0</v>
      </c>
    </row>
    <row r="12" spans="1:10" ht="16.5" customHeight="1">
      <c r="A12" s="14">
        <v>5</v>
      </c>
      <c r="B12" s="384" t="s">
        <v>118</v>
      </c>
      <c r="C12" s="385"/>
      <c r="D12" s="221">
        <f>IF('Cover Page'!$A$4="",0,VLOOKUP('Cover Page'!$A$4,Counts!$A$1:$AB$77,Counts!G$90,FALSE))</f>
        <v>0</v>
      </c>
      <c r="E12" s="222">
        <f t="shared" si="0"/>
        <v>0</v>
      </c>
      <c r="F12" s="225"/>
      <c r="G12" s="223">
        <f>-1*_xlfn.COUNTIFS('Schedule 2'!$F$8:$F$17,"Full",'Schedule 2'!$B$8:$B$17,"K5-0.8 FTE")</f>
        <v>0</v>
      </c>
      <c r="H12" s="223">
        <f>(-1*_xlfn.COUNTIFS('Schedule 3'!$F$9:$F$18,"Full",'Schedule 3'!$B$9:$B$18,"K5-0.8 FTE",'Schedule 3'!$N$9:$N$18,"Yes"))+_xlfn.COUNTIFS('Schedule 3'!$F$9:$F$18,"Full",'Schedule 3'!$G$9:$G$18,"K5-0.8 FTE",'Schedule 3'!$N$9:$N$18,"Yes")</f>
        <v>0</v>
      </c>
      <c r="I12" s="223">
        <f>(-1*_xlfn.COUNTIFS('Schedule 3'!$F$9:$F$18,"Full",'Schedule 3'!$G$9:$G$18,"K5-0.8 FTE",'Schedule 3'!$O$9:$O$18,"Yes"))+_xlfn.COUNTIFS('Schedule 3'!$J$9:$J$18,"Full",'Schedule 3'!$G$9:$G$18,"K5-0.8 FTE",'Schedule 3'!$O$9:$O$18,"Yes")</f>
        <v>0</v>
      </c>
      <c r="J12" s="236">
        <f>_xlfn.COUNTIFS('Schedule 4'!$F$7:$F$16,"Full",'Schedule 4'!$B$7:$B$16,"K5-0.8 FTE")</f>
        <v>0</v>
      </c>
    </row>
    <row r="13" spans="1:10" ht="16.5" customHeight="1">
      <c r="A13" s="14">
        <v>6</v>
      </c>
      <c r="B13" s="384" t="s">
        <v>119</v>
      </c>
      <c r="C13" s="385"/>
      <c r="D13" s="221">
        <f>IF('Cover Page'!$A$4="",0,VLOOKUP('Cover Page'!$A$4,Counts!$A$1:$AB$77,Counts!H$90,FALSE))</f>
        <v>0</v>
      </c>
      <c r="E13" s="222">
        <f t="shared" si="0"/>
        <v>0</v>
      </c>
      <c r="F13" s="225"/>
      <c r="G13" s="223">
        <f>-1*_xlfn.COUNTIFS('Schedule 2'!$F$8:$F$17,"Full",'Schedule 2'!$B$8:$B$17,"K5-1.0 FTE")</f>
        <v>0</v>
      </c>
      <c r="H13" s="223">
        <f>(-1*_xlfn.COUNTIFS('Schedule 3'!$F$9:$F$18,"Full",'Schedule 3'!$B$9:$B$18,"K5-1.0 FTE",'Schedule 3'!$N$9:$N$18,"Yes"))+_xlfn.COUNTIFS('Schedule 3'!$F$9:$F$18,"Full",'Schedule 3'!$G$9:$G$18,"K5-1.0 FTE",'Schedule 3'!$N$9:$N$18,"Yes")</f>
        <v>0</v>
      </c>
      <c r="I13" s="223">
        <f>(-1*_xlfn.COUNTIFS('Schedule 3'!$F$9:$F$18,"Full",'Schedule 3'!$G$9:$G$18,"K5-1.0 FTE",'Schedule 3'!$O$9:$O$18,"Yes"))+_xlfn.COUNTIFS('Schedule 3'!$J$9:$J$18,"Full",'Schedule 3'!$G$9:$G$18,"K5-1.0 FTE",'Schedule 3'!$O$9:$O$18,"Yes")</f>
        <v>0</v>
      </c>
      <c r="J13" s="236">
        <f>_xlfn.COUNTIFS('Schedule 4'!$F$7:$F$16,"Full",'Schedule 4'!$B$7:$B$16,"K5-1.0 FTE")</f>
        <v>0</v>
      </c>
    </row>
    <row r="14" spans="1:10" ht="16.5" customHeight="1">
      <c r="A14" s="15">
        <v>7</v>
      </c>
      <c r="B14" s="53" t="s">
        <v>120</v>
      </c>
      <c r="C14" s="54"/>
      <c r="D14" s="221">
        <f>IF('Cover Page'!$A$4="",0,VLOOKUP('Cover Page'!$A$4,Counts!$A$1:$AB$77,Counts!I$90,FALSE))</f>
        <v>0</v>
      </c>
      <c r="E14" s="222">
        <f t="shared" si="0"/>
        <v>0</v>
      </c>
      <c r="F14" s="225"/>
      <c r="G14" s="223">
        <f>-1*(COUNTIF('Schedule 2'!$F$8:$F$17,"Full")+SUM(G8:G13,G15))</f>
        <v>0</v>
      </c>
      <c r="H14" s="240">
        <f>(-1*_xlfn.COUNTIFS('Schedule 3'!$F$9:$F$18,"Full",'Schedule 3'!$N$9:$N$18,"Yes"))+_xlfn.COUNTIFS('Schedule 3'!$F$9:$F$18,"Full",'Schedule 3'!$N$9:$N$18,"Yes")-SUM(H8:H13,H15)</f>
        <v>0</v>
      </c>
      <c r="I14" s="240">
        <f>(-1*_xlfn.COUNTIFS('Schedule 3'!$F$9:$F$18,"Full",'Schedule 3'!$O$9:$O$18,"Yes"))+_xlfn.COUNTIFS('Schedule 3'!$J$9:$J$18,"Full",'Schedule 3'!$O$9:$O$18,"Yes")-SUM(I8:I13,I15)</f>
        <v>0</v>
      </c>
      <c r="J14" s="236">
        <f>COUNTIF('Schedule 4'!$F$7:$F$16,"Full")-SUM(J8:J13,J15)</f>
        <v>0</v>
      </c>
    </row>
    <row r="15" spans="1:10" ht="16.5" customHeight="1" thickBot="1">
      <c r="A15" s="15">
        <v>8</v>
      </c>
      <c r="B15" s="376" t="s">
        <v>121</v>
      </c>
      <c r="C15" s="377"/>
      <c r="D15" s="221">
        <f>IF('Cover Page'!$A$4="",0,VLOOKUP('Cover Page'!$A$4,Counts!$A$1:$AB$77,Counts!J$90,FALSE))</f>
        <v>0</v>
      </c>
      <c r="E15" s="222">
        <f t="shared" si="0"/>
        <v>0</v>
      </c>
      <c r="F15" s="226"/>
      <c r="G15" s="223">
        <f>-1*(_xlfn.COUNTIFS('Schedule 2'!$F$8:$F$17,"Full",'Schedule 2'!$B$8:$B$17,"9")+_xlfn.COUNTIFS('Schedule 2'!$F$8:$F$17,"Full",'Schedule 2'!$B$8:$B$17,"10")+_xlfn.COUNTIFS('Schedule 2'!$F$8:$F$17,"Full",'Schedule 2'!$B$8:$B$17,"11")+_xlfn.COUNTIFS('Schedule 2'!$F$8:$F$17,"Full",'Schedule 2'!$B$8:$B$17,"12"))</f>
        <v>0</v>
      </c>
      <c r="H15" s="240">
        <f>(-1*_xlfn.COUNTIFS('Schedule 3'!$F$9:$F$18,"Full",'Schedule 3'!$B$9:$B$18,"9",'Schedule 3'!$N$9:$N$18,"Yes"))+_xlfn.COUNTIFS('Schedule 3'!$F$9:$F$18,"Full",'Schedule 3'!$G$9:$G$18,"9",'Schedule 3'!$N$9:$N$18,"Yes")-_xlfn.COUNTIFS('Schedule 3'!$F$9:$F$18,"Full",'Schedule 3'!$B$9:$B$18,"10",'Schedule 3'!$N$9:$N$18,"Yes")+_xlfn.COUNTIFS('Schedule 3'!$F$9:$F$18,"Full",'Schedule 3'!$G$9:$G$18,"10",'Schedule 3'!$N$9:$N$18,"Yes")-_xlfn.COUNTIFS('Schedule 3'!$F$9:$F$18,"Full",'Schedule 3'!$B$9:$B$18,"11",'Schedule 3'!$N$9:$N$18,"Yes")+_xlfn.COUNTIFS('Schedule 3'!$F$9:$F$18,"Full",'Schedule 3'!$G$9:$G$18,"11",'Schedule 3'!$N$9:$N$18,"Yes")-_xlfn.COUNTIFS('Schedule 3'!$F$9:$F$18,"Full",'Schedule 3'!$B$9:$B$18,"12",'Schedule 3'!$N$9:$N$18,"Yes")+_xlfn.COUNTIFS('Schedule 3'!$F$9:$F$18,"Full",'Schedule 3'!$G$9:$G$18,"12",'Schedule 3'!$N$9:$N$18,"Yes")</f>
        <v>0</v>
      </c>
      <c r="I15" s="240">
        <f>(-1*_xlfn.COUNTIFS('Schedule 3'!$F$9:$F$18,"Full",'Schedule 3'!$G$9:$G$18,"9",'Schedule 3'!$O$9:$O$18,"Yes"))+_xlfn.COUNTIFS('Schedule 3'!$J$9:$J$18,"Full",'Schedule 3'!$G$9:$G$18,"9",'Schedule 3'!$O$9:$O$18,"Yes")-_xlfn.COUNTIFS('Schedule 3'!$F$9:$F$18,"Full",'Schedule 3'!$G$9:$G$18,"10",'Schedule 3'!$O$9:$O$18,"Yes")+_xlfn.COUNTIFS('Schedule 3'!$J$9:$J$18,"Full",'Schedule 3'!$G$9:$G$18,"10",'Schedule 3'!$O$9:$O$18,"Yes")-_xlfn.COUNTIFS('Schedule 3'!$F$9:$F$18,"Full",'Schedule 3'!$G$9:$G$18,"11",'Schedule 3'!$O$9:$O$18,"Yes")+_xlfn.COUNTIFS('Schedule 3'!$J$9:$J$18,"Full",'Schedule 3'!$G$9:$G$18,"11",'Schedule 3'!$O$9:$O$18,"Yes")-_xlfn.COUNTIFS('Schedule 3'!$F$9:$F$18,"Full",'Schedule 3'!$G$9:$G$18,"12",'Schedule 3'!$O$9:$O$18,"Yes")+_xlfn.COUNTIFS('Schedule 3'!$J$9:$J$18,"Full",'Schedule 3'!$G$9:$G$18,"12",'Schedule 3'!$O$9:$O$18,"Yes")</f>
        <v>0</v>
      </c>
      <c r="J15" s="240">
        <f>_xlfn.COUNTIFS('Schedule 4'!$F$7:$F$16,"Full",'Schedule 4'!$B$7:$B$16,"9")+_xlfn.COUNTIFS('Schedule 4'!$F$7:$F$16,"Full",'Schedule 4'!$B$7:$B$16,"10")+_xlfn.COUNTIFS('Schedule 4'!$F$7:$F$16,"Full",'Schedule 4'!$B$7:$B$16,"11")+_xlfn.COUNTIFS('Schedule 4'!$F$7:$F$16,"Full",'Schedule 4'!$B$7:$B$16,"12")</f>
        <v>0</v>
      </c>
    </row>
    <row r="16" spans="1:10" ht="16.5" customHeight="1" thickBot="1">
      <c r="A16" s="16">
        <v>9</v>
      </c>
      <c r="B16" s="374" t="s">
        <v>125</v>
      </c>
      <c r="C16" s="375"/>
      <c r="D16" s="227">
        <f>SUM(D8:D15)</f>
        <v>0</v>
      </c>
      <c r="E16" s="228">
        <f>SUM(E8:E15)</f>
        <v>0</v>
      </c>
      <c r="F16" s="229"/>
      <c r="G16" s="230">
        <f>SUM(G8:G15)</f>
        <v>0</v>
      </c>
      <c r="H16" s="231">
        <f>SUM(H8:H15)</f>
        <v>0</v>
      </c>
      <c r="I16" s="231">
        <f>SUM(I8:I15)</f>
        <v>0</v>
      </c>
      <c r="J16" s="231">
        <f>SUM(J8:J15)</f>
        <v>0</v>
      </c>
    </row>
    <row r="17" spans="1:10" ht="16.5" customHeight="1" thickTop="1">
      <c r="A17" s="13"/>
      <c r="B17" s="13"/>
      <c r="C17" s="401" t="s">
        <v>123</v>
      </c>
      <c r="D17" s="401"/>
      <c r="E17" s="401"/>
      <c r="F17" s="401"/>
      <c r="G17" s="401"/>
      <c r="H17" s="13"/>
      <c r="I17" s="13"/>
      <c r="J17" s="13"/>
    </row>
    <row r="18" spans="1:10" ht="14.25" customHeight="1">
      <c r="A18" s="411" t="s">
        <v>45</v>
      </c>
      <c r="B18" s="378" t="s">
        <v>81</v>
      </c>
      <c r="C18" s="379"/>
      <c r="D18" s="386" t="s">
        <v>43</v>
      </c>
      <c r="E18" s="393" t="s">
        <v>44</v>
      </c>
      <c r="F18" s="390" t="s">
        <v>2</v>
      </c>
      <c r="G18" s="391"/>
      <c r="H18" s="391"/>
      <c r="I18" s="391"/>
      <c r="J18" s="391"/>
    </row>
    <row r="19" spans="1:10" ht="36.75" customHeight="1">
      <c r="A19" s="412"/>
      <c r="B19" s="380"/>
      <c r="C19" s="381"/>
      <c r="D19" s="387"/>
      <c r="E19" s="394"/>
      <c r="F19" s="269" t="s">
        <v>111</v>
      </c>
      <c r="G19" s="269" t="s">
        <v>1</v>
      </c>
      <c r="H19" s="268" t="s">
        <v>165</v>
      </c>
      <c r="I19" s="268" t="s">
        <v>326</v>
      </c>
      <c r="J19" s="340" t="s">
        <v>166</v>
      </c>
    </row>
    <row r="20" spans="1:10" ht="16.5" customHeight="1">
      <c r="A20" s="14">
        <v>10</v>
      </c>
      <c r="B20" s="382" t="s">
        <v>114</v>
      </c>
      <c r="C20" s="383"/>
      <c r="D20" s="221">
        <f>IF('Cover Page'!$A$4="",0,VLOOKUP('Cover Page'!$A$4,Counts!$A$1:$AB$77,Counts!K$90,FALSE))</f>
        <v>0</v>
      </c>
      <c r="E20" s="222">
        <f>D20+SUM(F20:J20)</f>
        <v>0</v>
      </c>
      <c r="F20" s="223">
        <f>IF('Schedule 1-1'!$I$29="No",D21,IF('Schedule 1-1'!$I$29="Yes",-D20,0))</f>
        <v>0</v>
      </c>
      <c r="G20" s="223">
        <f>-1*IF('Schedule 1-1'!$I$29="No",_xlfn.COUNTIFS('Schedule 2'!$F$8:$F$17,"Partial",'Schedule 2'!$B$8:$B$17,"K4"),0)</f>
        <v>0</v>
      </c>
      <c r="H20" s="223">
        <f>IF('Schedule 1-1'!$I$29="No",(-1*_xlfn.COUNTIFS('Schedule 3'!$F$9:$F$18,"Partial",'Schedule 3'!$B$9:$B$18,"K4",'Schedule 3'!$N$9:$N$18,"Yes"))+_xlfn.COUNTIFS('Schedule 3'!$F$9:$F$18,"Partial",'Schedule 3'!$G$9:$G$18,"K4",'Schedule 3'!$N$9:$N$18,"Yes"),0)</f>
        <v>0</v>
      </c>
      <c r="I20" s="223">
        <f>IF('Schedule 1-1'!$I$29="No",(-1*_xlfn.COUNTIFS('Schedule 3'!$F$9:$F$18,"Partial",'Schedule 3'!$G$9:$G$18,"K4",'Schedule 3'!$O$9:$O$18,"Yes"))+_xlfn.COUNTIFS('Schedule 3'!$J$9:$J$18,"Partial",'Schedule 3'!$G$9:$G$18,"K4",'Schedule 3'!$O$9:$O$18,"Yes"),0)</f>
        <v>0</v>
      </c>
      <c r="J20" s="236">
        <f>IF('Schedule 1-1'!$I$29="No",_xlfn.COUNTIFS('Schedule 4'!$F$7:$F$16,"Partial",'Schedule 4'!$B$7:$B$16,"K4"),0)</f>
        <v>0</v>
      </c>
    </row>
    <row r="21" spans="1:10" ht="16.5" customHeight="1">
      <c r="A21" s="14">
        <v>11</v>
      </c>
      <c r="B21" s="384" t="s">
        <v>115</v>
      </c>
      <c r="C21" s="385"/>
      <c r="D21" s="221">
        <f>IF('Cover Page'!$A$4="",0,VLOOKUP('Cover Page'!$A$4,Counts!$A$1:$AB$77,Counts!L$90,FALSE))</f>
        <v>0</v>
      </c>
      <c r="E21" s="222">
        <f>D21+SUM(F21:J21)</f>
        <v>0</v>
      </c>
      <c r="F21" s="223">
        <f>IF('Schedule 1-1'!$I$29="Yes",D20,IF('Schedule 1-1'!$I$29="No",-D21,0))</f>
        <v>0</v>
      </c>
      <c r="G21" s="223">
        <f>-1*IF('Schedule 1-1'!$I$29="Yes",_xlfn.COUNTIFS('Schedule 2'!$F$8:$F$17,"Partial",'Schedule 2'!$B$8:$B$17,"K4"),0)</f>
        <v>0</v>
      </c>
      <c r="H21" s="223">
        <f>IF('Schedule 1-1'!$I$29="Yes",(-1*_xlfn.COUNTIFS('Schedule 3'!$F$9:$F$18,"Partial",'Schedule 3'!$B$9:$B$18,"K4",'Schedule 3'!$N$9:$N$18,"Yes"))+_xlfn.COUNTIFS('Schedule 3'!$F$9:$F$18,"Partial",'Schedule 3'!$G$9:$G$18,"K4",'Schedule 3'!$N$9:$N$18,"Yes"),0)</f>
        <v>0</v>
      </c>
      <c r="I21" s="223">
        <f>IF('Schedule 1-1'!$I$29="Yes",(-1*_xlfn.COUNTIFS('Schedule 3'!$F$9:$F$18,"Partial",'Schedule 3'!$G$9:$G$18,"K4",'Schedule 3'!$O$9:$O$18,"Yes"))+_xlfn.COUNTIFS('Schedule 3'!$J$9:$J$18,"Partial",'Schedule 3'!$G$9:$G$18,"K4",'Schedule 3'!$O$9:$O$18,"Yes"),0)</f>
        <v>0</v>
      </c>
      <c r="J21" s="236">
        <f>IF('Schedule 1-1'!$I$29="Yes",_xlfn.COUNTIFS('Schedule 4'!$F$7:$F$16,"Partial",'Schedule 4'!$B$7:$B$16,"K4"),0)</f>
        <v>0</v>
      </c>
    </row>
    <row r="22" spans="1:10" ht="16.5" customHeight="1">
      <c r="A22" s="14">
        <v>12</v>
      </c>
      <c r="B22" s="384" t="s">
        <v>116</v>
      </c>
      <c r="C22" s="385"/>
      <c r="D22" s="221">
        <f>IF('Cover Page'!$A$4="",0,VLOOKUP('Cover Page'!$A$4,Counts!$A$1:$AB$77,Counts!M$90,FALSE))</f>
        <v>0</v>
      </c>
      <c r="E22" s="222">
        <f aca="true" t="shared" si="1" ref="E22:E27">D22+SUM(G22:J22)</f>
        <v>0</v>
      </c>
      <c r="F22" s="224"/>
      <c r="G22" s="223">
        <f>-1*_xlfn.COUNTIFS('Schedule 2'!$F$8:$F$17,"Partial",'Schedule 2'!$B$8:$B$17,"K5-0.5 FTE")</f>
        <v>0</v>
      </c>
      <c r="H22" s="223">
        <f>(-1*_xlfn.COUNTIFS('Schedule 3'!$F$9:$F$18,"Partial",'Schedule 3'!$B$9:$B$18,"K5-0.5 FTE",'Schedule 3'!$N$9:$N$18,"Yes"))+_xlfn.COUNTIFS('Schedule 3'!$F$9:$F$18,"Partial",'Schedule 3'!$G$9:$G$18,"K5-0.5 FTE",'Schedule 3'!$N$9:$N$18,"Yes")</f>
        <v>0</v>
      </c>
      <c r="I22" s="223">
        <f>(-1*_xlfn.COUNTIFS('Schedule 3'!$F$9:$F$18,"Partial",'Schedule 3'!$G$9:$G$18,"K5-0.5 FTE",'Schedule 3'!$O$9:$O$18,"Yes"))+_xlfn.COUNTIFS('Schedule 3'!$J$9:$J$18,"Partial",'Schedule 3'!$G$9:$G$18,"K5-0.5 FTE",'Schedule 3'!$O$9:$O$18,"Yes")</f>
        <v>0</v>
      </c>
      <c r="J22" s="236">
        <f>_xlfn.COUNTIFS('Schedule 4'!$F$7:$F$16,"Partial",'Schedule 4'!$B$7:$B$16,"K5-0.5 FTE")</f>
        <v>0</v>
      </c>
    </row>
    <row r="23" spans="1:10" ht="16.5" customHeight="1">
      <c r="A23" s="14">
        <v>13</v>
      </c>
      <c r="B23" s="384" t="s">
        <v>117</v>
      </c>
      <c r="C23" s="385"/>
      <c r="D23" s="221">
        <f>IF('Cover Page'!$A$4="",0,VLOOKUP('Cover Page'!$A$4,Counts!$A$1:$AB$77,Counts!N$90,FALSE))</f>
        <v>0</v>
      </c>
      <c r="E23" s="222">
        <f t="shared" si="1"/>
        <v>0</v>
      </c>
      <c r="F23" s="225"/>
      <c r="G23" s="223">
        <f>-1*_xlfn.COUNTIFS('Schedule 2'!$F$8:$F$17,"Partial",'Schedule 2'!$B$8:$B$17,"K5-0.6 FTE")</f>
        <v>0</v>
      </c>
      <c r="H23" s="223">
        <f>(-1*_xlfn.COUNTIFS('Schedule 3'!$F$9:$F$18,"Partial",'Schedule 3'!$B$9:$B$18,"K5-0.6 FTE",'Schedule 3'!$N$9:$N$18,"Yes"))+_xlfn.COUNTIFS('Schedule 3'!$F$9:$F$18,"Partial",'Schedule 3'!$G$9:$G$18,"K5-0.6 FTE",'Schedule 3'!$N$9:$N$18,"Yes")</f>
        <v>0</v>
      </c>
      <c r="I23" s="223">
        <f>(-1*_xlfn.COUNTIFS('Schedule 3'!$F$9:$F$18,"Partial",'Schedule 3'!$G$9:$G$18,"K5-0.6 FTE",'Schedule 3'!$O$9:$O$18,"Yes"))+_xlfn.COUNTIFS('Schedule 3'!$J$9:$J$18,"Partial",'Schedule 3'!$G$9:$G$18,"K5-0.6 FTE",'Schedule 3'!$O$9:$O$18,"Yes")</f>
        <v>0</v>
      </c>
      <c r="J23" s="236">
        <f>_xlfn.COUNTIFS('Schedule 4'!$F$7:$F$16,"Partial",'Schedule 4'!$B$7:$B$16,"K5-0.6 FTE")</f>
        <v>0</v>
      </c>
    </row>
    <row r="24" spans="1:10" ht="16.5" customHeight="1">
      <c r="A24" s="14">
        <v>14</v>
      </c>
      <c r="B24" s="384" t="s">
        <v>118</v>
      </c>
      <c r="C24" s="385"/>
      <c r="D24" s="221">
        <f>IF('Cover Page'!$A$4="",0,VLOOKUP('Cover Page'!$A$4,Counts!$A$1:$AB$77,Counts!O$90,FALSE))</f>
        <v>0</v>
      </c>
      <c r="E24" s="222">
        <f t="shared" si="1"/>
        <v>0</v>
      </c>
      <c r="F24" s="225"/>
      <c r="G24" s="223">
        <f>-1*_xlfn.COUNTIFS('Schedule 2'!$F$8:$F$17,"Partial",'Schedule 2'!$B$8:$B$17,"K5-0.8 FTE")</f>
        <v>0</v>
      </c>
      <c r="H24" s="223">
        <f>(-1*_xlfn.COUNTIFS('Schedule 3'!$F$9:$F$18,"Partial",'Schedule 3'!$B$9:$B$18,"K5-0.8 FTE",'Schedule 3'!$N$9:$N$18,"Yes"))+_xlfn.COUNTIFS('Schedule 3'!$F$9:$F$18,"Partial",'Schedule 3'!$G$9:$G$18,"K5-0.8 FTE",'Schedule 3'!$N$9:$N$18,"Yes")</f>
        <v>0</v>
      </c>
      <c r="I24" s="223">
        <f>(-1*_xlfn.COUNTIFS('Schedule 3'!$F$9:$F$18,"Partial",'Schedule 3'!$G$9:$G$18,"K5-0.8 FTE",'Schedule 3'!$O$9:$O$18,"Yes"))+_xlfn.COUNTIFS('Schedule 3'!$J$9:$J$18,"Partial",'Schedule 3'!$G$9:$G$18,"K5-0.8 FTE",'Schedule 3'!$O$9:$O$18,"Yes")</f>
        <v>0</v>
      </c>
      <c r="J24" s="236">
        <f>_xlfn.COUNTIFS('Schedule 4'!$F$7:$F$16,"Partial",'Schedule 4'!$B$7:$B$16,"K5-0.8 FTE")</f>
        <v>0</v>
      </c>
    </row>
    <row r="25" spans="1:10" ht="16.5" customHeight="1">
      <c r="A25" s="14">
        <v>15</v>
      </c>
      <c r="B25" s="384" t="s">
        <v>119</v>
      </c>
      <c r="C25" s="385"/>
      <c r="D25" s="221">
        <f>IF('Cover Page'!$A$4="",0,VLOOKUP('Cover Page'!$A$4,Counts!$A$1:$AB$77,Counts!P$90,FALSE))</f>
        <v>0</v>
      </c>
      <c r="E25" s="222">
        <f t="shared" si="1"/>
        <v>0</v>
      </c>
      <c r="F25" s="225"/>
      <c r="G25" s="223">
        <f>-1*_xlfn.COUNTIFS('Schedule 2'!$F$8:$F$17,"Partial",'Schedule 2'!$B$8:$B$17,"K5-1.0 FTE")</f>
        <v>0</v>
      </c>
      <c r="H25" s="223">
        <f>(-1*_xlfn.COUNTIFS('Schedule 3'!$F$9:$F$18,"Partial",'Schedule 3'!$B$9:$B$18,"K5-1.0 FTE",'Schedule 3'!$N$9:$N$18,"Yes"))+_xlfn.COUNTIFS('Schedule 3'!$F$9:$F$18,"Partial",'Schedule 3'!$G$9:$G$18,"K5-1.0 FTE",'Schedule 3'!$N$9:$N$18,"Yes")</f>
        <v>0</v>
      </c>
      <c r="I25" s="223">
        <f>(-1*_xlfn.COUNTIFS('Schedule 3'!$F$9:$F$18,"Partial",'Schedule 3'!$G$9:$G$18,"K5-1.0 FTE",'Schedule 3'!$O$9:$O$18,"Yes"))+_xlfn.COUNTIFS('Schedule 3'!$J$9:$J$18,"Partial",'Schedule 3'!$G$9:$G$18,"K5-1.0 FTE",'Schedule 3'!$O$9:$O$18,"Yes")</f>
        <v>0</v>
      </c>
      <c r="J25" s="236">
        <f>_xlfn.COUNTIFS('Schedule 4'!$F$7:$F$16,"Partial",'Schedule 4'!$B$7:$B$16,"K5-1.0 FTE")</f>
        <v>0</v>
      </c>
    </row>
    <row r="26" spans="1:10" ht="16.5" customHeight="1">
      <c r="A26" s="15">
        <v>16</v>
      </c>
      <c r="B26" s="53" t="s">
        <v>120</v>
      </c>
      <c r="C26" s="54"/>
      <c r="D26" s="221">
        <f>IF('Cover Page'!$A$4="",0,VLOOKUP('Cover Page'!$A$4,Counts!$A$1:$AB$77,Counts!Q$90,FALSE))</f>
        <v>0</v>
      </c>
      <c r="E26" s="222">
        <f t="shared" si="1"/>
        <v>0</v>
      </c>
      <c r="F26" s="225"/>
      <c r="G26" s="223">
        <f>-1*(COUNTIF('Schedule 2'!$F$8:$F$17,"Partial")+SUM(G20:G25,G27))</f>
        <v>0</v>
      </c>
      <c r="H26" s="240">
        <f>(-1*_xlfn.COUNTIFS('Schedule 3'!$F$9:$F$18,"Partial",'Schedule 3'!$N$9:$N$18,"Yes"))+_xlfn.COUNTIFS('Schedule 3'!$F$9:$F$18,"Partial",'Schedule 3'!$N$9:$N$18,"Yes")-SUM(H20:H25,H27)</f>
        <v>0</v>
      </c>
      <c r="I26" s="240">
        <f>(-1*_xlfn.COUNTIFS('Schedule 3'!$F$9:$F$18,"Partial",'Schedule 3'!$O$9:$O$18,"Yes"))+_xlfn.COUNTIFS('Schedule 3'!$J$9:$J$18,"Partial",'Schedule 3'!$O$9:$O$18,"Yes")-SUM(I20:I25,I27)</f>
        <v>0</v>
      </c>
      <c r="J26" s="236">
        <f>COUNTIF('Schedule 4'!$F$7:$F$16,"Partial")-SUM(J20:J25,J27)</f>
        <v>0</v>
      </c>
    </row>
    <row r="27" spans="1:10" ht="16.5" customHeight="1" thickBot="1">
      <c r="A27" s="15">
        <v>17</v>
      </c>
      <c r="B27" s="376" t="s">
        <v>121</v>
      </c>
      <c r="C27" s="377"/>
      <c r="D27" s="221">
        <f>IF('Cover Page'!$A$4="",0,VLOOKUP('Cover Page'!$A$4,Counts!$A$1:$AB$77,Counts!R$90,FALSE))</f>
        <v>0</v>
      </c>
      <c r="E27" s="222">
        <f t="shared" si="1"/>
        <v>0</v>
      </c>
      <c r="F27" s="226"/>
      <c r="G27" s="223">
        <f>-1*(_xlfn.COUNTIFS('Schedule 2'!$F$8:$F$17,"Partial",'Schedule 2'!$B$8:$B$17,"9")+_xlfn.COUNTIFS('Schedule 2'!$F$8:$F$17,"Partial",'Schedule 2'!$B$8:$B$17,"10")+_xlfn.COUNTIFS('Schedule 2'!$F$8:$F$17,"Partial",'Schedule 2'!$B$8:$B$17,"11")+_xlfn.COUNTIFS('Schedule 2'!$F$8:$F$17,"Partial",'Schedule 2'!$B$8:$B$17,"12"))</f>
        <v>0</v>
      </c>
      <c r="H27" s="240">
        <f>(-1*_xlfn.COUNTIFS('Schedule 3'!$F$9:$F$18,"Partial",'Schedule 3'!$B$9:$B$18,"9",'Schedule 3'!$N$9:$N$18,"Yes"))+_xlfn.COUNTIFS('Schedule 3'!$F$9:$F$18,"Partial",'Schedule 3'!$G$9:$G$18,"9",'Schedule 3'!$N$9:$N$18,"Yes")-_xlfn.COUNTIFS('Schedule 3'!$F$9:$F$18,"Partial",'Schedule 3'!$B$9:$B$18,"10",'Schedule 3'!$N$9:$N$18,"Yes")+_xlfn.COUNTIFS('Schedule 3'!$F$9:$F$18,"Partial",'Schedule 3'!$G$9:$G$18,"10",'Schedule 3'!$N$9:$N$18,"Yes")-_xlfn.COUNTIFS('Schedule 3'!$F$9:$F$18,"Partial",'Schedule 3'!$B$9:$B$18,"11",'Schedule 3'!$N$9:$N$18,"Yes")+_xlfn.COUNTIFS('Schedule 3'!$F$9:$F$18,"Partial",'Schedule 3'!$G$9:$G$18,"11",'Schedule 3'!$N$9:$N$18,"Yes")-_xlfn.COUNTIFS('Schedule 3'!$F$9:$F$18,"Partial",'Schedule 3'!$B$9:$B$18,"12",'Schedule 3'!$N$9:$N$18,"Yes")+_xlfn.COUNTIFS('Schedule 3'!$F$9:$F$18,"Partial",'Schedule 3'!$G$9:$G$18,"12",'Schedule 3'!$N$9:$N$18,"Yes")</f>
        <v>0</v>
      </c>
      <c r="I27" s="240">
        <f>(-1*_xlfn.COUNTIFS('Schedule 3'!$F$9:$F$18,"Partial",'Schedule 3'!$G$9:$G$18,"9",'Schedule 3'!$O$9:$O$18,"Yes"))+_xlfn.COUNTIFS('Schedule 3'!$J$9:$J$18,"Partial",'Schedule 3'!$G$9:$G$18,"9",'Schedule 3'!$O$9:$O$18,"Yes")-_xlfn.COUNTIFS('Schedule 3'!$F$9:$F$18,"Partial",'Schedule 3'!$G$9:$G$18,"10",'Schedule 3'!$O$9:$O$18,"Yes")+_xlfn.COUNTIFS('Schedule 3'!$J$9:$J$18,"Partial",'Schedule 3'!$G$9:$G$18,"10",'Schedule 3'!$O$9:$O$18,"Yes")-_xlfn.COUNTIFS('Schedule 3'!$F$9:$F$18,"Partial",'Schedule 3'!$G$9:$G$18,"11",'Schedule 3'!$O$9:$O$18,"Yes")+_xlfn.COUNTIFS('Schedule 3'!$J$9:$J$18,"Partial",'Schedule 3'!$G$9:$G$18,"11",'Schedule 3'!$O$9:$O$18,"Yes")-_xlfn.COUNTIFS('Schedule 3'!$F$9:$F$18,"Partial",'Schedule 3'!$G$9:$G$18,"12",'Schedule 3'!$O$9:$O$18,"Yes")+_xlfn.COUNTIFS('Schedule 3'!$J$9:$J$18,"Partial",'Schedule 3'!$G$9:$G$18,"12",'Schedule 3'!$O$9:$O$18,"Yes")</f>
        <v>0</v>
      </c>
      <c r="J27" s="240">
        <f>_xlfn.COUNTIFS('Schedule 4'!$F$7:$F$16,"Partial",'Schedule 4'!$B$7:$B$16,"9")+_xlfn.COUNTIFS('Schedule 4'!$F$7:$F$16,"Partial",'Schedule 4'!$B$7:$B$16,"10")+_xlfn.COUNTIFS('Schedule 4'!$F$7:$F$16,"Partial",'Schedule 4'!$B$7:$B$16,"11")+_xlfn.COUNTIFS('Schedule 4'!$F$7:$F$16,"Partial",'Schedule 4'!$B$7:$B$16,"12")</f>
        <v>0</v>
      </c>
    </row>
    <row r="28" spans="1:10" ht="16.5" customHeight="1" thickBot="1">
      <c r="A28" s="16">
        <v>18</v>
      </c>
      <c r="B28" s="374" t="s">
        <v>126</v>
      </c>
      <c r="C28" s="375"/>
      <c r="D28" s="227">
        <f>SUM(D20:D27)</f>
        <v>0</v>
      </c>
      <c r="E28" s="227">
        <f>SUM(E20:E27)</f>
        <v>0</v>
      </c>
      <c r="F28" s="229"/>
      <c r="G28" s="230">
        <f>SUM(G20:G27)</f>
        <v>0</v>
      </c>
      <c r="H28" s="231">
        <f>SUM(H20:H27)</f>
        <v>0</v>
      </c>
      <c r="I28" s="231">
        <f>SUM(I20:I27)</f>
        <v>0</v>
      </c>
      <c r="J28" s="231">
        <f>SUM(J20:J27)</f>
        <v>0</v>
      </c>
    </row>
    <row r="29" ht="10.5" thickTop="1"/>
    <row r="30" spans="1:10" ht="35.25" customHeight="1">
      <c r="A30" s="413" t="s">
        <v>371</v>
      </c>
      <c r="B30" s="413"/>
      <c r="C30" s="413"/>
      <c r="D30" s="413"/>
      <c r="E30" s="413"/>
      <c r="F30" s="413"/>
      <c r="G30" s="413"/>
      <c r="H30" s="413"/>
      <c r="I30" s="413"/>
      <c r="J30" s="413"/>
    </row>
  </sheetData>
  <sheetProtection password="EC9D" sheet="1"/>
  <mergeCells count="33">
    <mergeCell ref="A30:J30"/>
    <mergeCell ref="B25:C25"/>
    <mergeCell ref="B27:C27"/>
    <mergeCell ref="B28:C28"/>
    <mergeCell ref="F18:J18"/>
    <mergeCell ref="B20:C20"/>
    <mergeCell ref="B21:C21"/>
    <mergeCell ref="B22:C22"/>
    <mergeCell ref="B23:C23"/>
    <mergeCell ref="B24:C24"/>
    <mergeCell ref="B15:C15"/>
    <mergeCell ref="B16:C16"/>
    <mergeCell ref="A18:A19"/>
    <mergeCell ref="B18:C19"/>
    <mergeCell ref="C17:G17"/>
    <mergeCell ref="D18:D19"/>
    <mergeCell ref="E18:E19"/>
    <mergeCell ref="B8:C8"/>
    <mergeCell ref="B9:C9"/>
    <mergeCell ref="B10:C10"/>
    <mergeCell ref="B11:C11"/>
    <mergeCell ref="B12:C12"/>
    <mergeCell ref="B13:C13"/>
    <mergeCell ref="A1:J1"/>
    <mergeCell ref="A2:J2"/>
    <mergeCell ref="A3:J3"/>
    <mergeCell ref="A4:J4"/>
    <mergeCell ref="A6:A7"/>
    <mergeCell ref="B6:C7"/>
    <mergeCell ref="D6:D7"/>
    <mergeCell ref="E6:E7"/>
    <mergeCell ref="F6:J6"/>
    <mergeCell ref="C5:G5"/>
  </mergeCells>
  <printOptions horizontalCentered="1"/>
  <pageMargins left="0.5" right="0.5" top="0.5" bottom="0.5" header="0.3" footer="0.3"/>
  <pageSetup fitToHeight="1" fitToWidth="1" horizontalDpi="600" verticalDpi="600" orientation="portrait" scale="87" r:id="rId1"/>
  <headerFooter>
    <oddHeader>&amp;L&amp;"Arial,Regular"&amp;8Page 3&amp;C &amp;R&amp;"Arial,Regular"&amp;8PI-SNSP-103 (10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79"/>
  <sheetViews>
    <sheetView showGridLines="0" zoomScalePageLayoutView="0" workbookViewId="0" topLeftCell="A1">
      <pane xSplit="9" ySplit="7" topLeftCell="J8" activePane="bottomRight" state="frozen"/>
      <selection pane="topLeft" activeCell="M12" sqref="M12"/>
      <selection pane="topRight" activeCell="M12" sqref="M12"/>
      <selection pane="bottomLeft" activeCell="M12" sqref="M12"/>
      <selection pane="bottomRight" activeCell="M12" sqref="M12"/>
    </sheetView>
  </sheetViews>
  <sheetFormatPr defaultColWidth="9.140625" defaultRowHeight="15"/>
  <cols>
    <col min="1" max="1" width="5.421875" style="145" customWidth="1"/>
    <col min="2" max="2" width="7.28125" style="4" customWidth="1"/>
    <col min="3" max="3" width="9.140625" style="4" customWidth="1"/>
    <col min="4" max="4" width="13.140625" style="4" bestFit="1" customWidth="1"/>
    <col min="5" max="5" width="17.7109375" style="4" customWidth="1"/>
    <col min="6" max="6" width="11.7109375" style="4" customWidth="1"/>
    <col min="7" max="7" width="42.00390625" style="4" customWidth="1"/>
    <col min="8" max="8" width="8.2812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402" t="str">
        <f>IF(ISBLANK('Cover Page'!A4),"School Name",'Cover Page'!A4)</f>
        <v>School Name</v>
      </c>
      <c r="C1" s="402"/>
      <c r="D1" s="402"/>
      <c r="E1" s="402"/>
      <c r="F1" s="402"/>
      <c r="G1" s="402"/>
      <c r="H1" s="402"/>
      <c r="I1" s="273"/>
    </row>
    <row r="2" spans="2:9" ht="14.25" customHeight="1">
      <c r="B2" s="424" t="s">
        <v>361</v>
      </c>
      <c r="C2" s="424"/>
      <c r="D2" s="424"/>
      <c r="E2" s="424"/>
      <c r="F2" s="424"/>
      <c r="G2" s="424"/>
      <c r="H2" s="424"/>
      <c r="I2" s="274"/>
    </row>
    <row r="3" spans="2:9" ht="14.25" customHeight="1">
      <c r="B3" s="424" t="s">
        <v>210</v>
      </c>
      <c r="C3" s="424"/>
      <c r="D3" s="424"/>
      <c r="E3" s="424"/>
      <c r="F3" s="424"/>
      <c r="G3" s="424"/>
      <c r="H3" s="424"/>
      <c r="I3" s="274"/>
    </row>
    <row r="4" spans="1:9" ht="53.25" customHeight="1" thickBot="1">
      <c r="A4" s="419" t="s">
        <v>363</v>
      </c>
      <c r="B4" s="419"/>
      <c r="C4" s="419"/>
      <c r="D4" s="419"/>
      <c r="E4" s="419"/>
      <c r="F4" s="419"/>
      <c r="G4" s="419"/>
      <c r="H4" s="419"/>
      <c r="I4" s="282"/>
    </row>
    <row r="5" spans="1:35" ht="18" customHeight="1" thickBot="1" thickTop="1">
      <c r="A5" s="417" t="s">
        <v>376</v>
      </c>
      <c r="B5" s="417"/>
      <c r="C5" s="417"/>
      <c r="D5" s="417"/>
      <c r="E5" s="417"/>
      <c r="F5" s="417"/>
      <c r="G5" s="418"/>
      <c r="H5" s="76"/>
      <c r="I5" s="299"/>
      <c r="J5" s="81" t="s">
        <v>40</v>
      </c>
      <c r="K5" s="82"/>
      <c r="L5" s="82"/>
      <c r="M5" s="83"/>
      <c r="N5" s="83"/>
      <c r="O5" s="83"/>
      <c r="P5" s="83"/>
      <c r="Q5" s="83"/>
      <c r="R5" s="83"/>
      <c r="S5" s="83"/>
      <c r="T5" s="83"/>
      <c r="U5" s="83"/>
      <c r="V5" s="83"/>
      <c r="W5" s="83"/>
      <c r="X5" s="83"/>
      <c r="Y5" s="83"/>
      <c r="Z5" s="83"/>
      <c r="AA5" s="83"/>
      <c r="AB5" s="83"/>
      <c r="AC5" s="83"/>
      <c r="AD5" s="83"/>
      <c r="AE5" s="83"/>
      <c r="AF5" s="83"/>
      <c r="AG5" s="83"/>
      <c r="AH5" s="83"/>
      <c r="AI5" s="83"/>
    </row>
    <row r="6" spans="1:35" ht="15" customHeight="1" thickTop="1">
      <c r="A6" s="416" t="s">
        <v>45</v>
      </c>
      <c r="B6" s="425" t="s">
        <v>171</v>
      </c>
      <c r="C6" s="432" t="s">
        <v>80</v>
      </c>
      <c r="D6" s="414" t="s">
        <v>169</v>
      </c>
      <c r="E6" s="414" t="s">
        <v>170</v>
      </c>
      <c r="F6" s="433" t="s">
        <v>112</v>
      </c>
      <c r="G6" s="426" t="s">
        <v>42</v>
      </c>
      <c r="H6" s="427"/>
      <c r="I6" s="69"/>
      <c r="J6" s="437" t="s">
        <v>57</v>
      </c>
      <c r="K6" s="438"/>
      <c r="L6" s="438"/>
      <c r="M6" s="438"/>
      <c r="N6" s="434" t="s">
        <v>56</v>
      </c>
      <c r="O6" s="435"/>
      <c r="P6" s="435"/>
      <c r="Q6" s="435"/>
      <c r="R6" s="435"/>
      <c r="S6" s="436"/>
      <c r="T6" s="435" t="s">
        <v>28</v>
      </c>
      <c r="U6" s="435"/>
      <c r="V6" s="435"/>
      <c r="W6" s="435"/>
      <c r="X6" s="435"/>
      <c r="Y6" s="435"/>
      <c r="Z6" s="435"/>
      <c r="AA6" s="436"/>
      <c r="AB6" s="434" t="s">
        <v>150</v>
      </c>
      <c r="AC6" s="435"/>
      <c r="AD6" s="435"/>
      <c r="AE6" s="434" t="s">
        <v>29</v>
      </c>
      <c r="AF6" s="435"/>
      <c r="AG6" s="435"/>
      <c r="AH6" s="435"/>
      <c r="AI6" s="435"/>
    </row>
    <row r="7" spans="1:36" s="12" customFormat="1" ht="15" customHeight="1">
      <c r="A7" s="408"/>
      <c r="B7" s="406"/>
      <c r="C7" s="394"/>
      <c r="D7" s="415"/>
      <c r="E7" s="415"/>
      <c r="F7" s="432"/>
      <c r="G7" s="428"/>
      <c r="H7" s="429"/>
      <c r="I7" s="210"/>
      <c r="J7" s="211" t="s">
        <v>5</v>
      </c>
      <c r="K7" s="175" t="s">
        <v>6</v>
      </c>
      <c r="L7" s="266" t="s">
        <v>7</v>
      </c>
      <c r="M7" s="280" t="s">
        <v>8</v>
      </c>
      <c r="N7" s="211" t="s">
        <v>9</v>
      </c>
      <c r="O7" s="266" t="s">
        <v>10</v>
      </c>
      <c r="P7" s="175" t="s">
        <v>11</v>
      </c>
      <c r="Q7" s="175" t="s">
        <v>12</v>
      </c>
      <c r="R7" s="266" t="s">
        <v>13</v>
      </c>
      <c r="S7" s="253" t="s">
        <v>14</v>
      </c>
      <c r="T7" s="266" t="s">
        <v>15</v>
      </c>
      <c r="U7" s="175" t="s">
        <v>16</v>
      </c>
      <c r="V7" s="175" t="s">
        <v>17</v>
      </c>
      <c r="W7" s="175" t="s">
        <v>18</v>
      </c>
      <c r="X7" s="175" t="s">
        <v>19</v>
      </c>
      <c r="Y7" s="175" t="s">
        <v>20</v>
      </c>
      <c r="Z7" s="175" t="s">
        <v>21</v>
      </c>
      <c r="AA7" s="253" t="s">
        <v>22</v>
      </c>
      <c r="AB7" s="254" t="s">
        <v>23</v>
      </c>
      <c r="AC7" s="266" t="s">
        <v>24</v>
      </c>
      <c r="AD7" s="280" t="s">
        <v>25</v>
      </c>
      <c r="AE7" s="255" t="s">
        <v>26</v>
      </c>
      <c r="AF7" s="175" t="s">
        <v>27</v>
      </c>
      <c r="AG7" s="175" t="s">
        <v>30</v>
      </c>
      <c r="AH7" s="266" t="s">
        <v>31</v>
      </c>
      <c r="AI7" s="280" t="s">
        <v>32</v>
      </c>
      <c r="AJ7" s="29"/>
    </row>
    <row r="8" spans="1:35" s="12" customFormat="1" ht="24.75" customHeight="1">
      <c r="A8" s="14">
        <v>1</v>
      </c>
      <c r="B8" s="17"/>
      <c r="C8" s="18"/>
      <c r="D8" s="19"/>
      <c r="E8" s="19"/>
      <c r="F8" s="18"/>
      <c r="G8" s="421">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422"/>
      <c r="I8" s="300"/>
      <c r="J8" s="31"/>
      <c r="K8" s="42"/>
      <c r="L8" s="42"/>
      <c r="M8" s="42"/>
      <c r="N8" s="31"/>
      <c r="O8" s="30"/>
      <c r="P8" s="30"/>
      <c r="Q8" s="30"/>
      <c r="R8" s="42"/>
      <c r="S8" s="79"/>
      <c r="T8" s="126"/>
      <c r="U8" s="30"/>
      <c r="V8" s="30"/>
      <c r="W8" s="30"/>
      <c r="X8" s="30"/>
      <c r="Y8" s="30"/>
      <c r="Z8" s="42"/>
      <c r="AA8" s="42"/>
      <c r="AB8" s="31"/>
      <c r="AC8" s="32"/>
      <c r="AD8" s="42"/>
      <c r="AE8" s="31"/>
      <c r="AF8" s="30"/>
      <c r="AG8" s="42"/>
      <c r="AH8" s="42"/>
      <c r="AI8" s="42"/>
    </row>
    <row r="9" spans="1:35" s="12" customFormat="1" ht="24.75" customHeight="1">
      <c r="A9" s="14">
        <v>2</v>
      </c>
      <c r="B9" s="17"/>
      <c r="C9" s="18"/>
      <c r="D9" s="19"/>
      <c r="E9" s="19"/>
      <c r="F9" s="18"/>
      <c r="G9" s="421">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422"/>
      <c r="I9" s="300"/>
      <c r="J9" s="31"/>
      <c r="K9" s="42"/>
      <c r="L9" s="42"/>
      <c r="M9" s="42"/>
      <c r="N9" s="31"/>
      <c r="O9" s="30"/>
      <c r="P9" s="30"/>
      <c r="Q9" s="30"/>
      <c r="R9" s="42"/>
      <c r="S9" s="79"/>
      <c r="T9" s="126"/>
      <c r="U9" s="30"/>
      <c r="V9" s="30"/>
      <c r="W9" s="30"/>
      <c r="X9" s="30"/>
      <c r="Y9" s="30"/>
      <c r="Z9" s="42"/>
      <c r="AA9" s="42"/>
      <c r="AB9" s="31"/>
      <c r="AC9" s="32"/>
      <c r="AD9" s="42"/>
      <c r="AE9" s="31"/>
      <c r="AF9" s="30"/>
      <c r="AG9" s="42"/>
      <c r="AH9" s="42"/>
      <c r="AI9" s="42"/>
    </row>
    <row r="10" spans="1:35" s="12" customFormat="1" ht="24.75" customHeight="1">
      <c r="A10" s="14">
        <v>3</v>
      </c>
      <c r="B10" s="17"/>
      <c r="C10" s="18"/>
      <c r="D10" s="19"/>
      <c r="E10" s="19"/>
      <c r="F10" s="18"/>
      <c r="G10" s="421">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422"/>
      <c r="I10" s="300"/>
      <c r="J10" s="31"/>
      <c r="K10" s="42"/>
      <c r="L10" s="42"/>
      <c r="M10" s="42"/>
      <c r="N10" s="31"/>
      <c r="O10" s="30"/>
      <c r="P10" s="30"/>
      <c r="Q10" s="30"/>
      <c r="R10" s="42"/>
      <c r="S10" s="79"/>
      <c r="T10" s="126"/>
      <c r="U10" s="30"/>
      <c r="V10" s="30"/>
      <c r="W10" s="30"/>
      <c r="X10" s="30"/>
      <c r="Y10" s="30"/>
      <c r="Z10" s="42"/>
      <c r="AA10" s="42"/>
      <c r="AB10" s="31"/>
      <c r="AC10" s="32"/>
      <c r="AD10" s="42"/>
      <c r="AE10" s="31"/>
      <c r="AF10" s="30"/>
      <c r="AG10" s="42"/>
      <c r="AH10" s="42"/>
      <c r="AI10" s="42"/>
    </row>
    <row r="11" spans="1:35" s="12" customFormat="1" ht="24.75" customHeight="1">
      <c r="A11" s="14">
        <v>4</v>
      </c>
      <c r="B11" s="17"/>
      <c r="C11" s="18"/>
      <c r="D11" s="19"/>
      <c r="E11" s="19"/>
      <c r="F11" s="18"/>
      <c r="G11" s="421">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422"/>
      <c r="I11" s="300"/>
      <c r="J11" s="31"/>
      <c r="K11" s="42"/>
      <c r="L11" s="42"/>
      <c r="M11" s="42"/>
      <c r="N11" s="31"/>
      <c r="O11" s="30"/>
      <c r="P11" s="30"/>
      <c r="Q11" s="30"/>
      <c r="R11" s="42"/>
      <c r="S11" s="79"/>
      <c r="T11" s="126"/>
      <c r="U11" s="30"/>
      <c r="V11" s="30"/>
      <c r="W11" s="30"/>
      <c r="X11" s="30"/>
      <c r="Y11" s="30"/>
      <c r="Z11" s="42"/>
      <c r="AA11" s="42"/>
      <c r="AB11" s="31"/>
      <c r="AC11" s="32"/>
      <c r="AD11" s="42"/>
      <c r="AE11" s="31"/>
      <c r="AF11" s="30"/>
      <c r="AG11" s="42"/>
      <c r="AH11" s="42"/>
      <c r="AI11" s="42"/>
    </row>
    <row r="12" spans="1:35" s="12" customFormat="1" ht="24.75" customHeight="1">
      <c r="A12" s="14">
        <v>5</v>
      </c>
      <c r="B12" s="17"/>
      <c r="C12" s="18"/>
      <c r="D12" s="19"/>
      <c r="E12" s="19"/>
      <c r="F12" s="18"/>
      <c r="G12" s="421">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422"/>
      <c r="I12" s="300"/>
      <c r="J12" s="31"/>
      <c r="K12" s="42"/>
      <c r="L12" s="42"/>
      <c r="M12" s="42"/>
      <c r="N12" s="31"/>
      <c r="O12" s="30"/>
      <c r="P12" s="30"/>
      <c r="Q12" s="30"/>
      <c r="R12" s="42"/>
      <c r="S12" s="79"/>
      <c r="T12" s="126"/>
      <c r="U12" s="30"/>
      <c r="V12" s="30"/>
      <c r="W12" s="30"/>
      <c r="X12" s="30"/>
      <c r="Y12" s="30"/>
      <c r="Z12" s="42"/>
      <c r="AA12" s="42"/>
      <c r="AB12" s="31"/>
      <c r="AC12" s="32"/>
      <c r="AD12" s="42"/>
      <c r="AE12" s="31"/>
      <c r="AF12" s="30"/>
      <c r="AG12" s="42"/>
      <c r="AH12" s="42"/>
      <c r="AI12" s="42"/>
    </row>
    <row r="13" spans="1:35" s="12" customFormat="1" ht="24.75" customHeight="1">
      <c r="A13" s="14">
        <v>6</v>
      </c>
      <c r="B13" s="17"/>
      <c r="C13" s="18"/>
      <c r="D13" s="19"/>
      <c r="E13" s="19"/>
      <c r="F13" s="18"/>
      <c r="G13" s="421">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422"/>
      <c r="I13" s="300"/>
      <c r="J13" s="31"/>
      <c r="K13" s="42"/>
      <c r="L13" s="42"/>
      <c r="M13" s="42"/>
      <c r="N13" s="31"/>
      <c r="O13" s="30"/>
      <c r="P13" s="30"/>
      <c r="Q13" s="30"/>
      <c r="R13" s="42"/>
      <c r="S13" s="79"/>
      <c r="T13" s="126"/>
      <c r="U13" s="30"/>
      <c r="V13" s="30"/>
      <c r="W13" s="30"/>
      <c r="X13" s="30"/>
      <c r="Y13" s="30"/>
      <c r="Z13" s="42"/>
      <c r="AA13" s="42"/>
      <c r="AB13" s="31"/>
      <c r="AC13" s="32"/>
      <c r="AD13" s="42"/>
      <c r="AE13" s="31"/>
      <c r="AF13" s="30"/>
      <c r="AG13" s="42"/>
      <c r="AH13" s="42"/>
      <c r="AI13" s="42"/>
    </row>
    <row r="14" spans="1:35" s="12" customFormat="1" ht="24.75" customHeight="1">
      <c r="A14" s="14">
        <v>7</v>
      </c>
      <c r="B14" s="17"/>
      <c r="C14" s="18"/>
      <c r="D14" s="19"/>
      <c r="E14" s="19"/>
      <c r="F14" s="18"/>
      <c r="G14" s="421">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422"/>
      <c r="I14" s="300"/>
      <c r="J14" s="31"/>
      <c r="K14" s="42"/>
      <c r="L14" s="42"/>
      <c r="M14" s="42"/>
      <c r="N14" s="31"/>
      <c r="O14" s="30"/>
      <c r="P14" s="30"/>
      <c r="Q14" s="30"/>
      <c r="R14" s="42"/>
      <c r="S14" s="79"/>
      <c r="T14" s="126"/>
      <c r="U14" s="30"/>
      <c r="V14" s="30"/>
      <c r="W14" s="30"/>
      <c r="X14" s="30"/>
      <c r="Y14" s="30"/>
      <c r="Z14" s="42"/>
      <c r="AA14" s="42"/>
      <c r="AB14" s="31"/>
      <c r="AC14" s="32"/>
      <c r="AD14" s="42"/>
      <c r="AE14" s="31"/>
      <c r="AF14" s="30"/>
      <c r="AG14" s="42"/>
      <c r="AH14" s="42"/>
      <c r="AI14" s="42"/>
    </row>
    <row r="15" spans="1:35" s="12" customFormat="1" ht="24.75" customHeight="1">
      <c r="A15" s="14">
        <v>8</v>
      </c>
      <c r="B15" s="17"/>
      <c r="C15" s="18"/>
      <c r="D15" s="19"/>
      <c r="E15" s="19"/>
      <c r="F15" s="18"/>
      <c r="G15" s="421">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422"/>
      <c r="I15" s="300"/>
      <c r="J15" s="31"/>
      <c r="K15" s="42"/>
      <c r="L15" s="42"/>
      <c r="M15" s="42"/>
      <c r="N15" s="31"/>
      <c r="O15" s="30"/>
      <c r="P15" s="30"/>
      <c r="Q15" s="30"/>
      <c r="R15" s="42"/>
      <c r="S15" s="79"/>
      <c r="T15" s="126"/>
      <c r="U15" s="30"/>
      <c r="V15" s="30"/>
      <c r="W15" s="30"/>
      <c r="X15" s="30"/>
      <c r="Y15" s="30"/>
      <c r="Z15" s="42"/>
      <c r="AA15" s="42"/>
      <c r="AB15" s="31"/>
      <c r="AC15" s="32"/>
      <c r="AD15" s="42"/>
      <c r="AE15" s="31"/>
      <c r="AF15" s="30"/>
      <c r="AG15" s="42"/>
      <c r="AH15" s="42"/>
      <c r="AI15" s="42"/>
    </row>
    <row r="16" spans="1:35" s="12" customFormat="1" ht="24.75" customHeight="1">
      <c r="A16" s="14">
        <v>9</v>
      </c>
      <c r="B16" s="17"/>
      <c r="C16" s="18"/>
      <c r="D16" s="19"/>
      <c r="E16" s="19"/>
      <c r="F16" s="18"/>
      <c r="G16" s="421">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422"/>
      <c r="I16" s="300"/>
      <c r="J16" s="31"/>
      <c r="K16" s="42"/>
      <c r="L16" s="42"/>
      <c r="M16" s="42"/>
      <c r="N16" s="31"/>
      <c r="O16" s="30"/>
      <c r="P16" s="30"/>
      <c r="Q16" s="30"/>
      <c r="R16" s="42"/>
      <c r="S16" s="79"/>
      <c r="T16" s="126"/>
      <c r="U16" s="30"/>
      <c r="V16" s="30"/>
      <c r="W16" s="30"/>
      <c r="X16" s="30"/>
      <c r="Y16" s="30"/>
      <c r="Z16" s="42"/>
      <c r="AA16" s="42"/>
      <c r="AB16" s="31"/>
      <c r="AC16" s="32"/>
      <c r="AD16" s="42"/>
      <c r="AE16" s="31"/>
      <c r="AF16" s="30"/>
      <c r="AG16" s="42"/>
      <c r="AH16" s="42"/>
      <c r="AI16" s="42"/>
    </row>
    <row r="17" spans="1:35" s="12" customFormat="1" ht="24.75" customHeight="1" thickBot="1">
      <c r="A17" s="63">
        <v>10</v>
      </c>
      <c r="B17" s="66"/>
      <c r="C17" s="67"/>
      <c r="D17" s="68"/>
      <c r="E17" s="68"/>
      <c r="F17" s="67"/>
      <c r="G17" s="430">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431"/>
      <c r="I17" s="301"/>
      <c r="J17" s="33"/>
      <c r="K17" s="35"/>
      <c r="L17" s="35"/>
      <c r="M17" s="35"/>
      <c r="N17" s="33"/>
      <c r="O17" s="34"/>
      <c r="P17" s="34"/>
      <c r="Q17" s="34"/>
      <c r="R17" s="35"/>
      <c r="S17" s="80"/>
      <c r="T17" s="127"/>
      <c r="U17" s="34"/>
      <c r="V17" s="34"/>
      <c r="W17" s="34"/>
      <c r="X17" s="34"/>
      <c r="Y17" s="34"/>
      <c r="Z17" s="35"/>
      <c r="AA17" s="35"/>
      <c r="AB17" s="33"/>
      <c r="AC17" s="36"/>
      <c r="AD17" s="35"/>
      <c r="AE17" s="33"/>
      <c r="AF17" s="34"/>
      <c r="AG17" s="35"/>
      <c r="AH17" s="35"/>
      <c r="AI17" s="35"/>
    </row>
    <row r="18" spans="1:9" s="180" customFormat="1" ht="24.75" customHeight="1" thickBot="1">
      <c r="A18" s="202" t="s">
        <v>207</v>
      </c>
      <c r="B18" s="159">
        <f>IF(ISBLANK('Cover Page'!$A$4),"",COUNTA(B8:B17))</f>
      </c>
      <c r="C18" s="159">
        <f>IF(ISBLANK('Cover Page'!$A$4),"",COUNTA(C8:C17))</f>
      </c>
      <c r="D18" s="159">
        <f>IF(ISBLANK('Cover Page'!$A$4),"",COUNTA(D8:D17))</f>
      </c>
      <c r="E18" s="159">
        <f>IF(ISBLANK('Cover Page'!$A$4),"",COUNTA(E8:E17))</f>
      </c>
      <c r="F18" s="159">
        <f>IF(ISBLANK('Cover Page'!$A$4),"",COUNTA(F8:F17))</f>
      </c>
      <c r="G18" s="203">
        <f>IF(ISBLANK('Cover Page'!A4),"",COUNTA(G8:G17)-COUNTIF(G8:G17,""))</f>
      </c>
      <c r="H18" s="209"/>
      <c r="I18" s="178"/>
    </row>
    <row r="19" spans="1:9" s="184" customFormat="1" ht="18" customHeight="1" thickTop="1">
      <c r="A19" s="145"/>
      <c r="B19" s="420" t="s">
        <v>179</v>
      </c>
      <c r="C19" s="420"/>
      <c r="D19" s="420"/>
      <c r="E19" s="420"/>
      <c r="F19" s="420"/>
      <c r="G19" s="420"/>
      <c r="H19" s="420"/>
      <c r="I19" s="302"/>
    </row>
    <row r="20" spans="1:8" s="184" customFormat="1" ht="18" customHeight="1">
      <c r="A20" s="145"/>
      <c r="B20" s="423" t="s">
        <v>41</v>
      </c>
      <c r="C20" s="423"/>
      <c r="D20" s="423"/>
      <c r="E20" s="423"/>
      <c r="F20" s="423"/>
      <c r="G20" s="423"/>
      <c r="H20" s="423"/>
    </row>
    <row r="66" ht="9.75" hidden="1">
      <c r="B66" s="3" t="s">
        <v>3</v>
      </c>
    </row>
    <row r="67" ht="9.75" hidden="1">
      <c r="B67" s="3" t="s">
        <v>4</v>
      </c>
    </row>
    <row r="68" ht="9.75" hidden="1">
      <c r="B68" s="4">
        <v>1</v>
      </c>
    </row>
    <row r="69" ht="9.75" hidden="1">
      <c r="B69" s="4">
        <v>2</v>
      </c>
    </row>
    <row r="70" ht="9.75" hidden="1">
      <c r="B70" s="4">
        <v>3</v>
      </c>
    </row>
    <row r="71" ht="9.75" hidden="1">
      <c r="B71" s="4">
        <v>4</v>
      </c>
    </row>
    <row r="72" ht="9.75" hidden="1">
      <c r="B72" s="4">
        <v>5</v>
      </c>
    </row>
    <row r="73" ht="9.75" hidden="1">
      <c r="B73" s="4">
        <v>6</v>
      </c>
    </row>
    <row r="74" ht="9.75" hidden="1">
      <c r="B74" s="4">
        <v>7</v>
      </c>
    </row>
    <row r="75" ht="9.75" hidden="1">
      <c r="B75" s="4">
        <v>8</v>
      </c>
    </row>
    <row r="76" ht="9.75" hidden="1">
      <c r="B76" s="4">
        <v>9</v>
      </c>
    </row>
    <row r="77" ht="9.75" hidden="1">
      <c r="B77" s="4">
        <v>10</v>
      </c>
    </row>
    <row r="78" ht="9.75" hidden="1">
      <c r="B78" s="4">
        <v>11</v>
      </c>
    </row>
    <row r="79" ht="9.75" hidden="1">
      <c r="B79" s="4">
        <v>12</v>
      </c>
    </row>
  </sheetData>
  <sheetProtection password="EC9D" sheet="1" formatRows="0"/>
  <mergeCells count="29">
    <mergeCell ref="AB6:AD6"/>
    <mergeCell ref="G11:H11"/>
    <mergeCell ref="N6:S6"/>
    <mergeCell ref="G10:H10"/>
    <mergeCell ref="J6:M6"/>
    <mergeCell ref="AE6:AI6"/>
    <mergeCell ref="T6:AA6"/>
    <mergeCell ref="G9:H9"/>
    <mergeCell ref="G17:H17"/>
    <mergeCell ref="C6:C7"/>
    <mergeCell ref="F6:F7"/>
    <mergeCell ref="G13:H13"/>
    <mergeCell ref="G16:H16"/>
    <mergeCell ref="G14:H14"/>
    <mergeCell ref="G15:H15"/>
    <mergeCell ref="B20:H20"/>
    <mergeCell ref="B1:H1"/>
    <mergeCell ref="B2:H2"/>
    <mergeCell ref="B3:H3"/>
    <mergeCell ref="B6:B7"/>
    <mergeCell ref="G6:H7"/>
    <mergeCell ref="G8:H8"/>
    <mergeCell ref="D6:D7"/>
    <mergeCell ref="E6:E7"/>
    <mergeCell ref="A6:A7"/>
    <mergeCell ref="A5:G5"/>
    <mergeCell ref="A4:H4"/>
    <mergeCell ref="B19:H19"/>
    <mergeCell ref="G12:H12"/>
  </mergeCells>
  <dataValidations count="4">
    <dataValidation type="list" allowBlank="1" showInputMessage="1" showErrorMessage="1" sqref="H5">
      <formula1>"Yes,No"</formula1>
    </dataValidation>
    <dataValidation type="list" allowBlank="1" showInputMessage="1" showErrorMessage="1" sqref="B8:B17">
      <formula1>"K4,K5-0.5 FTE,K5-0.6 FTE,K5-1.0 FTE,1,2,3,4,5,6,7,8,9,10,11,12"</formula1>
    </dataValidation>
    <dataValidation type="list" allowBlank="1" showInputMessage="1" showErrorMessage="1" sqref="F8:F17">
      <formula1>"Full,Partial"</formula1>
    </dataValidation>
    <dataValidation type="list" allowBlank="1" showDropDown="1" showInputMessage="1" showErrorMessage="1" prompt="Insert &quot;X&quot; if this Reason is applicable." error="Input X if the reason is applicable.  If not applicable, leave this cell blank." sqref="J8:AI17">
      <formula1>"X,x"</formula1>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4&amp;R&amp;"Arial,Regular"&amp;8PI-SNSP-0103 (10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workbookViewId="0" topLeftCell="A1">
      <selection activeCell="M12" sqref="M12"/>
    </sheetView>
  </sheetViews>
  <sheetFormatPr defaultColWidth="9.140625" defaultRowHeight="15"/>
  <cols>
    <col min="1" max="1" width="109.57421875" style="74" customWidth="1"/>
    <col min="2" max="16384" width="9.140625" style="5" customWidth="1"/>
  </cols>
  <sheetData>
    <row r="1" ht="39">
      <c r="A1" s="37" t="s">
        <v>144</v>
      </c>
    </row>
    <row r="2" ht="12.75">
      <c r="A2" s="38"/>
    </row>
    <row r="3" s="22" customFormat="1" ht="12.75">
      <c r="A3" s="39" t="s">
        <v>156</v>
      </c>
    </row>
    <row r="4" s="22" customFormat="1" ht="14.25" customHeight="1">
      <c r="A4" s="40" t="s">
        <v>55</v>
      </c>
    </row>
    <row r="5" s="22" customFormat="1" ht="14.25" customHeight="1">
      <c r="A5" s="40" t="s">
        <v>157</v>
      </c>
    </row>
    <row r="6" s="22" customFormat="1" ht="14.25" customHeight="1">
      <c r="A6" s="40" t="s">
        <v>158</v>
      </c>
    </row>
    <row r="7" s="22" customFormat="1" ht="14.25" customHeight="1">
      <c r="A7" s="40" t="s">
        <v>159</v>
      </c>
    </row>
    <row r="8" s="22" customFormat="1" ht="18" customHeight="1">
      <c r="A8" s="139" t="s">
        <v>113</v>
      </c>
    </row>
    <row r="9" s="22" customFormat="1" ht="14.25" customHeight="1">
      <c r="A9" s="40" t="s">
        <v>160</v>
      </c>
    </row>
    <row r="10" s="22" customFormat="1" ht="14.25" customHeight="1">
      <c r="A10" s="40" t="s">
        <v>161</v>
      </c>
    </row>
    <row r="11" s="22" customFormat="1" ht="14.25" customHeight="1">
      <c r="A11" s="40" t="s">
        <v>162</v>
      </c>
    </row>
    <row r="12" s="22" customFormat="1" ht="29.25" customHeight="1">
      <c r="A12" s="40" t="s">
        <v>163</v>
      </c>
    </row>
    <row r="13" s="22" customFormat="1" ht="29.25" customHeight="1">
      <c r="A13" s="40" t="s">
        <v>164</v>
      </c>
    </row>
    <row r="14" s="22" customFormat="1" ht="12.75" customHeight="1">
      <c r="A14" s="40" t="s">
        <v>328</v>
      </c>
    </row>
    <row r="15" s="22" customFormat="1" ht="18" customHeight="1">
      <c r="A15" s="139" t="s">
        <v>28</v>
      </c>
    </row>
    <row r="16" s="22" customFormat="1" ht="14.25" customHeight="1">
      <c r="A16" s="40" t="s">
        <v>329</v>
      </c>
    </row>
    <row r="17" s="22" customFormat="1" ht="14.25" customHeight="1">
      <c r="A17" s="40" t="s">
        <v>330</v>
      </c>
    </row>
    <row r="18" s="22" customFormat="1" ht="29.25" customHeight="1">
      <c r="A18" s="41" t="s">
        <v>331</v>
      </c>
    </row>
    <row r="19" s="22" customFormat="1" ht="40.5" customHeight="1">
      <c r="A19" s="40" t="s">
        <v>332</v>
      </c>
    </row>
    <row r="20" s="22" customFormat="1" ht="17.25" customHeight="1">
      <c r="A20" s="40" t="s">
        <v>333</v>
      </c>
    </row>
    <row r="21" s="22" customFormat="1" ht="29.25" customHeight="1">
      <c r="A21" s="40" t="s">
        <v>334</v>
      </c>
    </row>
    <row r="22" s="22" customFormat="1" ht="26.25">
      <c r="A22" s="40" t="s">
        <v>356</v>
      </c>
    </row>
    <row r="23" s="22" customFormat="1" ht="26.25">
      <c r="A23" s="60" t="s">
        <v>335</v>
      </c>
    </row>
    <row r="24" s="22" customFormat="1" ht="18" customHeight="1">
      <c r="A24" s="140" t="s">
        <v>149</v>
      </c>
    </row>
    <row r="25" s="22" customFormat="1" ht="14.25" customHeight="1">
      <c r="A25" s="60" t="s">
        <v>336</v>
      </c>
    </row>
    <row r="26" s="22" customFormat="1" ht="14.25" customHeight="1">
      <c r="A26" s="60" t="s">
        <v>337</v>
      </c>
    </row>
    <row r="27" s="22" customFormat="1" ht="14.25" customHeight="1">
      <c r="A27" s="60" t="s">
        <v>338</v>
      </c>
    </row>
    <row r="28" s="22" customFormat="1" ht="18" customHeight="1">
      <c r="A28" s="139" t="s">
        <v>29</v>
      </c>
    </row>
    <row r="29" s="22" customFormat="1" ht="14.25" customHeight="1">
      <c r="A29" s="60" t="s">
        <v>339</v>
      </c>
    </row>
    <row r="30" s="22" customFormat="1" ht="30" customHeight="1">
      <c r="A30" s="40" t="s">
        <v>340</v>
      </c>
    </row>
    <row r="31" s="22" customFormat="1" ht="14.25" customHeight="1">
      <c r="A31" s="40" t="s">
        <v>341</v>
      </c>
    </row>
    <row r="32" s="22" customFormat="1" ht="14.25" customHeight="1">
      <c r="A32" s="61" t="s">
        <v>342</v>
      </c>
    </row>
    <row r="33" s="22" customFormat="1" ht="14.25" customHeight="1">
      <c r="A33" s="61" t="s">
        <v>343</v>
      </c>
    </row>
  </sheetData>
  <sheetProtection password="EC9D" sheet="1"/>
  <printOptions gridLines="1" horizontalCentered="1"/>
  <pageMargins left="0.25" right="0.25" top="0.5" bottom="0.5" header="0.3" footer="0.3"/>
  <pageSetup fitToHeight="2" fitToWidth="1" horizontalDpi="600" verticalDpi="600" orientation="portrait" scale="93"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22"/>
  <sheetViews>
    <sheetView showGridLines="0" workbookViewId="0" topLeftCell="A1">
      <pane xSplit="5" ySplit="8" topLeftCell="F9" activePane="bottomRight" state="frozen"/>
      <selection pane="topLeft" activeCell="M12" sqref="M12"/>
      <selection pane="topRight" activeCell="M12" sqref="M12"/>
      <selection pane="bottomLeft" activeCell="M12" sqref="M12"/>
      <selection pane="bottomRight" activeCell="M12" sqref="M12"/>
    </sheetView>
  </sheetViews>
  <sheetFormatPr defaultColWidth="9.140625" defaultRowHeight="15"/>
  <cols>
    <col min="1" max="1" width="5.00390625" style="145" bestFit="1" customWidth="1"/>
    <col min="2" max="2" width="9.8515625" style="4" customWidth="1"/>
    <col min="3" max="3" width="8.421875" style="4" customWidth="1"/>
    <col min="4" max="5" width="13.140625" style="4" customWidth="1"/>
    <col min="6" max="6" width="11.140625" style="4" customWidth="1"/>
    <col min="7" max="7" width="10.140625" style="145" customWidth="1"/>
    <col min="8" max="9" width="13.140625" style="4" customWidth="1"/>
    <col min="10" max="10" width="11.140625" style="4" customWidth="1"/>
    <col min="11" max="11" width="15.140625" style="4" customWidth="1"/>
    <col min="12" max="12" width="24.57421875" style="4" customWidth="1"/>
    <col min="13" max="13" width="0.71875" style="26" customWidth="1"/>
    <col min="14" max="15" width="0" style="144" hidden="1" customWidth="1"/>
    <col min="16" max="16" width="0" style="145" hidden="1" customWidth="1"/>
    <col min="17" max="16384" width="9.140625" style="4" customWidth="1"/>
  </cols>
  <sheetData>
    <row r="1" spans="2:12" ht="13.5" customHeight="1">
      <c r="B1" s="450" t="str">
        <f>IF(ISBLANK('Cover Page'!A4),"School Name",'Cover Page'!A4)</f>
        <v>School Name</v>
      </c>
      <c r="C1" s="450"/>
      <c r="D1" s="450"/>
      <c r="E1" s="450"/>
      <c r="F1" s="450"/>
      <c r="G1" s="450"/>
      <c r="H1" s="450"/>
      <c r="I1" s="450"/>
      <c r="J1" s="450"/>
      <c r="K1" s="450"/>
      <c r="L1" s="450"/>
    </row>
    <row r="2" spans="2:12" ht="13.5" customHeight="1">
      <c r="B2" s="451" t="str">
        <f>'Schedule 2'!B2</f>
        <v>January 11, 2019 SNSP Enrollment Audit</v>
      </c>
      <c r="C2" s="451"/>
      <c r="D2" s="451"/>
      <c r="E2" s="451"/>
      <c r="F2" s="451"/>
      <c r="G2" s="451"/>
      <c r="H2" s="451"/>
      <c r="I2" s="451"/>
      <c r="J2" s="451"/>
      <c r="K2" s="451"/>
      <c r="L2" s="451"/>
    </row>
    <row r="3" spans="2:12" ht="13.5" customHeight="1">
      <c r="B3" s="451" t="s">
        <v>211</v>
      </c>
      <c r="C3" s="451"/>
      <c r="D3" s="451"/>
      <c r="E3" s="451"/>
      <c r="F3" s="451"/>
      <c r="G3" s="451"/>
      <c r="H3" s="451"/>
      <c r="I3" s="451"/>
      <c r="J3" s="451"/>
      <c r="K3" s="451"/>
      <c r="L3" s="451"/>
    </row>
    <row r="4" spans="1:16" s="12" customFormat="1" ht="81.75" customHeight="1" thickBot="1">
      <c r="A4" s="419" t="s">
        <v>372</v>
      </c>
      <c r="B4" s="419"/>
      <c r="C4" s="419"/>
      <c r="D4" s="419"/>
      <c r="E4" s="419"/>
      <c r="F4" s="419"/>
      <c r="G4" s="419"/>
      <c r="H4" s="419"/>
      <c r="I4" s="419"/>
      <c r="J4" s="419"/>
      <c r="K4" s="419"/>
      <c r="L4" s="419"/>
      <c r="M4" s="152"/>
      <c r="N4" s="162"/>
      <c r="O4" s="162"/>
      <c r="P4" s="154"/>
    </row>
    <row r="5" spans="1:13" ht="27" customHeight="1" thickTop="1">
      <c r="A5" s="452" t="s">
        <v>377</v>
      </c>
      <c r="B5" s="452"/>
      <c r="C5" s="452"/>
      <c r="D5" s="452"/>
      <c r="E5" s="452"/>
      <c r="F5" s="452"/>
      <c r="G5" s="452"/>
      <c r="H5" s="452"/>
      <c r="I5" s="452"/>
      <c r="J5" s="452"/>
      <c r="K5" s="452"/>
      <c r="L5" s="330"/>
      <c r="M5" s="152"/>
    </row>
    <row r="6" spans="1:12" ht="19.5" customHeight="1" thickBot="1">
      <c r="A6" s="453" t="s">
        <v>379</v>
      </c>
      <c r="B6" s="453"/>
      <c r="C6" s="453"/>
      <c r="D6" s="453"/>
      <c r="E6" s="453"/>
      <c r="F6" s="453"/>
      <c r="G6" s="453"/>
      <c r="H6" s="453"/>
      <c r="I6" s="453"/>
      <c r="J6" s="453"/>
      <c r="K6" s="453"/>
      <c r="L6" s="331"/>
    </row>
    <row r="7" spans="1:16" s="12" customFormat="1" ht="23.25" customHeight="1" thickTop="1">
      <c r="A7" s="154"/>
      <c r="B7" s="442" t="s">
        <v>172</v>
      </c>
      <c r="C7" s="443"/>
      <c r="D7" s="443"/>
      <c r="E7" s="443"/>
      <c r="F7" s="444"/>
      <c r="G7" s="445" t="s">
        <v>345</v>
      </c>
      <c r="H7" s="446"/>
      <c r="I7" s="446"/>
      <c r="J7" s="447"/>
      <c r="K7" s="448" t="s">
        <v>346</v>
      </c>
      <c r="L7" s="427"/>
      <c r="M7" s="29"/>
      <c r="N7" s="162"/>
      <c r="O7" s="162"/>
      <c r="P7" s="154"/>
    </row>
    <row r="8" spans="1:16" s="145" customFormat="1" ht="33.75" customHeight="1">
      <c r="A8" s="155" t="s">
        <v>45</v>
      </c>
      <c r="B8" s="336" t="s">
        <v>171</v>
      </c>
      <c r="C8" s="267" t="s">
        <v>80</v>
      </c>
      <c r="D8" s="146" t="s">
        <v>167</v>
      </c>
      <c r="E8" s="146" t="s">
        <v>168</v>
      </c>
      <c r="F8" s="156" t="s">
        <v>112</v>
      </c>
      <c r="G8" s="148" t="s">
        <v>173</v>
      </c>
      <c r="H8" s="269" t="s">
        <v>174</v>
      </c>
      <c r="I8" s="268" t="s">
        <v>175</v>
      </c>
      <c r="J8" s="337" t="s">
        <v>327</v>
      </c>
      <c r="K8" s="449"/>
      <c r="L8" s="429"/>
      <c r="M8" s="69"/>
      <c r="N8" s="163" t="s">
        <v>180</v>
      </c>
      <c r="O8" s="163" t="s">
        <v>325</v>
      </c>
      <c r="P8" s="333" t="s">
        <v>350</v>
      </c>
    </row>
    <row r="9" spans="1:16" s="12" customFormat="1" ht="30" customHeight="1">
      <c r="A9" s="281">
        <v>1</v>
      </c>
      <c r="B9" s="157"/>
      <c r="C9" s="19"/>
      <c r="D9" s="19"/>
      <c r="E9" s="19"/>
      <c r="F9" s="149"/>
      <c r="G9" s="160"/>
      <c r="H9" s="147"/>
      <c r="I9" s="147"/>
      <c r="J9" s="149"/>
      <c r="K9" s="440"/>
      <c r="L9" s="440"/>
      <c r="M9" s="303"/>
      <c r="N9" s="162" t="str">
        <f>IF(G9="","No",IF(G9=B9,"No","Yes"))</f>
        <v>No</v>
      </c>
      <c r="O9" s="162" t="str">
        <f>IF(J9="","No",IF(J9=F9,"No","Yes"))</f>
        <v>No</v>
      </c>
      <c r="P9" s="154" t="str">
        <f>IF(J9="","OK",IF(G9="","Error","OK"))</f>
        <v>OK</v>
      </c>
    </row>
    <row r="10" spans="1:16" s="12" customFormat="1" ht="30" customHeight="1">
      <c r="A10" s="281">
        <v>2</v>
      </c>
      <c r="B10" s="157"/>
      <c r="C10" s="19"/>
      <c r="D10" s="19"/>
      <c r="E10" s="19"/>
      <c r="F10" s="149"/>
      <c r="G10" s="160"/>
      <c r="H10" s="147"/>
      <c r="I10" s="147"/>
      <c r="J10" s="149"/>
      <c r="K10" s="439"/>
      <c r="L10" s="439"/>
      <c r="M10" s="303"/>
      <c r="N10" s="162" t="str">
        <f aca="true" t="shared" si="0" ref="N10:N18">IF(G10="","No",IF(G10=B10,"No","Yes"))</f>
        <v>No</v>
      </c>
      <c r="O10" s="162" t="str">
        <f aca="true" t="shared" si="1" ref="O10:O18">IF(J10="","No",IF(J10=F10,"No","Yes"))</f>
        <v>No</v>
      </c>
      <c r="P10" s="154" t="str">
        <f aca="true" t="shared" si="2" ref="P10:P18">IF(J10="","OK",IF(G10="","Error","OK"))</f>
        <v>OK</v>
      </c>
    </row>
    <row r="11" spans="1:16" s="12" customFormat="1" ht="30" customHeight="1">
      <c r="A11" s="281">
        <v>3</v>
      </c>
      <c r="B11" s="157"/>
      <c r="C11" s="19"/>
      <c r="D11" s="19"/>
      <c r="E11" s="19"/>
      <c r="F11" s="149"/>
      <c r="G11" s="160"/>
      <c r="H11" s="147"/>
      <c r="I11" s="147"/>
      <c r="J11" s="149"/>
      <c r="K11" s="439"/>
      <c r="L11" s="439"/>
      <c r="M11" s="303"/>
      <c r="N11" s="162" t="str">
        <f t="shared" si="0"/>
        <v>No</v>
      </c>
      <c r="O11" s="162" t="str">
        <f t="shared" si="1"/>
        <v>No</v>
      </c>
      <c r="P11" s="154" t="str">
        <f t="shared" si="2"/>
        <v>OK</v>
      </c>
    </row>
    <row r="12" spans="1:16" s="12" customFormat="1" ht="30" customHeight="1">
      <c r="A12" s="281">
        <v>4</v>
      </c>
      <c r="B12" s="157"/>
      <c r="C12" s="19"/>
      <c r="D12" s="19"/>
      <c r="E12" s="19"/>
      <c r="F12" s="149"/>
      <c r="G12" s="160"/>
      <c r="H12" s="147"/>
      <c r="I12" s="147"/>
      <c r="J12" s="149"/>
      <c r="K12" s="440"/>
      <c r="L12" s="440"/>
      <c r="M12" s="303"/>
      <c r="N12" s="162" t="str">
        <f t="shared" si="0"/>
        <v>No</v>
      </c>
      <c r="O12" s="162" t="str">
        <f t="shared" si="1"/>
        <v>No</v>
      </c>
      <c r="P12" s="154" t="str">
        <f t="shared" si="2"/>
        <v>OK</v>
      </c>
    </row>
    <row r="13" spans="1:16" s="12" customFormat="1" ht="30" customHeight="1">
      <c r="A13" s="281">
        <v>5</v>
      </c>
      <c r="B13" s="157"/>
      <c r="C13" s="19"/>
      <c r="D13" s="19"/>
      <c r="E13" s="19"/>
      <c r="F13" s="149"/>
      <c r="G13" s="160"/>
      <c r="H13" s="147"/>
      <c r="I13" s="147"/>
      <c r="J13" s="149"/>
      <c r="K13" s="440"/>
      <c r="L13" s="440"/>
      <c r="M13" s="303"/>
      <c r="N13" s="162" t="str">
        <f t="shared" si="0"/>
        <v>No</v>
      </c>
      <c r="O13" s="162" t="str">
        <f t="shared" si="1"/>
        <v>No</v>
      </c>
      <c r="P13" s="154" t="str">
        <f t="shared" si="2"/>
        <v>OK</v>
      </c>
    </row>
    <row r="14" spans="1:16" s="12" customFormat="1" ht="30" customHeight="1">
      <c r="A14" s="341">
        <v>6</v>
      </c>
      <c r="B14" s="157"/>
      <c r="C14" s="19"/>
      <c r="D14" s="19"/>
      <c r="E14" s="19"/>
      <c r="F14" s="149"/>
      <c r="G14" s="160"/>
      <c r="H14" s="147"/>
      <c r="I14" s="147"/>
      <c r="J14" s="149"/>
      <c r="K14" s="440"/>
      <c r="L14" s="440"/>
      <c r="M14" s="303"/>
      <c r="N14" s="162" t="str">
        <f t="shared" si="0"/>
        <v>No</v>
      </c>
      <c r="O14" s="162" t="str">
        <f t="shared" si="1"/>
        <v>No</v>
      </c>
      <c r="P14" s="154" t="str">
        <f t="shared" si="2"/>
        <v>OK</v>
      </c>
    </row>
    <row r="15" spans="1:16" s="12" customFormat="1" ht="30" customHeight="1">
      <c r="A15" s="341">
        <v>7</v>
      </c>
      <c r="B15" s="157"/>
      <c r="C15" s="19"/>
      <c r="D15" s="19"/>
      <c r="E15" s="19"/>
      <c r="F15" s="149"/>
      <c r="G15" s="160"/>
      <c r="H15" s="147"/>
      <c r="I15" s="147"/>
      <c r="J15" s="149"/>
      <c r="K15" s="440"/>
      <c r="L15" s="440"/>
      <c r="M15" s="303"/>
      <c r="N15" s="162" t="str">
        <f t="shared" si="0"/>
        <v>No</v>
      </c>
      <c r="O15" s="162" t="str">
        <f t="shared" si="1"/>
        <v>No</v>
      </c>
      <c r="P15" s="154" t="str">
        <f t="shared" si="2"/>
        <v>OK</v>
      </c>
    </row>
    <row r="16" spans="1:16" s="12" customFormat="1" ht="30" customHeight="1">
      <c r="A16" s="341">
        <v>8</v>
      </c>
      <c r="B16" s="157"/>
      <c r="C16" s="19"/>
      <c r="D16" s="19"/>
      <c r="E16" s="19"/>
      <c r="F16" s="149"/>
      <c r="G16" s="160"/>
      <c r="H16" s="147"/>
      <c r="I16" s="147"/>
      <c r="J16" s="149"/>
      <c r="K16" s="439"/>
      <c r="L16" s="439"/>
      <c r="M16" s="303"/>
      <c r="N16" s="162" t="str">
        <f t="shared" si="0"/>
        <v>No</v>
      </c>
      <c r="O16" s="162" t="str">
        <f t="shared" si="1"/>
        <v>No</v>
      </c>
      <c r="P16" s="154" t="str">
        <f t="shared" si="2"/>
        <v>OK</v>
      </c>
    </row>
    <row r="17" spans="1:16" s="12" customFormat="1" ht="30" customHeight="1">
      <c r="A17" s="341">
        <v>9</v>
      </c>
      <c r="B17" s="157"/>
      <c r="C17" s="19"/>
      <c r="D17" s="19"/>
      <c r="E17" s="19"/>
      <c r="F17" s="149"/>
      <c r="G17" s="160"/>
      <c r="H17" s="147"/>
      <c r="I17" s="147"/>
      <c r="J17" s="149"/>
      <c r="K17" s="440"/>
      <c r="L17" s="440"/>
      <c r="M17" s="303"/>
      <c r="N17" s="162" t="str">
        <f t="shared" si="0"/>
        <v>No</v>
      </c>
      <c r="O17" s="162" t="str">
        <f t="shared" si="1"/>
        <v>No</v>
      </c>
      <c r="P17" s="154" t="str">
        <f t="shared" si="2"/>
        <v>OK</v>
      </c>
    </row>
    <row r="18" spans="1:16" s="12" customFormat="1" ht="30" customHeight="1" thickBot="1">
      <c r="A18" s="181">
        <v>10</v>
      </c>
      <c r="B18" s="158"/>
      <c r="C18" s="68"/>
      <c r="D18" s="68"/>
      <c r="E18" s="68"/>
      <c r="F18" s="151"/>
      <c r="G18" s="161"/>
      <c r="H18" s="150"/>
      <c r="I18" s="150"/>
      <c r="J18" s="151"/>
      <c r="K18" s="440"/>
      <c r="L18" s="440"/>
      <c r="M18" s="303"/>
      <c r="N18" s="162" t="str">
        <f t="shared" si="0"/>
        <v>No</v>
      </c>
      <c r="O18" s="162" t="str">
        <f t="shared" si="1"/>
        <v>No</v>
      </c>
      <c r="P18" s="154" t="str">
        <f t="shared" si="2"/>
        <v>OK</v>
      </c>
    </row>
    <row r="19" spans="1:16" s="180" customFormat="1" ht="30.75" customHeight="1" thickBot="1">
      <c r="A19" s="202" t="s">
        <v>207</v>
      </c>
      <c r="B19" s="177">
        <f>IF(ISBLANK('Cover Page'!$A$4),"",COUNTA(B9:B18))</f>
      </c>
      <c r="C19" s="177">
        <f>IF(ISBLANK('Cover Page'!$A$4),"",COUNTA(C9:C18))</f>
      </c>
      <c r="D19" s="177">
        <f>IF(ISBLANK('Cover Page'!$A$4),"",COUNTA(D9:D18))</f>
      </c>
      <c r="E19" s="177">
        <f>IF(ISBLANK('Cover Page'!$A$4),"",COUNTA(E9:E18))</f>
      </c>
      <c r="F19" s="177">
        <f>IF(ISBLANK('Cover Page'!$A$4),"",COUNTA(F9:F18))</f>
      </c>
      <c r="G19" s="203"/>
      <c r="H19" s="204"/>
      <c r="I19" s="204"/>
      <c r="J19" s="204"/>
      <c r="K19" s="304"/>
      <c r="L19" s="304"/>
      <c r="M19" s="283"/>
      <c r="N19" s="179"/>
      <c r="O19" s="179"/>
      <c r="P19" s="334"/>
    </row>
    <row r="20" spans="2:13" ht="21" customHeight="1" thickTop="1">
      <c r="B20" s="441"/>
      <c r="C20" s="441"/>
      <c r="D20" s="441"/>
      <c r="E20" s="441"/>
      <c r="F20" s="441"/>
      <c r="G20" s="441"/>
      <c r="H20" s="441"/>
      <c r="I20" s="441"/>
      <c r="J20" s="441"/>
      <c r="K20" s="441"/>
      <c r="L20" s="441"/>
      <c r="M20" s="441"/>
    </row>
    <row r="21" spans="2:13" ht="18" customHeight="1">
      <c r="B21" s="420" t="s">
        <v>179</v>
      </c>
      <c r="C21" s="420"/>
      <c r="D21" s="420"/>
      <c r="E21" s="420"/>
      <c r="F21" s="420"/>
      <c r="G21" s="420"/>
      <c r="H21" s="420"/>
      <c r="I21" s="420"/>
      <c r="J21" s="420"/>
      <c r="K21" s="420"/>
      <c r="L21" s="420"/>
      <c r="M21" s="153"/>
    </row>
    <row r="22" spans="2:12" ht="18" customHeight="1">
      <c r="B22" s="423" t="s">
        <v>41</v>
      </c>
      <c r="C22" s="423"/>
      <c r="D22" s="423"/>
      <c r="E22" s="423"/>
      <c r="F22" s="423"/>
      <c r="G22" s="423"/>
      <c r="H22" s="423"/>
      <c r="I22" s="423"/>
      <c r="J22" s="423"/>
      <c r="K22" s="423"/>
      <c r="L22" s="423"/>
    </row>
  </sheetData>
  <sheetProtection password="EC9D" sheet="1" formatRows="0"/>
  <mergeCells count="22">
    <mergeCell ref="B1:L1"/>
    <mergeCell ref="B2:L2"/>
    <mergeCell ref="B3:L3"/>
    <mergeCell ref="A5:K5"/>
    <mergeCell ref="A6:K6"/>
    <mergeCell ref="A4:L4"/>
    <mergeCell ref="K9:L9"/>
    <mergeCell ref="K10:L10"/>
    <mergeCell ref="K11:L11"/>
    <mergeCell ref="K12:L12"/>
    <mergeCell ref="K13:L13"/>
    <mergeCell ref="K14:L14"/>
    <mergeCell ref="K15:L15"/>
    <mergeCell ref="B7:F7"/>
    <mergeCell ref="G7:J7"/>
    <mergeCell ref="K7:L8"/>
    <mergeCell ref="B22:L22"/>
    <mergeCell ref="K16:L16"/>
    <mergeCell ref="K17:L17"/>
    <mergeCell ref="K18:L18"/>
    <mergeCell ref="B20:M20"/>
    <mergeCell ref="B21:L21"/>
  </mergeCells>
  <dataValidations count="4">
    <dataValidation type="list" allowBlank="1" showInputMessage="1" showErrorMessage="1" sqref="L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L5">
      <formula1>0</formula1>
      <formula2>1000</formula2>
    </dataValidation>
    <dataValidation type="list" allowBlank="1" showInputMessage="1" showErrorMessage="1" sqref="J9:J18 F9:F18">
      <formula1>"Full,Partial"</formula1>
    </dataValidation>
    <dataValidation type="list" allowBlank="1" showInputMessage="1" showErrorMessage="1" sqref="G9:G18 B9:B18">
      <formula1>"K4,K5-0.5 FTE,K5-0.6 FTE,K5-1.0 FTE,1,2,3,4,5,6,7,8,9,10,11,12"</formula1>
    </dataValidation>
  </dataValidations>
  <printOptions horizontalCentered="1"/>
  <pageMargins left="0.5" right="0.5" top="0.5" bottom="0.5" header="0.3" footer="0.3"/>
  <pageSetup fitToHeight="100" fitToWidth="1" horizontalDpi="600" verticalDpi="600" orientation="landscape" scale="85" r:id="rId1"/>
  <headerFooter>
    <oddHeader>&amp;L&amp;"Arial,Regular"&amp;8Page 5&amp;R&amp;"Arial,Regular"&amp;8PI-SNSP-0103 (10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H19"/>
  <sheetViews>
    <sheetView showGridLines="0" workbookViewId="0" topLeftCell="A1">
      <pane ySplit="6" topLeftCell="A7" activePane="bottomLeft" state="frozen"/>
      <selection pane="topLeft" activeCell="M12" sqref="M12"/>
      <selection pane="bottomLeft" activeCell="M12" sqref="M12"/>
    </sheetView>
  </sheetViews>
  <sheetFormatPr defaultColWidth="9.140625" defaultRowHeight="15"/>
  <cols>
    <col min="1" max="1" width="5.28125" style="145" customWidth="1"/>
    <col min="2" max="2" width="11.00390625" style="4" bestFit="1" customWidth="1"/>
    <col min="3" max="3" width="8.421875" style="4" customWidth="1"/>
    <col min="4" max="5" width="18.7109375" style="4" customWidth="1"/>
    <col min="6" max="6" width="11.28125" style="4" customWidth="1"/>
    <col min="7" max="7" width="26.140625" style="4" customWidth="1"/>
    <col min="8" max="8" width="30.421875" style="4" customWidth="1"/>
    <col min="9" max="16384" width="9.140625" style="4" customWidth="1"/>
  </cols>
  <sheetData>
    <row r="1" spans="2:8" ht="13.5" customHeight="1">
      <c r="B1" s="450" t="str">
        <f>IF(ISBLANK('Cover Page'!A4),"School Name",'Cover Page'!A4)</f>
        <v>School Name</v>
      </c>
      <c r="C1" s="450"/>
      <c r="D1" s="450"/>
      <c r="E1" s="450"/>
      <c r="F1" s="450"/>
      <c r="G1" s="450"/>
      <c r="H1" s="450"/>
    </row>
    <row r="2" spans="2:8" ht="13.5" customHeight="1">
      <c r="B2" s="451" t="str">
        <f>'Schedule 2'!B2</f>
        <v>January 11, 2019 SNSP Enrollment Audit</v>
      </c>
      <c r="C2" s="451"/>
      <c r="D2" s="451"/>
      <c r="E2" s="451"/>
      <c r="F2" s="451"/>
      <c r="G2" s="451"/>
      <c r="H2" s="451"/>
    </row>
    <row r="3" spans="2:8" ht="13.5" customHeight="1">
      <c r="B3" s="451" t="s">
        <v>344</v>
      </c>
      <c r="C3" s="451"/>
      <c r="D3" s="451"/>
      <c r="E3" s="451"/>
      <c r="F3" s="451"/>
      <c r="G3" s="451"/>
      <c r="H3" s="451"/>
    </row>
    <row r="4" spans="1:8" ht="85.5" customHeight="1" thickBot="1">
      <c r="A4" s="419" t="s">
        <v>362</v>
      </c>
      <c r="B4" s="419"/>
      <c r="C4" s="419"/>
      <c r="D4" s="419"/>
      <c r="E4" s="419"/>
      <c r="F4" s="419"/>
      <c r="G4" s="419"/>
      <c r="H4" s="419"/>
    </row>
    <row r="5" spans="1:8" ht="19.5" customHeight="1" thickBot="1" thickTop="1">
      <c r="A5" s="458" t="s">
        <v>378</v>
      </c>
      <c r="B5" s="458"/>
      <c r="C5" s="458"/>
      <c r="D5" s="458"/>
      <c r="E5" s="458"/>
      <c r="F5" s="458"/>
      <c r="G5" s="458"/>
      <c r="H5" s="332"/>
    </row>
    <row r="6" spans="1:8" s="145" customFormat="1" ht="49.5" customHeight="1" thickTop="1">
      <c r="A6" s="270" t="s">
        <v>45</v>
      </c>
      <c r="B6" s="141" t="s">
        <v>176</v>
      </c>
      <c r="C6" s="142" t="s">
        <v>80</v>
      </c>
      <c r="D6" s="143" t="s">
        <v>177</v>
      </c>
      <c r="E6" s="143" t="s">
        <v>178</v>
      </c>
      <c r="F6" s="143" t="s">
        <v>112</v>
      </c>
      <c r="G6" s="456" t="s">
        <v>357</v>
      </c>
      <c r="H6" s="457"/>
    </row>
    <row r="7" spans="1:8" s="12" customFormat="1" ht="24.75" customHeight="1">
      <c r="A7" s="14">
        <v>1</v>
      </c>
      <c r="B7" s="17"/>
      <c r="C7" s="19"/>
      <c r="D7" s="19"/>
      <c r="E7" s="19"/>
      <c r="F7" s="19"/>
      <c r="G7" s="455"/>
      <c r="H7" s="440"/>
    </row>
    <row r="8" spans="1:8" s="12" customFormat="1" ht="24.75" customHeight="1">
      <c r="A8" s="14">
        <v>2</v>
      </c>
      <c r="B8" s="17"/>
      <c r="C8" s="19"/>
      <c r="D8" s="19"/>
      <c r="E8" s="19"/>
      <c r="F8" s="19"/>
      <c r="G8" s="454"/>
      <c r="H8" s="439"/>
    </row>
    <row r="9" spans="1:8" s="12" customFormat="1" ht="24.75" customHeight="1">
      <c r="A9" s="14">
        <v>3</v>
      </c>
      <c r="B9" s="17"/>
      <c r="C9" s="19"/>
      <c r="D9" s="19"/>
      <c r="E9" s="19"/>
      <c r="F9" s="19"/>
      <c r="G9" s="454"/>
      <c r="H9" s="439"/>
    </row>
    <row r="10" spans="1:8" s="12" customFormat="1" ht="24.75" customHeight="1">
      <c r="A10" s="14">
        <v>4</v>
      </c>
      <c r="B10" s="17"/>
      <c r="C10" s="19"/>
      <c r="D10" s="19"/>
      <c r="E10" s="19"/>
      <c r="F10" s="19"/>
      <c r="G10" s="455"/>
      <c r="H10" s="440"/>
    </row>
    <row r="11" spans="1:8" s="12" customFormat="1" ht="24.75" customHeight="1">
      <c r="A11" s="14">
        <v>5</v>
      </c>
      <c r="B11" s="17"/>
      <c r="C11" s="19"/>
      <c r="D11" s="19"/>
      <c r="E11" s="19"/>
      <c r="F11" s="19"/>
      <c r="G11" s="455"/>
      <c r="H11" s="440"/>
    </row>
    <row r="12" spans="1:8" s="12" customFormat="1" ht="24.75" customHeight="1">
      <c r="A12" s="14">
        <v>6</v>
      </c>
      <c r="B12" s="17"/>
      <c r="C12" s="19"/>
      <c r="D12" s="19"/>
      <c r="E12" s="19"/>
      <c r="F12" s="19"/>
      <c r="G12" s="455"/>
      <c r="H12" s="440"/>
    </row>
    <row r="13" spans="1:8" s="12" customFormat="1" ht="24.75" customHeight="1">
      <c r="A13" s="14">
        <v>7</v>
      </c>
      <c r="B13" s="17"/>
      <c r="C13" s="19"/>
      <c r="D13" s="19"/>
      <c r="E13" s="19"/>
      <c r="F13" s="19"/>
      <c r="G13" s="455"/>
      <c r="H13" s="440"/>
    </row>
    <row r="14" spans="1:8" s="12" customFormat="1" ht="24.75" customHeight="1">
      <c r="A14" s="14">
        <v>8</v>
      </c>
      <c r="B14" s="17"/>
      <c r="C14" s="19"/>
      <c r="D14" s="19"/>
      <c r="E14" s="19"/>
      <c r="F14" s="19"/>
      <c r="G14" s="454"/>
      <c r="H14" s="439"/>
    </row>
    <row r="15" spans="1:8" s="12" customFormat="1" ht="24.75" customHeight="1">
      <c r="A15" s="14">
        <v>9</v>
      </c>
      <c r="B15" s="17"/>
      <c r="C15" s="19"/>
      <c r="D15" s="19"/>
      <c r="E15" s="19"/>
      <c r="F15" s="19"/>
      <c r="G15" s="455"/>
      <c r="H15" s="440"/>
    </row>
    <row r="16" spans="1:8" s="12" customFormat="1" ht="24.75" customHeight="1" thickBot="1">
      <c r="A16" s="63">
        <v>10</v>
      </c>
      <c r="B16" s="20"/>
      <c r="C16" s="21"/>
      <c r="D16" s="21"/>
      <c r="E16" s="21"/>
      <c r="F16" s="21"/>
      <c r="G16" s="455"/>
      <c r="H16" s="440"/>
    </row>
    <row r="17" spans="1:8" s="180" customFormat="1" ht="24.75" customHeight="1" thickBot="1">
      <c r="A17" s="284" t="s">
        <v>207</v>
      </c>
      <c r="B17" s="177">
        <f>IF(ISBLANK('Cover Page'!$A$4),"",COUNTA(B7:B16))</f>
      </c>
      <c r="C17" s="159">
        <f>IF(ISBLANK('Cover Page'!$A$4),"",COUNTA(C7:C16))</f>
      </c>
      <c r="D17" s="159">
        <f>IF(ISBLANK('Cover Page'!$A$4),"",COUNTA(D7:D16))</f>
      </c>
      <c r="E17" s="159">
        <f>IF(ISBLANK('Cover Page'!$A$4),"",COUNTA(E7:E16))</f>
      </c>
      <c r="F17" s="159">
        <f>IF(ISBLANK('Cover Page'!$A$4),"",COUNTA(F7:F16))</f>
      </c>
      <c r="G17" s="204">
        <f>IF(ISBLANK('Cover Page'!$A$4),"",COUNTA(G7:G16))</f>
      </c>
      <c r="H17" s="304"/>
    </row>
    <row r="18" spans="2:8" ht="18" customHeight="1" thickTop="1">
      <c r="B18" s="420" t="s">
        <v>179</v>
      </c>
      <c r="C18" s="420"/>
      <c r="D18" s="420"/>
      <c r="E18" s="420"/>
      <c r="F18" s="420"/>
      <c r="G18" s="420"/>
      <c r="H18" s="420"/>
    </row>
    <row r="19" spans="2:8" ht="12" customHeight="1">
      <c r="B19" s="423" t="s">
        <v>41</v>
      </c>
      <c r="C19" s="423"/>
      <c r="D19" s="423"/>
      <c r="E19" s="423"/>
      <c r="F19" s="423"/>
      <c r="G19" s="423"/>
      <c r="H19" s="423"/>
    </row>
  </sheetData>
  <sheetProtection password="EC9D" sheet="1" formatRows="0"/>
  <mergeCells count="18">
    <mergeCell ref="G8:H8"/>
    <mergeCell ref="G9:H9"/>
    <mergeCell ref="G10:H10"/>
    <mergeCell ref="G11:H11"/>
    <mergeCell ref="B1:H1"/>
    <mergeCell ref="B2:H2"/>
    <mergeCell ref="B3:H3"/>
    <mergeCell ref="A4:H4"/>
    <mergeCell ref="G6:H6"/>
    <mergeCell ref="A5:G5"/>
    <mergeCell ref="B18:H18"/>
    <mergeCell ref="G7:H7"/>
    <mergeCell ref="B19:H19"/>
    <mergeCell ref="G13:H13"/>
    <mergeCell ref="G16:H16"/>
    <mergeCell ref="G14:H14"/>
    <mergeCell ref="G15:H15"/>
    <mergeCell ref="G12:H12"/>
  </mergeCells>
  <dataValidations count="3">
    <dataValidation type="list" allowBlank="1" showInputMessage="1" showErrorMessage="1" sqref="H5">
      <formula1>"Yes,No"</formula1>
    </dataValidation>
    <dataValidation type="list" allowBlank="1" showInputMessage="1" showErrorMessage="1" sqref="B7:B16">
      <formula1>"K4,K5-0.5 FTE,K5-0.6 FTE,K5-1.0 FTE,1,2,3,4,5,6,7,8,9,10,11,12"</formula1>
    </dataValidation>
    <dataValidation type="list" allowBlank="1" showInputMessage="1" showErrorMessage="1" sqref="F7:F16">
      <formula1>"Full,Partial"</formula1>
    </dataValidation>
  </dataValidations>
  <printOptions horizontalCentered="1"/>
  <pageMargins left="0.5" right="0.5" top="0.5" bottom="0.5" header="0.3" footer="0.3"/>
  <pageSetup fitToHeight="100" fitToWidth="1" horizontalDpi="600" verticalDpi="600" orientation="landscape" scale="98" r:id="rId1"/>
  <headerFooter>
    <oddHeader>&amp;L&amp;"Arial,Regular"&amp;8Page 6&amp;R&amp;"Arial,Regular"&amp;8PI-SNSP-0103 (10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2019-03-14T21:18:54Z</cp:lastPrinted>
  <dcterms:created xsi:type="dcterms:W3CDTF">2009-04-21T15:59:52Z</dcterms:created>
  <dcterms:modified xsi:type="dcterms:W3CDTF">2019-03-14T21:19:04Z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