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SO\Huber\"/>
    </mc:Choice>
  </mc:AlternateContent>
  <bookViews>
    <workbookView xWindow="0" yWindow="0" windowWidth="2940" windowHeight="0"/>
  </bookViews>
  <sheets>
    <sheet name="Keybills Master Sheet" sheetId="1" r:id="rId1"/>
  </sheets>
  <definedNames>
    <definedName name="_xlnm._FilterDatabase" localSheetId="0" hidden="1">'Keybills Master Sheet'!$A$1:$AG$1080</definedName>
    <definedName name="_xlnm.Print_Area" localSheetId="0">'Keybills Master Sheet'!$A$1:$O$362</definedName>
    <definedName name="_xlnm.Print_Titles" localSheetId="0">'Keybills Master Sheet'!$1:$1</definedName>
  </definedNames>
  <calcPr calcId="162913"/>
</workbook>
</file>

<file path=xl/calcChain.xml><?xml version="1.0" encoding="utf-8"?>
<calcChain xmlns="http://schemas.openxmlformats.org/spreadsheetml/2006/main">
  <c r="A362" i="1" l="1"/>
  <c r="E361" i="1"/>
  <c r="A361" i="1"/>
  <c r="E360" i="1"/>
  <c r="A360" i="1"/>
  <c r="A359" i="1"/>
  <c r="E358" i="1"/>
  <c r="A358" i="1"/>
  <c r="A357" i="1"/>
  <c r="E356" i="1"/>
  <c r="A356" i="1"/>
  <c r="E355" i="1"/>
  <c r="A355" i="1"/>
  <c r="E354" i="1"/>
  <c r="A354" i="1"/>
  <c r="F353" i="1"/>
  <c r="A353" i="1"/>
  <c r="A352" i="1"/>
  <c r="A351" i="1"/>
  <c r="G350" i="1"/>
  <c r="E350" i="1"/>
  <c r="A350" i="1"/>
  <c r="E349" i="1"/>
  <c r="A349" i="1"/>
  <c r="J348" i="1"/>
  <c r="A348" i="1"/>
  <c r="F347" i="1"/>
  <c r="E347" i="1"/>
  <c r="A347" i="1"/>
  <c r="E346" i="1"/>
  <c r="A346" i="1"/>
  <c r="A345" i="1"/>
  <c r="E344" i="1"/>
  <c r="A344" i="1"/>
  <c r="E343" i="1"/>
  <c r="A343" i="1"/>
  <c r="E342" i="1"/>
  <c r="A342" i="1"/>
  <c r="E341" i="1"/>
  <c r="A341" i="1"/>
  <c r="E340" i="1"/>
  <c r="A340" i="1"/>
  <c r="E339" i="1"/>
  <c r="A339" i="1"/>
  <c r="E338" i="1"/>
  <c r="A338" i="1"/>
  <c r="E337" i="1"/>
  <c r="A337" i="1"/>
  <c r="E336" i="1"/>
  <c r="A336" i="1"/>
  <c r="E335" i="1"/>
  <c r="A335" i="1"/>
  <c r="E334" i="1"/>
  <c r="A334" i="1"/>
  <c r="E333" i="1"/>
  <c r="A333" i="1"/>
  <c r="E332" i="1"/>
  <c r="A332" i="1"/>
  <c r="F331" i="1"/>
  <c r="E331" i="1"/>
  <c r="A331" i="1"/>
  <c r="F330" i="1"/>
  <c r="E330" i="1"/>
  <c r="A330" i="1"/>
  <c r="F329" i="1"/>
  <c r="E329" i="1"/>
  <c r="A329" i="1"/>
  <c r="E328" i="1"/>
  <c r="A328" i="1"/>
  <c r="K327" i="1"/>
  <c r="E327" i="1"/>
  <c r="A327" i="1"/>
  <c r="F326" i="1"/>
  <c r="E326" i="1"/>
  <c r="A326" i="1"/>
  <c r="E325" i="1"/>
  <c r="A325" i="1"/>
  <c r="K324" i="1"/>
  <c r="E324" i="1"/>
  <c r="A324" i="1"/>
  <c r="M323" i="1"/>
  <c r="F323" i="1"/>
  <c r="E323" i="1"/>
  <c r="A323" i="1"/>
  <c r="E322" i="1"/>
  <c r="A322" i="1"/>
  <c r="O321" i="1"/>
  <c r="N321" i="1"/>
  <c r="F321" i="1"/>
  <c r="E321" i="1"/>
  <c r="A321" i="1"/>
  <c r="F320" i="1"/>
  <c r="E320" i="1"/>
  <c r="A320" i="1"/>
  <c r="F319" i="1"/>
  <c r="E319" i="1"/>
  <c r="A319" i="1"/>
  <c r="M318" i="1"/>
  <c r="F318" i="1"/>
  <c r="E318" i="1"/>
  <c r="A318" i="1"/>
  <c r="F317" i="1"/>
  <c r="E317" i="1"/>
  <c r="A317" i="1"/>
  <c r="E316" i="1"/>
  <c r="A316" i="1"/>
  <c r="E315" i="1"/>
  <c r="A315" i="1"/>
  <c r="F314" i="1"/>
  <c r="E314" i="1"/>
  <c r="A314" i="1"/>
  <c r="F313" i="1"/>
  <c r="E313" i="1"/>
  <c r="E312" i="1"/>
  <c r="A312" i="1"/>
  <c r="F311" i="1"/>
  <c r="E311" i="1"/>
  <c r="A311" i="1"/>
  <c r="E310" i="1"/>
  <c r="A310" i="1"/>
  <c r="O309" i="1"/>
  <c r="N309" i="1"/>
  <c r="M309" i="1"/>
  <c r="E309" i="1"/>
  <c r="A309" i="1"/>
  <c r="E308" i="1"/>
  <c r="A308" i="1"/>
  <c r="F307" i="1"/>
  <c r="E307" i="1"/>
  <c r="A307" i="1"/>
  <c r="M306" i="1"/>
  <c r="F306" i="1"/>
  <c r="E306" i="1"/>
  <c r="A306" i="1"/>
  <c r="E305" i="1"/>
  <c r="A305" i="1"/>
  <c r="F304" i="1"/>
  <c r="E304" i="1"/>
  <c r="A304" i="1"/>
  <c r="O303" i="1"/>
  <c r="N303" i="1"/>
  <c r="M303" i="1"/>
  <c r="E303" i="1"/>
  <c r="A303" i="1"/>
  <c r="M302" i="1"/>
  <c r="F302" i="1"/>
  <c r="E302" i="1"/>
  <c r="A302" i="1"/>
  <c r="E301" i="1"/>
  <c r="A301" i="1"/>
  <c r="E300" i="1"/>
  <c r="A300" i="1"/>
  <c r="F299" i="1"/>
  <c r="E299" i="1"/>
  <c r="A299" i="1"/>
  <c r="E298" i="1"/>
  <c r="A298" i="1"/>
  <c r="F297" i="1"/>
  <c r="E297" i="1"/>
  <c r="A297" i="1"/>
  <c r="E296" i="1"/>
  <c r="A296" i="1"/>
  <c r="E295" i="1"/>
  <c r="A295" i="1"/>
  <c r="A294" i="1"/>
  <c r="E293" i="1"/>
  <c r="A293" i="1"/>
  <c r="N292" i="1"/>
  <c r="M292" i="1"/>
  <c r="F292" i="1"/>
  <c r="E292" i="1"/>
  <c r="A292" i="1"/>
  <c r="F291" i="1"/>
  <c r="E291" i="1"/>
  <c r="A291" i="1"/>
  <c r="M290" i="1"/>
  <c r="F290" i="1"/>
  <c r="E290" i="1"/>
  <c r="A290" i="1"/>
  <c r="F289" i="1"/>
  <c r="E289" i="1"/>
  <c r="A289" i="1"/>
  <c r="E288" i="1"/>
  <c r="A288" i="1"/>
  <c r="M287" i="1"/>
  <c r="F287" i="1"/>
  <c r="E287" i="1"/>
  <c r="A287" i="1"/>
  <c r="M286" i="1"/>
  <c r="F286" i="1"/>
  <c r="E286" i="1"/>
  <c r="A286" i="1"/>
  <c r="M285" i="1"/>
  <c r="F285" i="1"/>
  <c r="E285" i="1"/>
  <c r="A285" i="1"/>
  <c r="M284" i="1"/>
  <c r="F284" i="1"/>
  <c r="E284" i="1"/>
  <c r="A284" i="1"/>
  <c r="M283" i="1"/>
  <c r="F283" i="1"/>
  <c r="E283" i="1"/>
  <c r="A283" i="1"/>
  <c r="M282" i="1"/>
  <c r="F282" i="1"/>
  <c r="E282" i="1"/>
  <c r="A282" i="1"/>
  <c r="M281" i="1"/>
  <c r="F281" i="1"/>
  <c r="E281" i="1"/>
  <c r="A281" i="1"/>
  <c r="E280" i="1"/>
  <c r="A280" i="1"/>
  <c r="E279" i="1"/>
  <c r="A279" i="1"/>
  <c r="E278" i="1"/>
  <c r="A278" i="1"/>
  <c r="E277" i="1"/>
  <c r="A277" i="1"/>
  <c r="E276" i="1"/>
  <c r="A276" i="1"/>
  <c r="E275" i="1"/>
  <c r="A275" i="1"/>
  <c r="E274" i="1"/>
  <c r="A274" i="1"/>
  <c r="E273" i="1"/>
  <c r="A273" i="1"/>
  <c r="E272" i="1"/>
  <c r="A272" i="1"/>
  <c r="E271" i="1"/>
  <c r="A271" i="1"/>
  <c r="E270" i="1"/>
  <c r="A270" i="1"/>
  <c r="E269" i="1"/>
  <c r="A269" i="1"/>
  <c r="A268" i="1"/>
  <c r="F267" i="1"/>
  <c r="E267" i="1"/>
  <c r="A267" i="1"/>
  <c r="E266" i="1"/>
  <c r="A266" i="1"/>
  <c r="E265" i="1"/>
  <c r="A265" i="1"/>
  <c r="E264" i="1"/>
  <c r="A264" i="1"/>
  <c r="E263" i="1"/>
  <c r="A263" i="1"/>
  <c r="N262" i="1"/>
  <c r="E262" i="1"/>
  <c r="A262" i="1"/>
  <c r="E261" i="1"/>
  <c r="A261" i="1"/>
  <c r="F260" i="1"/>
  <c r="E260" i="1"/>
  <c r="A260" i="1"/>
  <c r="E259" i="1"/>
  <c r="A259" i="1"/>
  <c r="A258" i="1"/>
  <c r="E257" i="1"/>
  <c r="A257" i="1"/>
  <c r="F256" i="1"/>
  <c r="E256" i="1"/>
  <c r="A256" i="1"/>
  <c r="E255" i="1"/>
  <c r="A255" i="1"/>
  <c r="E254" i="1"/>
  <c r="A254" i="1"/>
  <c r="F253" i="1"/>
  <c r="E253" i="1"/>
  <c r="A253" i="1"/>
  <c r="E252" i="1"/>
  <c r="A252" i="1"/>
  <c r="E251" i="1"/>
  <c r="A251" i="1"/>
  <c r="E250" i="1"/>
  <c r="A250" i="1"/>
  <c r="F249" i="1"/>
  <c r="E249" i="1"/>
  <c r="A249" i="1"/>
  <c r="F248" i="1"/>
  <c r="E248" i="1"/>
  <c r="A248" i="1"/>
  <c r="E247" i="1"/>
  <c r="A247" i="1"/>
  <c r="O246" i="1"/>
  <c r="N246" i="1"/>
  <c r="E246" i="1"/>
  <c r="A246" i="1"/>
  <c r="O245" i="1"/>
  <c r="N245" i="1"/>
  <c r="M245" i="1"/>
  <c r="E245" i="1"/>
  <c r="A245" i="1"/>
  <c r="F244" i="1"/>
  <c r="E244" i="1"/>
  <c r="A244" i="1"/>
  <c r="E243" i="1"/>
  <c r="A243" i="1"/>
  <c r="E242" i="1"/>
  <c r="A242" i="1"/>
  <c r="E241" i="1"/>
  <c r="A241" i="1"/>
  <c r="E240" i="1"/>
  <c r="A240" i="1"/>
  <c r="F239" i="1"/>
  <c r="E239" i="1"/>
  <c r="A239" i="1"/>
  <c r="F238" i="1"/>
  <c r="E238" i="1"/>
  <c r="A238" i="1"/>
  <c r="N237" i="1"/>
  <c r="E237" i="1"/>
  <c r="A237" i="1"/>
  <c r="E236" i="1"/>
  <c r="A236" i="1"/>
  <c r="E235" i="1"/>
  <c r="A235" i="1"/>
  <c r="M234" i="1"/>
  <c r="F234" i="1"/>
  <c r="E234" i="1"/>
  <c r="A234" i="1"/>
  <c r="M233" i="1"/>
  <c r="E233" i="1"/>
  <c r="A233" i="1"/>
  <c r="F232" i="1"/>
  <c r="E232" i="1"/>
  <c r="A232" i="1"/>
  <c r="E231" i="1"/>
  <c r="A231" i="1"/>
  <c r="E230" i="1"/>
  <c r="A230" i="1"/>
  <c r="F229" i="1"/>
  <c r="E229" i="1"/>
  <c r="A229" i="1"/>
  <c r="O228" i="1"/>
  <c r="N228" i="1"/>
  <c r="E228" i="1"/>
  <c r="A228" i="1"/>
  <c r="E227" i="1"/>
  <c r="A227" i="1"/>
  <c r="O226" i="1"/>
  <c r="N226" i="1"/>
  <c r="F226" i="1"/>
  <c r="E226" i="1"/>
  <c r="A226" i="1"/>
  <c r="E225" i="1"/>
  <c r="A225" i="1"/>
  <c r="O224" i="1"/>
  <c r="N224" i="1"/>
  <c r="E224" i="1"/>
  <c r="A224" i="1"/>
  <c r="F223" i="1"/>
  <c r="E223" i="1"/>
  <c r="A223" i="1"/>
  <c r="N222" i="1"/>
  <c r="E222" i="1"/>
  <c r="A222" i="1"/>
  <c r="F221" i="1"/>
  <c r="E221" i="1"/>
  <c r="A221" i="1"/>
  <c r="E220" i="1"/>
  <c r="A220" i="1"/>
  <c r="F219" i="1"/>
  <c r="E219" i="1"/>
  <c r="A219" i="1"/>
  <c r="E218" i="1"/>
  <c r="A218" i="1"/>
  <c r="E217" i="1"/>
  <c r="A217" i="1"/>
  <c r="N216" i="1"/>
  <c r="E216" i="1"/>
  <c r="A216" i="1"/>
  <c r="E215" i="1"/>
  <c r="A215" i="1"/>
  <c r="E214" i="1"/>
  <c r="A214" i="1"/>
  <c r="E213" i="1"/>
  <c r="A213" i="1"/>
  <c r="E212" i="1"/>
  <c r="A212" i="1"/>
  <c r="E211" i="1"/>
  <c r="A211" i="1"/>
  <c r="E210" i="1"/>
  <c r="A210" i="1"/>
  <c r="F209" i="1"/>
  <c r="E209" i="1"/>
  <c r="A209" i="1"/>
  <c r="E208" i="1"/>
  <c r="A208" i="1"/>
  <c r="E207" i="1"/>
  <c r="A207" i="1"/>
  <c r="A206" i="1"/>
  <c r="E205" i="1"/>
  <c r="A205" i="1"/>
  <c r="E204" i="1"/>
  <c r="A204" i="1"/>
  <c r="F203" i="1"/>
  <c r="E203" i="1"/>
  <c r="A203" i="1"/>
  <c r="E202" i="1"/>
  <c r="A202" i="1"/>
  <c r="E201" i="1"/>
  <c r="A201" i="1"/>
  <c r="O200" i="1"/>
  <c r="N200" i="1"/>
  <c r="E200" i="1"/>
  <c r="A200" i="1"/>
  <c r="E199" i="1"/>
  <c r="A199" i="1"/>
  <c r="E198" i="1"/>
  <c r="A198" i="1"/>
  <c r="E197" i="1"/>
  <c r="A197" i="1"/>
  <c r="E196" i="1"/>
  <c r="A196" i="1"/>
  <c r="A195" i="1"/>
  <c r="A194" i="1"/>
  <c r="E193" i="1"/>
  <c r="A193" i="1"/>
  <c r="E192" i="1"/>
  <c r="A192" i="1"/>
  <c r="O191" i="1"/>
  <c r="E191" i="1"/>
  <c r="A191" i="1"/>
  <c r="E190" i="1"/>
  <c r="A190" i="1"/>
  <c r="E189" i="1"/>
  <c r="A189" i="1"/>
  <c r="A188" i="1"/>
  <c r="E187" i="1"/>
  <c r="A187" i="1"/>
  <c r="E186" i="1"/>
  <c r="A186" i="1"/>
  <c r="A185" i="1"/>
  <c r="E183" i="1"/>
  <c r="A183" i="1"/>
  <c r="A182" i="1"/>
  <c r="E181" i="1"/>
  <c r="A181" i="1"/>
  <c r="E180" i="1"/>
  <c r="A180" i="1"/>
  <c r="E179" i="1"/>
  <c r="A179" i="1"/>
  <c r="A178" i="1"/>
  <c r="E177" i="1"/>
  <c r="A177" i="1"/>
  <c r="E176" i="1"/>
  <c r="A176" i="1"/>
  <c r="E175" i="1"/>
  <c r="A175" i="1"/>
  <c r="E174" i="1"/>
  <c r="A174" i="1"/>
  <c r="E173" i="1"/>
  <c r="A173" i="1"/>
  <c r="E172" i="1"/>
  <c r="A172" i="1"/>
  <c r="A171" i="1"/>
  <c r="E170" i="1"/>
  <c r="A170" i="1"/>
  <c r="E169" i="1"/>
  <c r="A169" i="1"/>
  <c r="M168" i="1"/>
  <c r="F168" i="1"/>
  <c r="E168" i="1"/>
  <c r="A168" i="1"/>
  <c r="E167" i="1"/>
  <c r="A167" i="1"/>
  <c r="F166" i="1"/>
  <c r="E166" i="1"/>
  <c r="A166" i="1"/>
  <c r="M165" i="1"/>
  <c r="F165" i="1"/>
  <c r="A165" i="1"/>
  <c r="E164" i="1"/>
  <c r="A164" i="1"/>
  <c r="E163" i="1"/>
  <c r="A163" i="1"/>
  <c r="F162" i="1"/>
  <c r="E162" i="1"/>
  <c r="A162" i="1"/>
  <c r="E161" i="1"/>
  <c r="A161" i="1"/>
  <c r="F160" i="1"/>
  <c r="E160" i="1"/>
  <c r="A160" i="1"/>
  <c r="F159" i="1"/>
  <c r="E159" i="1"/>
  <c r="A159" i="1"/>
  <c r="F158" i="1"/>
  <c r="E158" i="1"/>
  <c r="A158" i="1"/>
  <c r="E157" i="1"/>
  <c r="A157" i="1"/>
  <c r="E156" i="1"/>
  <c r="A156" i="1"/>
  <c r="F154" i="1"/>
  <c r="E154" i="1"/>
  <c r="A154" i="1"/>
  <c r="E153" i="1"/>
  <c r="A153" i="1"/>
  <c r="M152" i="1"/>
  <c r="F152" i="1"/>
  <c r="E152" i="1"/>
  <c r="A152" i="1"/>
  <c r="O151" i="1"/>
  <c r="N151" i="1"/>
  <c r="E151" i="1"/>
  <c r="A151" i="1"/>
  <c r="F150" i="1"/>
  <c r="E150" i="1"/>
  <c r="A150" i="1"/>
  <c r="F149" i="1"/>
  <c r="E149" i="1"/>
  <c r="A149" i="1"/>
  <c r="A148" i="1"/>
  <c r="E147" i="1"/>
  <c r="A147" i="1"/>
  <c r="A146" i="1"/>
  <c r="A145" i="1"/>
  <c r="F144" i="1"/>
  <c r="E144" i="1"/>
  <c r="A144" i="1"/>
  <c r="E143" i="1"/>
  <c r="A143" i="1"/>
  <c r="E142" i="1"/>
  <c r="A142" i="1"/>
  <c r="F141" i="1"/>
  <c r="E141" i="1"/>
  <c r="A141" i="1"/>
  <c r="E140" i="1"/>
  <c r="A140" i="1"/>
  <c r="E139" i="1"/>
  <c r="A139" i="1"/>
  <c r="F138" i="1"/>
  <c r="E138" i="1"/>
  <c r="A138" i="1"/>
  <c r="F137" i="1"/>
  <c r="E137" i="1"/>
  <c r="A137" i="1"/>
  <c r="A136" i="1"/>
  <c r="F135" i="1"/>
  <c r="E135" i="1"/>
  <c r="A135" i="1"/>
  <c r="M134" i="1"/>
  <c r="E134" i="1"/>
  <c r="A134" i="1"/>
  <c r="E133" i="1"/>
  <c r="A133" i="1"/>
  <c r="M132" i="1"/>
  <c r="F132" i="1"/>
  <c r="E132" i="1"/>
  <c r="A132" i="1"/>
  <c r="M131" i="1"/>
  <c r="F131" i="1"/>
  <c r="E131" i="1"/>
  <c r="A131" i="1"/>
  <c r="E130" i="1"/>
  <c r="A130" i="1"/>
  <c r="O129" i="1"/>
  <c r="N129" i="1"/>
  <c r="F129" i="1"/>
  <c r="E129" i="1"/>
  <c r="A129" i="1"/>
  <c r="E128" i="1"/>
  <c r="A128" i="1"/>
  <c r="M127" i="1"/>
  <c r="F127" i="1"/>
  <c r="E127" i="1"/>
  <c r="A127" i="1"/>
  <c r="O126" i="1"/>
  <c r="N126" i="1"/>
  <c r="M126" i="1"/>
  <c r="F126" i="1"/>
  <c r="E126" i="1"/>
  <c r="A126" i="1"/>
  <c r="E125" i="1"/>
  <c r="A125" i="1"/>
  <c r="E124" i="1"/>
  <c r="A124" i="1"/>
  <c r="E123" i="1"/>
  <c r="A123" i="1"/>
  <c r="E122" i="1"/>
  <c r="A122" i="1"/>
  <c r="F121" i="1"/>
  <c r="E121" i="1"/>
  <c r="A121" i="1"/>
  <c r="F120" i="1"/>
  <c r="E120" i="1"/>
  <c r="A120" i="1"/>
  <c r="E119" i="1"/>
  <c r="A119" i="1"/>
  <c r="E118" i="1"/>
  <c r="A118" i="1"/>
  <c r="E117" i="1"/>
  <c r="A117" i="1"/>
  <c r="E116" i="1"/>
  <c r="A116" i="1"/>
  <c r="M115" i="1"/>
  <c r="F115" i="1"/>
  <c r="E115" i="1"/>
  <c r="A115" i="1"/>
  <c r="E114" i="1"/>
  <c r="A114" i="1"/>
  <c r="F113" i="1"/>
  <c r="E113" i="1"/>
  <c r="A113" i="1"/>
  <c r="F112" i="1"/>
  <c r="E112" i="1"/>
  <c r="A112" i="1"/>
  <c r="M111" i="1"/>
  <c r="F111" i="1"/>
  <c r="E111" i="1"/>
  <c r="A111" i="1"/>
  <c r="M110" i="1"/>
  <c r="F110" i="1"/>
  <c r="E110" i="1"/>
  <c r="A110" i="1"/>
  <c r="E109" i="1"/>
  <c r="A109" i="1"/>
  <c r="M108" i="1"/>
  <c r="F108" i="1"/>
  <c r="E108" i="1"/>
  <c r="A108" i="1"/>
  <c r="F107" i="1"/>
  <c r="E107" i="1"/>
  <c r="A107" i="1"/>
  <c r="F106" i="1"/>
  <c r="E106" i="1"/>
  <c r="A106" i="1"/>
  <c r="M105" i="1"/>
  <c r="F105" i="1"/>
  <c r="E105" i="1"/>
  <c r="A105" i="1"/>
  <c r="E104" i="1"/>
  <c r="A104" i="1"/>
  <c r="E103" i="1"/>
  <c r="A103" i="1"/>
  <c r="E102" i="1"/>
  <c r="A102" i="1"/>
  <c r="M101" i="1"/>
  <c r="F101" i="1"/>
  <c r="E101" i="1"/>
  <c r="A101" i="1"/>
  <c r="M100" i="1"/>
  <c r="F100" i="1"/>
  <c r="E100" i="1"/>
  <c r="A100" i="1"/>
  <c r="E99" i="1"/>
  <c r="A99" i="1"/>
  <c r="A98" i="1"/>
  <c r="E97" i="1"/>
  <c r="A97" i="1"/>
  <c r="E96" i="1"/>
  <c r="A96" i="1"/>
  <c r="E95" i="1"/>
  <c r="A95" i="1"/>
  <c r="E94" i="1"/>
  <c r="A94" i="1"/>
  <c r="E93" i="1"/>
  <c r="A93" i="1"/>
  <c r="E92" i="1"/>
  <c r="A92" i="1"/>
  <c r="E91" i="1"/>
  <c r="A91" i="1"/>
  <c r="E90" i="1"/>
  <c r="A90" i="1"/>
  <c r="E89" i="1"/>
  <c r="A89" i="1"/>
  <c r="F88" i="1"/>
  <c r="A88" i="1"/>
  <c r="F87" i="1"/>
  <c r="E87" i="1"/>
  <c r="A87" i="1"/>
  <c r="F86" i="1"/>
  <c r="E86" i="1"/>
  <c r="A86" i="1"/>
  <c r="E85" i="1"/>
  <c r="A85" i="1"/>
  <c r="E84" i="1"/>
  <c r="A84" i="1"/>
  <c r="E83" i="1"/>
  <c r="A83" i="1"/>
  <c r="E82" i="1"/>
  <c r="A82" i="1"/>
  <c r="E81" i="1"/>
  <c r="A81" i="1"/>
  <c r="E80" i="1"/>
  <c r="A80" i="1"/>
  <c r="M79" i="1"/>
  <c r="F79" i="1"/>
  <c r="E79" i="1"/>
  <c r="A79" i="1"/>
  <c r="E78" i="1"/>
  <c r="A78" i="1"/>
  <c r="E77" i="1"/>
  <c r="A77" i="1"/>
  <c r="A76" i="1"/>
  <c r="O75" i="1"/>
  <c r="N75" i="1"/>
  <c r="E75" i="1"/>
  <c r="A75" i="1"/>
  <c r="E74" i="1"/>
  <c r="A74" i="1"/>
  <c r="F73" i="1"/>
  <c r="E73" i="1"/>
  <c r="A73" i="1"/>
  <c r="F72" i="1"/>
  <c r="A72" i="1"/>
  <c r="E71" i="1"/>
  <c r="A71" i="1"/>
  <c r="E70" i="1"/>
  <c r="A70" i="1"/>
  <c r="F69" i="1"/>
  <c r="E69" i="1"/>
  <c r="A69" i="1"/>
  <c r="A68" i="1"/>
  <c r="F67" i="1"/>
  <c r="E67" i="1"/>
  <c r="A67" i="1"/>
  <c r="E66" i="1"/>
  <c r="A66" i="1"/>
  <c r="F65" i="1"/>
  <c r="E65" i="1"/>
  <c r="A65" i="1"/>
  <c r="F64" i="1"/>
  <c r="E64" i="1"/>
  <c r="A64" i="1"/>
  <c r="E63" i="1"/>
  <c r="A63" i="1"/>
  <c r="E62" i="1"/>
  <c r="A62" i="1"/>
  <c r="E61" i="1"/>
  <c r="A61" i="1"/>
  <c r="O60" i="1"/>
  <c r="N60" i="1"/>
  <c r="E60" i="1"/>
  <c r="A60" i="1"/>
  <c r="E59" i="1"/>
  <c r="A59" i="1"/>
  <c r="E58" i="1"/>
  <c r="A58" i="1"/>
  <c r="M57" i="1"/>
  <c r="E57" i="1"/>
  <c r="A57" i="1"/>
  <c r="E56" i="1"/>
  <c r="A56" i="1"/>
  <c r="E55" i="1"/>
  <c r="A55" i="1"/>
  <c r="F54" i="1"/>
  <c r="E54" i="1"/>
  <c r="A54" i="1"/>
  <c r="M53" i="1"/>
  <c r="F53" i="1"/>
  <c r="E53" i="1"/>
  <c r="A53" i="1"/>
  <c r="A52" i="1"/>
  <c r="E51" i="1"/>
  <c r="A51" i="1"/>
  <c r="E50" i="1"/>
  <c r="A50" i="1"/>
  <c r="F49" i="1"/>
  <c r="E49" i="1"/>
  <c r="A49" i="1"/>
  <c r="O48" i="1"/>
  <c r="N48" i="1"/>
  <c r="M48" i="1"/>
  <c r="F48" i="1"/>
  <c r="E48" i="1"/>
  <c r="A48" i="1"/>
  <c r="O47" i="1"/>
  <c r="N47" i="1"/>
  <c r="M47" i="1"/>
  <c r="E47" i="1"/>
  <c r="A47" i="1"/>
  <c r="E46" i="1"/>
  <c r="A46" i="1"/>
  <c r="O45" i="1"/>
  <c r="N45" i="1"/>
  <c r="E45" i="1"/>
  <c r="A45" i="1"/>
  <c r="O44" i="1"/>
  <c r="N44" i="1"/>
  <c r="F44" i="1"/>
  <c r="A44" i="1"/>
  <c r="E43" i="1"/>
  <c r="A43" i="1"/>
  <c r="E42" i="1"/>
  <c r="A42" i="1"/>
  <c r="F41" i="1"/>
  <c r="E41" i="1"/>
  <c r="A41" i="1"/>
  <c r="E40" i="1"/>
  <c r="A40" i="1"/>
  <c r="E39" i="1"/>
  <c r="A39" i="1"/>
  <c r="F38" i="1"/>
  <c r="E38" i="1"/>
  <c r="A38" i="1"/>
  <c r="E37" i="1"/>
  <c r="A37" i="1"/>
  <c r="E36" i="1"/>
  <c r="A36" i="1"/>
  <c r="M35" i="1"/>
  <c r="F35" i="1"/>
  <c r="E35" i="1"/>
  <c r="A35" i="1"/>
  <c r="F34" i="1"/>
  <c r="E34" i="1"/>
  <c r="A34" i="1"/>
  <c r="O33" i="1"/>
  <c r="N33" i="1"/>
  <c r="M33" i="1"/>
  <c r="F33" i="1"/>
  <c r="A33" i="1"/>
  <c r="A32" i="1"/>
  <c r="A31" i="1"/>
  <c r="A30" i="1"/>
  <c r="F29" i="1"/>
  <c r="A29" i="1"/>
  <c r="F28" i="1"/>
  <c r="A28" i="1"/>
  <c r="M27" i="1"/>
  <c r="F27" i="1"/>
  <c r="A27" i="1"/>
  <c r="E26" i="1"/>
  <c r="A26" i="1"/>
  <c r="E25" i="1"/>
  <c r="A25" i="1"/>
  <c r="O24" i="1"/>
  <c r="N24" i="1"/>
  <c r="M24" i="1"/>
  <c r="E24" i="1"/>
  <c r="A24" i="1"/>
  <c r="E23" i="1"/>
  <c r="A23" i="1"/>
  <c r="E22" i="1"/>
  <c r="A22" i="1"/>
  <c r="A21" i="1"/>
  <c r="E20" i="1"/>
  <c r="A20" i="1"/>
  <c r="O19" i="1"/>
  <c r="N19" i="1"/>
  <c r="M19" i="1"/>
  <c r="G19" i="1"/>
  <c r="E19" i="1"/>
  <c r="A19" i="1"/>
  <c r="O18" i="1"/>
  <c r="N18" i="1"/>
  <c r="E18" i="1"/>
  <c r="A18" i="1"/>
  <c r="N17" i="1"/>
  <c r="E17" i="1"/>
  <c r="A17" i="1"/>
  <c r="O16" i="1"/>
  <c r="N16" i="1"/>
  <c r="E16" i="1"/>
  <c r="A16" i="1"/>
  <c r="O15" i="1"/>
  <c r="N15" i="1"/>
  <c r="E15" i="1"/>
  <c r="A15" i="1"/>
  <c r="F14" i="1"/>
  <c r="A14" i="1"/>
  <c r="A13" i="1"/>
  <c r="A12" i="1"/>
  <c r="F11" i="1"/>
  <c r="A11" i="1"/>
  <c r="F10" i="1"/>
  <c r="E10" i="1"/>
  <c r="A10" i="1"/>
  <c r="O9" i="1"/>
  <c r="N9" i="1"/>
  <c r="E9" i="1"/>
  <c r="A9" i="1"/>
  <c r="E8" i="1"/>
  <c r="A8" i="1"/>
  <c r="F7" i="1"/>
  <c r="E7" i="1"/>
  <c r="A7" i="1"/>
  <c r="E6" i="1"/>
  <c r="A6" i="1"/>
  <c r="E5" i="1"/>
  <c r="A5" i="1"/>
  <c r="E4" i="1"/>
  <c r="A4" i="1"/>
  <c r="E3" i="1"/>
  <c r="A3" i="1"/>
  <c r="E2" i="1"/>
  <c r="A2" i="1"/>
</calcChain>
</file>

<file path=xl/sharedStrings.xml><?xml version="1.0" encoding="utf-8"?>
<sst xmlns="http://schemas.openxmlformats.org/spreadsheetml/2006/main" count="807" uniqueCount="394">
  <si>
    <t>Bill #
 AB=Assembly Bill
 SB=Senate Bill</t>
  </si>
  <si>
    <t>Subject</t>
  </si>
  <si>
    <t>Primary Author</t>
  </si>
  <si>
    <t>Introduced</t>
  </si>
  <si>
    <t>Companion Bill</t>
  </si>
  <si>
    <t>DPI Fiscal Estimate</t>
  </si>
  <si>
    <t>DPI Internal Bill Analysis</t>
  </si>
  <si>
    <t>Assigned PB Analyst</t>
  </si>
  <si>
    <t>Date Assigned to P&amp;B Analyst</t>
  </si>
  <si>
    <t>Bill Analysis Due Date</t>
  </si>
  <si>
    <t>Cosponsorship Memo &amp; LRB Draft</t>
  </si>
  <si>
    <t>Lead Team Assignment</t>
  </si>
  <si>
    <t>Official DPI Position</t>
  </si>
  <si>
    <t>Act</t>
  </si>
  <si>
    <t>Leg Council Act Memo</t>
  </si>
  <si>
    <t>Coverage of individuals with preexisting conditions</t>
  </si>
  <si>
    <t>Petersen</t>
  </si>
  <si>
    <t>New internship grants and making an appropriation.</t>
  </si>
  <si>
    <t>Rohrkaste</t>
  </si>
  <si>
    <t>Workforce training grants for seminars in high-demand fields to teach new skills and provide micro-credentials and making an appropriation</t>
  </si>
  <si>
    <t>Terminology changes for those with an intellectual disability in administrative rules.</t>
  </si>
  <si>
    <t>Jaglar</t>
  </si>
  <si>
    <t>Driver education instruction on human trafficking.</t>
  </si>
  <si>
    <t>Thiesfeldt</t>
  </si>
  <si>
    <t>Career and technical education incentive grants and making an appropriation.</t>
  </si>
  <si>
    <t>Ballweg</t>
  </si>
  <si>
    <t>Grants to technical college students for apprenticeship expenses and making an appropriation.</t>
  </si>
  <si>
    <t>Murphy</t>
  </si>
  <si>
    <t>University of Wisconsin research contracts</t>
  </si>
  <si>
    <t>Installation of a barricade device on an interior door in a school building.</t>
  </si>
  <si>
    <t>Brooks</t>
  </si>
  <si>
    <t>Guardianships of children</t>
  </si>
  <si>
    <t>Joint Legislative Council</t>
  </si>
  <si>
    <t>Promissory notes of certain public bodies.</t>
  </si>
  <si>
    <t>The authority of the Board of Commissioners of Public Lands to delegate authority to invest trust fund moneys and making an appropriation.</t>
  </si>
  <si>
    <t>Employing a dyslexia specialist at the Department of Public Instruction and making an appropriation.</t>
  </si>
  <si>
    <t>The minority teacher loan program.</t>
  </si>
  <si>
    <t>Loudenbeck</t>
  </si>
  <si>
    <t>A minor contracting for admission to a shelter facility or transitional living program.</t>
  </si>
  <si>
    <t>Pupil records.</t>
  </si>
  <si>
    <t>Born</t>
  </si>
  <si>
    <t>Fire, tornado, and school safety drills for public and private schools.</t>
  </si>
  <si>
    <t>Support</t>
  </si>
  <si>
    <t>State finances and appropriations, constituting the executive budget act of the 2019 legislature. State Budget Bill</t>
  </si>
  <si>
    <t>JFC</t>
  </si>
  <si>
    <t>Youth apprenticeship programs and making an appropriation.</t>
  </si>
  <si>
    <t>Oldenburg</t>
  </si>
  <si>
    <t>Prohibiting the use of electronic monitoring for juveniles in truancy cases.</t>
  </si>
  <si>
    <t>Stuck</t>
  </si>
  <si>
    <t>Prohibiting the sale of vapor products to minors and the purchase of those products by minors.</t>
  </si>
  <si>
    <t>Brandtjen</t>
  </si>
  <si>
    <t>Creative economy development initiative grants and making an appropriation.</t>
  </si>
  <si>
    <t>Kitchens</t>
  </si>
  <si>
    <t>Information on the school district and school accountability report.</t>
  </si>
  <si>
    <t>Requiring certain occupational areas to be included in the youth apprenticeship program.</t>
  </si>
  <si>
    <t>Dittrich</t>
  </si>
  <si>
    <t>Adopting revisions to the state's uniform athlete agents act and providing a penalty.</t>
  </si>
  <si>
    <t>Imposing requirements related to school lunch and breakfast programs in certain schools.</t>
  </si>
  <si>
    <t>Tauchen</t>
  </si>
  <si>
    <t>Model academic standards for American Indian studies.</t>
  </si>
  <si>
    <t>Information</t>
  </si>
  <si>
    <t>Informational materials related to a school board's obligation to provide instruction on American Indians.</t>
  </si>
  <si>
    <t>The American Indian studies requirement for teacher licensure.</t>
  </si>
  <si>
    <t>Requiring private schools participating in a parental choice program and independent charter schools to provide instruction in American Indian history, culture, and tribal sovereignty.</t>
  </si>
  <si>
    <t>Required instruction in American Indian studies in the elementary and high school grades.</t>
  </si>
  <si>
    <t>Developing a guidebook related to dyslexia and related conditions.</t>
  </si>
  <si>
    <t>Registration and regulation of pharmacy benefit managers, drug pricing transparency, granting rule-making authority, and providing a penalty.</t>
  </si>
  <si>
    <t>Schraa</t>
  </si>
  <si>
    <t>An emergency exception for high performing school districts to the number of hours of direct pupil instruction requirement.</t>
  </si>
  <si>
    <t>Ott</t>
  </si>
  <si>
    <t>Employment and training activities for homeless populations, the Council on Workforce Investment, and local workforce development boards.</t>
  </si>
  <si>
    <t>Rodriguez</t>
  </si>
  <si>
    <t>Allowing private schools participating in a parental choice program to provide hours of direct pupil instruction virtually.</t>
  </si>
  <si>
    <t>Professional development training in character education for teachers, pupil service professionals, principals, and school district administrators, granting rule-making authority, and making an appropriation.</t>
  </si>
  <si>
    <t>Segregated fees for part-time students at University of Wisconsin System schools.</t>
  </si>
  <si>
    <t>Zimmerman</t>
  </si>
  <si>
    <t>Late payment of tuition benefits for student veterans enrolled in the University of Wisconsin System or a technical college.</t>
  </si>
  <si>
    <t>James</t>
  </si>
  <si>
    <t>The method for providing notice of a special meeting of a school board.</t>
  </si>
  <si>
    <t>Gundrum</t>
  </si>
  <si>
    <t>Grants for certain University of Wisconsin and technical college graduates who paid nonresident tuition; granting rule-making authority; and making an appropriation.</t>
  </si>
  <si>
    <t>Eligibility for physician, dentist, and health care provider educational loan assistance programs.</t>
  </si>
  <si>
    <t>Felzkowski</t>
  </si>
  <si>
    <t>Facilities for holding juveniles in secure custody.</t>
  </si>
  <si>
    <t>SB 0168</t>
  </si>
  <si>
    <t>Transferability of courses between the University of Wisconsin System, technical college system, and tribally controlled and private colleges.</t>
  </si>
  <si>
    <t>Mental health clinical consultations under the Medical Assistance program and making an appropriation.</t>
  </si>
  <si>
    <t>Requirements for initial licensure as a special education teacher.</t>
  </si>
  <si>
    <t>Tranel</t>
  </si>
  <si>
    <t>A license to teach based on reciprocity and granting rule-making authority.</t>
  </si>
  <si>
    <t>School district sparsity aid and making an appropriation.</t>
  </si>
  <si>
    <t>Mursau</t>
  </si>
  <si>
    <t>Funding for joint programming between the University of Wisconsin-Green Bay and the Oneida Tribe and making an appropriation.</t>
  </si>
  <si>
    <t>Macco</t>
  </si>
  <si>
    <t>Creating and funding a University of Wisconsin Dairy Innovation Hub and making an appropriation.</t>
  </si>
  <si>
    <t>Fee remission for certain veterans enrolled in University of Wisconsin System institutions or technical colleges.</t>
  </si>
  <si>
    <t>Vruwink</t>
  </si>
  <si>
    <t>Supplemental state aid for consolidated school districts and making an appropriation.</t>
  </si>
  <si>
    <t>Determining shared costs and the secondary cost ceiling for the purpose of general equalization aids for school districts.</t>
  </si>
  <si>
    <t>Creation of a Joint Committee on State Mandates and required funding of state mandates.</t>
  </si>
  <si>
    <t>Transferring academic credits from military transcripts to University of Wisconsin System schools and technical colleges.</t>
  </si>
  <si>
    <t>Kurtz</t>
  </si>
  <si>
    <t>Teacher preparatory programs and granting rule-making authority.</t>
  </si>
  <si>
    <t>L. Meyers</t>
  </si>
  <si>
    <t>Elections administration, recall petitions, and recount procedures.</t>
  </si>
  <si>
    <t>Tusler</t>
  </si>
  <si>
    <t>Eliminating personal conviction exemption from immunizations.</t>
  </si>
  <si>
    <t>Hintz</t>
  </si>
  <si>
    <t>Examinations and licensure of sign language interpreters, providing an exemption from emergency rule procedures, and granting rule-making authority.</t>
  </si>
  <si>
    <t>Skowronski</t>
  </si>
  <si>
    <t>Grants to technical college districts for nurse aide training and making an appropriation.</t>
  </si>
  <si>
    <t>Brostoff</t>
  </si>
  <si>
    <t>Marquette University School of Dentistry rural scholarship program and making an appropriation.</t>
  </si>
  <si>
    <t>Use of certain public building restrooms.</t>
  </si>
  <si>
    <t>Quinn</t>
  </si>
  <si>
    <t>Liability of owners of vehicles involved in certain speed limit and failure to yield right-of-way violations, driver education instruction, and providing a penalty</t>
  </si>
  <si>
    <t>Plumer</t>
  </si>
  <si>
    <t>Creating a grant program to support after-school and out-of-school-time programs, granting rule-making authority, and making an appropriation.</t>
  </si>
  <si>
    <t>Trauma-informed care position grants and making an appropriation.</t>
  </si>
  <si>
    <t>Tittl</t>
  </si>
  <si>
    <t>The school district revenue limit adjustment for energy efficiency projects.</t>
  </si>
  <si>
    <t>Gruszynski</t>
  </si>
  <si>
    <t>Including with the property tax bill information state aid reduction to school districts.</t>
  </si>
  <si>
    <t>Emerson</t>
  </si>
  <si>
    <t>Grants to the Center for Suicide Awareness, Inc., and making an appropriation.</t>
  </si>
  <si>
    <t>Holding a referendum to increase a political subdivision's levy limit.</t>
  </si>
  <si>
    <t>Novak</t>
  </si>
  <si>
    <t>Use of school bus warning lights.</t>
  </si>
  <si>
    <t>Establishing a task force to study the legal and societal barriers to equality for transgender, intersex, nonbinary, and gender nonconforming individuals.</t>
  </si>
  <si>
    <t>Sargent</t>
  </si>
  <si>
    <t>Discrimination in employment, housing, public accommodations, education, insurance coverage, jury duty, and the receipt of mental health or vocational rehabilitation services.</t>
  </si>
  <si>
    <t>Spreitzer</t>
  </si>
  <si>
    <t>Threat to use a dangerous weapon on school property to injure or kill a person and providing a penalty.</t>
  </si>
  <si>
    <t>Doyle</t>
  </si>
  <si>
    <t>Telephone company tax exemption for property used to provide broadband service.</t>
  </si>
  <si>
    <t>The establishment of November 11 as a day on which the offices of the agencies of state government are closed.</t>
  </si>
  <si>
    <t>Providing grants for the purchase of choking rescue devices and making an appropriation.</t>
  </si>
  <si>
    <t>Requirements for colleges when service member students are called into active duty.</t>
  </si>
  <si>
    <t>Duchow</t>
  </si>
  <si>
    <t>The school district revenue limit adjustment for declining enrollment and the prior year base revenue hold harmless adjustment.</t>
  </si>
  <si>
    <t>University of Wisconsin System resident undergraduate tuition.</t>
  </si>
  <si>
    <t>State debt guaranties; delegations by the Board of Regents of the University of Wisconsin System; organizations affiliated with the UW System; and standards of conduct for certain UW System employees.</t>
  </si>
  <si>
    <t>Uniform course numbering and the transfer of course credits among technical colleges and University of Wisconsin System schools, and eliminating certain restrictions on the respective educational roles of the University of Wisconsin System and the Technical College System.</t>
  </si>
  <si>
    <t>Various University of Wisconsin System reporting requirements, commencement of the UW System's fall semester for graduate health science classes, UW System.</t>
  </si>
  <si>
    <t>University of Wisconsin System segregated fees.</t>
  </si>
  <si>
    <t>Placement of a sexually violent person on supervised release.</t>
  </si>
  <si>
    <t>Sortwell</t>
  </si>
  <si>
    <t>Requiring sexual abuse prevention education.</t>
  </si>
  <si>
    <t>Spiros</t>
  </si>
  <si>
    <t>Teen dating violence prevention education.</t>
  </si>
  <si>
    <t>Provision of menstrual products in state and local buildings and school buildings.</t>
  </si>
  <si>
    <t>Prohibiting consideration of the conviction record of an applicant for employment before the applicant has been selected for an interview.</t>
  </si>
  <si>
    <t>C. Taylor</t>
  </si>
  <si>
    <t>Resident undergraduate tuition freezes for the University of Wisconsin System.</t>
  </si>
  <si>
    <t>Shankland</t>
  </si>
  <si>
    <t>State aid for the technical college system and making an appropriation.</t>
  </si>
  <si>
    <t>Creating a Blue Ribbon Commission in the University of Wisconsin System</t>
  </si>
  <si>
    <t>Funding for Wisconsin grants for University of Wisconsin System students and technical college students and making an appropriation.</t>
  </si>
  <si>
    <t>Resident undergraduate tuition remission at the University of Wisconsin System for student teachers and making an appropriation.</t>
  </si>
  <si>
    <t>Providing additional funding to the University of Wisconsin System and making an appropriation.</t>
  </si>
  <si>
    <t>Spinal cord injury research grants and symposia and making an appropriation.</t>
  </si>
  <si>
    <t>Anderson</t>
  </si>
  <si>
    <t>Prohibiting an employer from relying on information about a prospective employee's compensation when making employment decisions or inquiring about a prospective employee's compensation and from restricting an employee's right to disclose compensation information and allowing actions in circuit court and
 providing a penalty.</t>
  </si>
  <si>
    <t>Sinicki</t>
  </si>
  <si>
    <t>University of Wisconsin System nonresident tuition exemptions.</t>
  </si>
  <si>
    <t>Zamarrippa</t>
  </si>
  <si>
    <t>raising the legal age for sale, purchase, and possession of cigarettes and nicotine and tobacco products, providing a legal age for sale, purchase, and possession of vapor products, and providing a penalty.</t>
  </si>
  <si>
    <t>a shared services aid program for school districts, granting rule-making authority, and making an appropriation.</t>
  </si>
  <si>
    <t>a whole grade sharing categorical aid for school boards and making an appropriation.</t>
  </si>
  <si>
    <t>Free expression within the University of Wisconsin System, providing an exemption from rule-making procedures, and granting rule-making authority.</t>
  </si>
  <si>
    <t>Horlacher</t>
  </si>
  <si>
    <t>shared governance at University of Wisconsin System institutions.</t>
  </si>
  <si>
    <t>Hesselbein</t>
  </si>
  <si>
    <t>the University of Wisconsin Missing-in-Action Recovery and Identification Project and making an appropriation.</t>
  </si>
  <si>
    <t>grants for feasibility studies of school district consolidation or whole grade sharing and making an appropriation.</t>
  </si>
  <si>
    <t>incorporating cursive writing into the state model English language arts standards and requiring cursive writing in elementary grades.</t>
  </si>
  <si>
    <t>a school district revenue limit adjustment for the cost of employing school nurses.</t>
  </si>
  <si>
    <t>Pope</t>
  </si>
  <si>
    <t>the timing of equalization aid payments to school districts.</t>
  </si>
  <si>
    <t>Hutton</t>
  </si>
  <si>
    <t>faculty tenure and probationary appointments at University of Wisconsin System institutions and granting rule-making authority.</t>
  </si>
  <si>
    <t>the age at which a child may attend four-year-old kindergarten.</t>
  </si>
  <si>
    <t>counting pupils enrolled in four-year-old kindergarten.</t>
  </si>
  <si>
    <t>The revenue limit ceiling for school districts.</t>
  </si>
  <si>
    <t>Steineke</t>
  </si>
  <si>
    <t>A contract between a school board and a parent or guardian to transport a pupil to and from school.</t>
  </si>
  <si>
    <t>Testing for lead in drinking water in facilities used for recreational and educational camps and child care.</t>
  </si>
  <si>
    <t>Lead testing of potable water sources in certain schools; providing loans for lead remediation in certain schools; and providing an exception to referendum restrictions for lead remediation.</t>
  </si>
  <si>
    <t>The practice of psychology, extending the time limit for emergency rule procedures, providing an exemption from emergency rule procedures, granting rule-making authority, and requiring the exercise of rule-making authority.</t>
  </si>
  <si>
    <t>restrictions on the use of products used for inhaling or exhaling vapor.</t>
  </si>
  <si>
    <t>Creating University of Wisconsin System positions for farm succession planning and making an appropriation.</t>
  </si>
  <si>
    <t>Considine</t>
  </si>
  <si>
    <t>University of Wisconsin System nonresident tuition exemption for tribal nation members.</t>
  </si>
  <si>
    <t>Milroy</t>
  </si>
  <si>
    <t>housing and homelessness; workforce development; community action agencies; poverty reports; mental health; public assistance advisory committee; economic security; adverse childhood experiences reports; creating a nonrefundable individual income tax credit for household and dependent care services; reimbursement for nonemergency medical transportation services; urban mass transit aid; and making an appropriation</t>
  </si>
  <si>
    <t>Subeck</t>
  </si>
  <si>
    <t>Funding for bilingual-bicultural education programs and making an appropriation.</t>
  </si>
  <si>
    <t>Creating a program for reimbursing the higher education debt of beginning farmers, creating an individual income tax deduction for certain amounts received from such a program, granting rule-making authority, making an appropriation, and providing a penalty.</t>
  </si>
  <si>
    <t>Implementing a suicide prevention program and making an appropriation.</t>
  </si>
  <si>
    <t>Requiring continuing education on suicide prevention for physicians, psychologists, social workers, marriage and family therapists, professional counselors, and substance abuse counselors and requiring the exercise of rule-making authority.</t>
  </si>
  <si>
    <t>Grants related to preventing suicide by firearm and making an appropriation.</t>
  </si>
  <si>
    <t>Grants to support peer-to-peer suicide prevention programs in high schools, granting rule-making authority, and making an appropriation.</t>
  </si>
  <si>
    <t>Grants to the Wisconsin Safe and Healthy Schools Center and making an appropriation.</t>
  </si>
  <si>
    <t>Scharaa</t>
  </si>
  <si>
    <t>Grants for suicide prevention programming and making an appropriation.</t>
  </si>
  <si>
    <t>VanderMeer</t>
  </si>
  <si>
    <t>Requiring that student identification cards include contact information for suicide prevention hotlines.</t>
  </si>
  <si>
    <t>Stafsholt</t>
  </si>
  <si>
    <t>establishing a career advancement scholarship program and making an appropriation.</t>
  </si>
  <si>
    <t>Nygren</t>
  </si>
  <si>
    <t>Wittke</t>
  </si>
  <si>
    <t>Application and reporting deadlines for the statewide parental choice program and evidence of accreditation for a private school participating in a parental choice program.</t>
  </si>
  <si>
    <t>Jagler</t>
  </si>
  <si>
    <t>Recognizing teaching hours for providing certain extension services of the University of Wisconsin System.</t>
  </si>
  <si>
    <t>The seclusion and physical restraint of pupils.</t>
  </si>
  <si>
    <t>A science competition participation grant pilot program and making an appropriation.</t>
  </si>
  <si>
    <t>Stubbs</t>
  </si>
  <si>
    <t>Applicability to private roads and driveways of certain rules of the road governing passing school buses.</t>
  </si>
  <si>
    <t>Requirements for teacher preparatory programs in this state, providing an exemption from emergency rule procedures, and requiring the exercise of rule-making authority.</t>
  </si>
  <si>
    <t>Kulp</t>
  </si>
  <si>
    <t>Grants for teachers who receive certain credentials in advanced structured literacy and making an appropriation.</t>
  </si>
  <si>
    <t>Funding for the Wisconsin Institute for Sustainable Technology and making an appropriation.</t>
  </si>
  <si>
    <t>Krug</t>
  </si>
  <si>
    <t>Marketing of employment and training opportunities to former University of Wisconsin System students and making an appropriation.</t>
  </si>
  <si>
    <t>Requiring an online dyslexia awareness training for school district employees</t>
  </si>
  <si>
    <t>Screening correctional inmates for dyslexia</t>
  </si>
  <si>
    <t>Tiffany</t>
  </si>
  <si>
    <t>Publishing Foundations of Reading test scores.</t>
  </si>
  <si>
    <t>Programs to identify and address pupils with dyslexia in public schools.</t>
  </si>
  <si>
    <t>Oppose</t>
  </si>
  <si>
    <t>changing terminology for hearing loss and individuals who are deaf or hard of hearing</t>
  </si>
  <si>
    <t>driver's licenses for youth in out-of-home care and making an appropriation</t>
  </si>
  <si>
    <t>funding for certain extension services of the University of Wisconsin System and making an appropriation</t>
  </si>
  <si>
    <t>Vander Meer</t>
  </si>
  <si>
    <t>biennial reports regarding fees charged by executive state agencies</t>
  </si>
  <si>
    <t>Allen</t>
  </si>
  <si>
    <t>Assessments to evaluate reading readiness</t>
  </si>
  <si>
    <t>Bernier</t>
  </si>
  <si>
    <t>Requiring each cooperative educational service agency to employ a dyslexia specialist</t>
  </si>
  <si>
    <t>Creating a school-based mental health consultation pilot program &amp; making an appropriation - DHS</t>
  </si>
  <si>
    <t>Online early learning pilot program and making an appropriation (UPSTART)</t>
  </si>
  <si>
    <t>Thiesfelt</t>
  </si>
  <si>
    <t>Allowing a pupil enrolled in a home-based private educational program to serve as an election inspector.</t>
  </si>
  <si>
    <t>Aschenbrenner</t>
  </si>
  <si>
    <t>Aid for driver education courses, granting rule-making authority, and making an appropriation</t>
  </si>
  <si>
    <t>Crowley</t>
  </si>
  <si>
    <t>Applications for full-time open enrollment</t>
  </si>
  <si>
    <t>Directing school boards to provide instruction on Hmong Americans</t>
  </si>
  <si>
    <t>Requiring universal changing stations in certain buildings and creating a tax credit for installation of the stations.</t>
  </si>
  <si>
    <t>Vining</t>
  </si>
  <si>
    <t>Posting the child abuse and neglect reporting hotline in school buildings</t>
  </si>
  <si>
    <t>Kopitzke</t>
  </si>
  <si>
    <t>Grants to school districts for weatherization projects, granting rule-making authority, and making an appropriation</t>
  </si>
  <si>
    <t>Neubauer</t>
  </si>
  <si>
    <t>Creating the Council for Equity and Inclusion and the Office for Equity and Inclusion and making an appropriation</t>
  </si>
  <si>
    <t>Participation in interscholastic athletics and extracurricular activities</t>
  </si>
  <si>
    <t>PEO</t>
  </si>
  <si>
    <t>Supporting the Center for Watershed Science and Education, creating a hydrogeologist position, funding research on phosphorus recovery and reuse, creating grant programs for counties to test wells and provide public education, granting rule-making authority, and making an appropriation.</t>
  </si>
  <si>
    <t>Funding a University of Wisconsin System freshwater collaborative and making an appropriation. (FE)</t>
  </si>
  <si>
    <t xml:space="preserve">Creating a computerized uniform school budget and accounting system. </t>
  </si>
  <si>
    <t>Felkowski</t>
  </si>
  <si>
    <t>Incorporating the Holocaust and other genocides into the state model social studies standards and requiring instruction on the Holocaust and other genocides.</t>
  </si>
  <si>
    <t>Creating a legislative office of inspector general and making an appropriation</t>
  </si>
  <si>
    <t>Sanfelippo</t>
  </si>
  <si>
    <t>Expanding the part-time open enrollment program</t>
  </si>
  <si>
    <t>Statements of scope for administrative rules</t>
  </si>
  <si>
    <t>Neylon</t>
  </si>
  <si>
    <t>Prohibiting vaping on public and private school property</t>
  </si>
  <si>
    <t>Requiring the University of Wisconsin-Madison to conduct a research study on developing an agricultural science and technology program</t>
  </si>
  <si>
    <t>Public health campaign for prevention of tobacco and electronic cigarette use, a grant program to support organizations working on youth vaping and cessation services, and making an appropriation</t>
  </si>
  <si>
    <t>Billings</t>
  </si>
  <si>
    <t>Licenses for the retail sale of vapor products and making an appropriation</t>
  </si>
  <si>
    <t>Measuring a school district's improvement for the school and school district accountability report</t>
  </si>
  <si>
    <t>Y</t>
  </si>
  <si>
    <t>A property tax exemption for all machinery, tools, and patterns; a reduction of state general obligation and variable rate debt supported by general purpose revenue; and increasing the maximum deduction under the individual income tax sliding scale standard deduction</t>
  </si>
  <si>
    <t>Vos</t>
  </si>
  <si>
    <t>Correcting the 2019 personal property aid distribution</t>
  </si>
  <si>
    <t>Phasing out parental choice programs and the Special Needs Scholarship Program, repealing the achievement gap reduction program and the student achievement guarantee program, creating a new student achievement guarantee program, granting rule-making authority, and making an appropriation</t>
  </si>
  <si>
    <t>Requiring a local government unit to create a civil services system with a just cause standard of discipline for its employees</t>
  </si>
  <si>
    <t>Allowing certain child care providers to participate in the teacher loan program and making an appropriation</t>
  </si>
  <si>
    <t>Bargaining over wages, hours, and conditions of employment for public employees. (FE)</t>
  </si>
  <si>
    <t xml:space="preserve"> The state civil service system</t>
  </si>
  <si>
    <t>Grants to purchase milk dispensers for schools, granting rule-making authority, and making an appropriation.</t>
  </si>
  <si>
    <t>Pronschinske</t>
  </si>
  <si>
    <t>Distributions from a federal college savings plan to pay principal and interest on qualified education loans and for materials and equipment used in an apprenticeship program</t>
  </si>
  <si>
    <t>School safety plans</t>
  </si>
  <si>
    <t>Kerkman</t>
  </si>
  <si>
    <t>Closing state offices and not holding University of Wisconsin System classes on election days</t>
  </si>
  <si>
    <t>Regulation and licensure of naturopathic doctors, creating a naturopathic medicine examining board, granting rule-making authority, and providing a penalty</t>
  </si>
  <si>
    <t>Reasonable accommodations for University of Wisconsin System and technical college students who are victims of sexual violence and harassment</t>
  </si>
  <si>
    <t>Grants for participation in esports competitions and making an appropriation</t>
  </si>
  <si>
    <t>McGuire</t>
  </si>
  <si>
    <t>Creating a grant program to cover tuition and other educational expenses at public institutions of higher education, granting rule-making authority, and making an appropriation</t>
  </si>
  <si>
    <t>The length of time for a declared state of emergency; reporting of arrests for a violation of an order relating to the control of an outbreak or epidemic; requiring legislative approval of any statewide order mandating individuals to stay at home for reasons related to an epidemic, pandemic, or communicable disease; requiring a written report to the legislature detailing the justification for any ban of gatherings of 50 or fewer individuals</t>
  </si>
  <si>
    <t>State government response to the COVID-19 pandemic</t>
  </si>
  <si>
    <t>Allowing the School District of New Berlin to give preference to residents of New Berlin in accepting full-time open enrollment applications.</t>
  </si>
  <si>
    <t>Wisconsin System classes on election days</t>
  </si>
  <si>
    <t>Encouraging and informing the National Collegiate Athletic Association on it policy to allow students participating in athletics to benefit from the use of their name, image, and likeness</t>
  </si>
  <si>
    <t>Proclaiming the month of February 2020 as Career and Technical Education Month in Wisconsin</t>
  </si>
  <si>
    <t>County-based agriculture positions in the Division of Extension of the University of Wisconsin-Madison and making an appropriation</t>
  </si>
  <si>
    <t>Assembly Organization</t>
  </si>
  <si>
    <t>Farm to school grants and making an appropriation</t>
  </si>
  <si>
    <t>Senate Organization</t>
  </si>
  <si>
    <t>Jacque</t>
  </si>
  <si>
    <t>An income and franchise tax credit for paid interns and making an appropriation.</t>
  </si>
  <si>
    <t>Feyen</t>
  </si>
  <si>
    <t>Workforce training grants for seminars in high-demand fields to teach new skills and provide micro-credentials and making an appropriation.</t>
  </si>
  <si>
    <t>Fitzgerald</t>
  </si>
  <si>
    <t>Requiring a supermajority vote for bills overturning local government policies, ordinances, resolutions and regulations.</t>
  </si>
  <si>
    <t>Carpenter</t>
  </si>
  <si>
    <t>University of Wisconsin research contracts.</t>
  </si>
  <si>
    <t>Stroebel</t>
  </si>
  <si>
    <t>Kooyenga</t>
  </si>
  <si>
    <t>Olsen</t>
  </si>
  <si>
    <t>State finances and appropriations, constituting the executive budget act of the 2019 legislature. (State Budget Bill)</t>
  </si>
  <si>
    <t>Darling</t>
  </si>
  <si>
    <t>Testin</t>
  </si>
  <si>
    <t>Erpenbach</t>
  </si>
  <si>
    <t>Wanggaard</t>
  </si>
  <si>
    <t>Marklein</t>
  </si>
  <si>
    <t>Cowles</t>
  </si>
  <si>
    <t>Petrowski</t>
  </si>
  <si>
    <t>Smith</t>
  </si>
  <si>
    <t>Miller</t>
  </si>
  <si>
    <t>Limiting the authority of the state and political subdivisions to regulate certain wireless facilities and authorizing political subdivisions to impose setback requirements for certain mobile service support structures.</t>
  </si>
  <si>
    <t>LeMahieu</t>
  </si>
  <si>
    <t>Liability of owners of vehicles involved in certain speed limit and failure to yield right-of-way violations, driver education instruction, and providing a penalty.</t>
  </si>
  <si>
    <t>L. Taylor</t>
  </si>
  <si>
    <t>Use of school bus warning lights</t>
  </si>
  <si>
    <t>Shilling</t>
  </si>
  <si>
    <t>Discrimination in employment, housing, public accommodations, education, insurance coverage, jury duty, and the receipt of mental health or vocational habilitation services.</t>
  </si>
  <si>
    <t>Bewley</t>
  </si>
  <si>
    <t>The expenditure of $1,039,134 from moneys appropriated to the University of Wisconsin System in payment of a claim against the state made by Dr. Timothy Smunt.</t>
  </si>
  <si>
    <t>Coost sharing for insulin under health insurance policies and plans.</t>
  </si>
  <si>
    <t>Hansen</t>
  </si>
  <si>
    <t>requiring sexual abuse prevention education.</t>
  </si>
  <si>
    <t>Various University of Wisconsin System reporting requirements.</t>
  </si>
  <si>
    <t>Creating a Blue Ribbon Commission in the University of Wisconsin System.</t>
  </si>
  <si>
    <t>Larson</t>
  </si>
  <si>
    <t>Shared governance at University of Wisconsin System institutions.</t>
  </si>
  <si>
    <t>Kapenga</t>
  </si>
  <si>
    <t>Risser</t>
  </si>
  <si>
    <t>teen dating violence prevention education.</t>
  </si>
  <si>
    <t>contract between a school board and a parent or guardian to transport a pupil to and from school.</t>
  </si>
  <si>
    <t>student loans, creating an authority to be known as the Wisconsin Student Loan Refinancing Authority, granting rule-making authority, and making an appropriation.</t>
  </si>
  <si>
    <t>The University of Wisconsin Missing-in-Action Recovery and Identification Project and making an appropriation.</t>
  </si>
  <si>
    <t>Roth</t>
  </si>
  <si>
    <t>Schachtner</t>
  </si>
  <si>
    <t>LRB-2489</t>
  </si>
  <si>
    <t>Ringhand</t>
  </si>
  <si>
    <t>Establishing a career advancement scholarship program and making an appropriation.</t>
  </si>
  <si>
    <t>Various University of Wisconsin System reporting requirements, commencement of the UW System's fall semester for graduate health science classes, UW System sexual assault and harassment information and reports, and energy cost reduction plans for certain state agencies.</t>
  </si>
  <si>
    <t>requiring continuing education on suicide prevention for physicians, psychologists, social workers,marriage and family therapists, professional counselors, and substance abuse counselors and requiring the exercise of rule-making authority.</t>
  </si>
  <si>
    <t>Memo</t>
  </si>
  <si>
    <t>SB 0554</t>
  </si>
  <si>
    <t>Grants for teachers who receive certain credentials in advanced structured literacy and making an appropriation</t>
  </si>
  <si>
    <t>Funding for certain extension services of the University of Wisconsin System and making an appropriation.</t>
  </si>
  <si>
    <t>Publishing Foundations of Reading test scores</t>
  </si>
  <si>
    <t>Nass</t>
  </si>
  <si>
    <t>Berlin in accepting full-time open enrollment applications.</t>
  </si>
  <si>
    <t xml:space="preserve">Phasing out the Special Needs Scholarship Program and limiting enrollment in parental choice programs </t>
  </si>
  <si>
    <t>per pupil payments to private schools participating in parental choice programs</t>
  </si>
  <si>
    <t>teacher licensure in parental choice programs and in the Special Needs Scholarship Program and granting rule-making authority</t>
  </si>
  <si>
    <t>state aid to the resident school district of a pupil attending a private school under the Racine or statewide parental choice program</t>
  </si>
  <si>
    <t>Jaque</t>
  </si>
  <si>
    <t>SSPW</t>
  </si>
  <si>
    <t>Requiring universal changing stations in certain buildings and creating a tax
credit for installation of the stations.</t>
  </si>
  <si>
    <t xml:space="preserve">Participation in interscholastic athletics and extracurricular activities </t>
  </si>
  <si>
    <t>funding a University of Wisconsin System freshwater collaborative and making an appropriation</t>
  </si>
  <si>
    <t>Supporting the Center for Watershed Science and Education, creating a hydrogeologist position, funding research on phosphorus recovery and reuse, creating grant programs for counties to test wells and provide public education, granting rule-making authority, and making an appropriation</t>
  </si>
  <si>
    <t>Craig</t>
  </si>
  <si>
    <t>Incorporating the Holocaust and other genocides into the state model social studies standards and requiring instruction on the Holocaust and other genocides</t>
  </si>
  <si>
    <t>Creating a sexual assault victim bill of rights; collection and reporting of data regarding sexual assault kits; storage and processing of sexual assault kits; tracking of sexual assault kits in sexual assault cases; and requiring the exercise of rule-making authority.</t>
  </si>
  <si>
    <t>A Wisconsin hemp fiber innovation and technology accelerator in the Wisconsin Institute for Sustainable Technology at the University of Wisconsin–Stevens Point and making an appropriation</t>
  </si>
  <si>
    <t>N/A</t>
  </si>
  <si>
    <t>A property tax exemption for all machinery, tools, and patterns; a reduction of state general obligation and variable rate debt supported by general purpose revenue; and increasing the maximum deduction under the individual income tax sliding scale standard deduction.</t>
  </si>
  <si>
    <t>PEO / SSPW</t>
  </si>
  <si>
    <t>Johnson</t>
  </si>
  <si>
    <t>N/A (copy)</t>
  </si>
  <si>
    <t>Grants to school districts to pay student teachers an hourly wage, granting rule-making authority, and making an appropriation</t>
  </si>
  <si>
    <t>TEPDL</t>
  </si>
  <si>
    <t>Preparing an additional executive budget bill or bills according to generally accepted accounting principles</t>
  </si>
  <si>
    <t>Bargaining over wages, hours, and conditions of employment for public employees</t>
  </si>
  <si>
    <t>The regulation and licensure of naturopathic doctors</t>
  </si>
  <si>
    <t>The membership of the Higher Educational Aids Board</t>
  </si>
  <si>
    <t>Extending the deadline for contributions to a college savings account</t>
  </si>
  <si>
    <t>State government response to the COVID-19 pandemic.</t>
  </si>
  <si>
    <t>Celebrating the 100th anniversary of the American Automobile Association's School Safety Patrol Program</t>
  </si>
  <si>
    <t>Accounting and expenditure of state funds and reduction of deficit</t>
  </si>
  <si>
    <t>AB 0965</t>
  </si>
  <si>
    <t>AB 0730</t>
  </si>
  <si>
    <t>SB 0658</t>
  </si>
  <si>
    <t xml:space="preserve">Phasing out the Special Needs Scholarship Program and limiting enrollment in parental choice programs. </t>
  </si>
  <si>
    <t>Raising the legal age for sale, purchase, and possession of cigarettes and nicotine and tobacco products, providing a legal age for sale, purchase, and possession of vapor products, and providing a penalty.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</si>
</sst>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6" x14ac:knownFonts="1">
    <font>
      <sz val="10"/>
      <color rgb="FF000000"/>
      <name val="Arial"/>
    </font>
    <font>
      <b/>
      <sz val="9"/>
      <color theme="1"/>
      <name val="Arial"/>
    </font>
    <font>
      <u/>
      <sz val="9"/>
      <color rgb="FF000000"/>
      <name val="Arial"/>
    </font>
    <font>
      <sz val="9"/>
      <color rgb="FF000000"/>
      <name val="Arial"/>
    </font>
    <font>
      <sz val="10"/>
      <color rgb="FF000000"/>
      <name val="Arial"/>
    </font>
    <font>
      <u/>
      <sz val="9"/>
      <color rgb="FF0000FF"/>
      <name val="Arial"/>
    </font>
    <font>
      <u/>
      <sz val="9"/>
      <color rgb="FF0000FF"/>
      <name val="Arial"/>
    </font>
    <font>
      <sz val="9"/>
      <color rgb="FF0000FF"/>
      <name val="Arial"/>
    </font>
    <font>
      <u/>
      <sz val="9"/>
      <color rgb="FF000000"/>
      <name val="Arial"/>
    </font>
    <font>
      <u/>
      <sz val="9"/>
      <color rgb="FF1155CC"/>
      <name val="Arial"/>
    </font>
    <font>
      <u/>
      <sz val="9"/>
      <color rgb="FF000000"/>
      <name val="Arial"/>
    </font>
    <font>
      <u/>
      <sz val="10"/>
      <color rgb="FF0000FF"/>
      <name val="Arial"/>
    </font>
    <font>
      <u/>
      <sz val="10"/>
      <color rgb="FF0000FF"/>
      <name val="Arial"/>
    </font>
    <font>
      <sz val="10"/>
      <color theme="1"/>
      <name val="Arial"/>
    </font>
    <font>
      <u/>
      <sz val="9"/>
      <color rgb="FF0000FF"/>
      <name val="Arial"/>
    </font>
    <font>
      <u/>
      <sz val="9"/>
      <color rgb="FF0000FF"/>
      <name val="Arial"/>
    </font>
    <font>
      <u/>
      <sz val="9"/>
      <color rgb="FF000000"/>
      <name val="Arial"/>
    </font>
    <font>
      <sz val="10"/>
      <color rgb="FF000000"/>
      <name val="Arial"/>
    </font>
    <font>
      <u/>
      <sz val="9"/>
      <color rgb="FF0000FF"/>
      <name val="Times New Roman"/>
    </font>
    <font>
      <sz val="9"/>
      <color rgb="FF000000"/>
      <name val="Times New Roman"/>
    </font>
    <font>
      <sz val="9"/>
      <name val="Times New Roman"/>
    </font>
    <font>
      <u/>
      <sz val="9"/>
      <color rgb="FF000000"/>
      <name val="Arial"/>
    </font>
    <font>
      <sz val="9"/>
      <color theme="1"/>
      <name val="Times New Roman"/>
    </font>
    <font>
      <sz val="9"/>
      <color rgb="FF333333"/>
      <name val="Times New Roman"/>
    </font>
    <font>
      <u/>
      <sz val="10"/>
      <color rgb="FF0000FF"/>
      <name val="Times New Roman"/>
    </font>
    <font>
      <sz val="10"/>
      <color rgb="FF000000"/>
      <name val="Times New Roman"/>
    </font>
    <font>
      <sz val="10"/>
      <name val="Times New Roman"/>
    </font>
    <font>
      <sz val="10"/>
      <color theme="1"/>
      <name val="Times New Roman"/>
    </font>
    <font>
      <u/>
      <sz val="9"/>
      <color rgb="FF0000FF"/>
      <name val="Arial"/>
    </font>
    <font>
      <u/>
      <sz val="9"/>
      <color rgb="FF0000FF"/>
      <name val="Arial"/>
    </font>
    <font>
      <u/>
      <sz val="10"/>
      <color rgb="FF0000FF"/>
      <name val="Arial"/>
    </font>
    <font>
      <u/>
      <sz val="10"/>
      <color rgb="FF0000FF"/>
      <name val="Arial"/>
    </font>
    <font>
      <u/>
      <sz val="9"/>
      <color rgb="FF000000"/>
      <name val="Times New Roman"/>
    </font>
    <font>
      <u/>
      <sz val="9"/>
      <color rgb="FF000000"/>
      <name val="Times New Roman"/>
    </font>
    <font>
      <u/>
      <sz val="10"/>
      <color theme="10"/>
      <name val="Arial"/>
    </font>
    <font>
      <sz val="9"/>
      <color rgb="FF000000"/>
      <name val="Arial"/>
      <family val="2"/>
    </font>
  </fonts>
  <fills count="5">
    <fill>
      <patternFill patternType="none"/>
    </fill>
    <fill>
      <patternFill patternType="gray125"/>
    </fill>
    <fill>
      <patternFill patternType="solid">
        <fgColor rgb="FFD9D9D9"/>
        <bgColor rgb="FFD9D9D9"/>
      </patternFill>
    </fill>
    <fill>
      <patternFill patternType="solid">
        <fgColor theme="0"/>
        <bgColor theme="0"/>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4" fillId="0" borderId="0" applyNumberFormat="0" applyFill="0" applyBorder="0" applyAlignment="0" applyProtection="0"/>
  </cellStyleXfs>
  <cellXfs count="88">
    <xf numFmtId="0" fontId="0" fillId="0" borderId="0" xfId="0" applyFont="1" applyAlignment="1"/>
    <xf numFmtId="0" fontId="1" fillId="2" borderId="1" xfId="0" applyFont="1" applyFill="1" applyBorder="1" applyAlignment="1">
      <alignment horizontal="center" wrapText="1"/>
    </xf>
    <xf numFmtId="14" fontId="1" fillId="2" borderId="1" xfId="0" applyNumberFormat="1" applyFont="1" applyFill="1" applyBorder="1" applyAlignment="1">
      <alignment horizontal="center" wrapText="1"/>
    </xf>
    <xf numFmtId="0" fontId="2" fillId="0" borderId="1" xfId="0" applyFont="1" applyBorder="1" applyAlignment="1">
      <alignment horizontal="center"/>
    </xf>
    <xf numFmtId="0" fontId="3" fillId="0" borderId="1" xfId="0" applyFont="1" applyBorder="1" applyAlignment="1">
      <alignment horizontal="left"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applyAlignment="1">
      <alignment horizontal="center" wrapText="1"/>
    </xf>
    <xf numFmtId="14" fontId="3" fillId="0" borderId="1" xfId="0" applyNumberFormat="1" applyFont="1" applyBorder="1" applyAlignment="1">
      <alignment horizontal="center"/>
    </xf>
    <xf numFmtId="0" fontId="4" fillId="0" borderId="0" xfId="0" applyFont="1"/>
    <xf numFmtId="0" fontId="5" fillId="0" borderId="1" xfId="0" applyFont="1" applyBorder="1" applyAlignment="1">
      <alignment horizontal="center"/>
    </xf>
    <xf numFmtId="0" fontId="6" fillId="0" borderId="1" xfId="0" applyFont="1" applyBorder="1" applyAlignment="1">
      <alignment horizontal="center" wrapText="1"/>
    </xf>
    <xf numFmtId="0" fontId="7" fillId="0" borderId="1" xfId="0" applyFont="1" applyBorder="1" applyAlignment="1">
      <alignment horizontal="center"/>
    </xf>
    <xf numFmtId="0" fontId="8" fillId="0" borderId="1" xfId="0" applyFont="1" applyBorder="1" applyAlignment="1">
      <alignment horizontal="center" wrapText="1"/>
    </xf>
    <xf numFmtId="0" fontId="3" fillId="0" borderId="1" xfId="0" applyFont="1" applyBorder="1" applyAlignment="1">
      <alignment horizontal="center"/>
    </xf>
    <xf numFmtId="0" fontId="9" fillId="0" borderId="1" xfId="0" applyFont="1" applyBorder="1" applyAlignment="1">
      <alignment horizontal="center"/>
    </xf>
    <xf numFmtId="0" fontId="10" fillId="0" borderId="1" xfId="0" applyFont="1" applyBorder="1" applyAlignment="1">
      <alignment horizontal="center"/>
    </xf>
    <xf numFmtId="14" fontId="3" fillId="0" borderId="1" xfId="0" applyNumberFormat="1" applyFont="1" applyBorder="1" applyAlignment="1">
      <alignment horizontal="center"/>
    </xf>
    <xf numFmtId="164" fontId="3" fillId="0" borderId="1" xfId="0" applyNumberFormat="1" applyFont="1" applyBorder="1" applyAlignment="1">
      <alignment horizontal="center"/>
    </xf>
    <xf numFmtId="0" fontId="3" fillId="0" borderId="1" xfId="0" applyFont="1" applyBorder="1" applyAlignment="1">
      <alignment horizontal="center" wrapText="1"/>
    </xf>
    <xf numFmtId="0" fontId="13" fillId="0" borderId="1" xfId="0" applyFont="1" applyBorder="1"/>
    <xf numFmtId="0" fontId="16" fillId="3" borderId="1" xfId="0" applyFont="1" applyFill="1" applyBorder="1" applyAlignment="1">
      <alignment horizontal="center"/>
    </xf>
    <xf numFmtId="0" fontId="17" fillId="0" borderId="0" xfId="0" applyFont="1"/>
    <xf numFmtId="0" fontId="3" fillId="0" borderId="0" xfId="0" applyFont="1" applyAlignment="1">
      <alignment horizontal="left" wrapText="1"/>
    </xf>
    <xf numFmtId="0" fontId="18" fillId="0" borderId="1" xfId="0" applyFont="1" applyBorder="1" applyAlignment="1">
      <alignment horizontal="center"/>
    </xf>
    <xf numFmtId="0" fontId="19" fillId="0" borderId="1" xfId="0" applyFont="1" applyBorder="1" applyAlignment="1">
      <alignment horizontal="center" wrapText="1"/>
    </xf>
    <xf numFmtId="0" fontId="20" fillId="0" borderId="1" xfId="0" applyFont="1" applyBorder="1" applyAlignment="1">
      <alignment wrapText="1"/>
    </xf>
    <xf numFmtId="0" fontId="19" fillId="0" borderId="1" xfId="0" applyFont="1" applyBorder="1" applyAlignment="1">
      <alignment horizontal="center"/>
    </xf>
    <xf numFmtId="14" fontId="20" fillId="0" borderId="1" xfId="0" applyNumberFormat="1" applyFont="1" applyBorder="1" applyAlignment="1">
      <alignment horizontal="center"/>
    </xf>
    <xf numFmtId="0" fontId="20" fillId="0" borderId="1" xfId="0" applyFont="1" applyBorder="1"/>
    <xf numFmtId="0" fontId="20" fillId="0" borderId="0" xfId="0" applyFont="1"/>
    <xf numFmtId="0" fontId="3" fillId="0" borderId="0" xfId="0" applyFont="1" applyAlignment="1">
      <alignment horizontal="center" wrapText="1"/>
    </xf>
    <xf numFmtId="0" fontId="21" fillId="0" borderId="1" xfId="0" applyFont="1" applyBorder="1" applyAlignment="1">
      <alignment horizontal="center" wrapText="1"/>
    </xf>
    <xf numFmtId="0" fontId="19" fillId="0" borderId="1" xfId="0" applyFont="1" applyBorder="1" applyAlignment="1">
      <alignment wrapText="1"/>
    </xf>
    <xf numFmtId="0" fontId="19" fillId="0" borderId="1" xfId="0" applyFont="1" applyBorder="1" applyAlignment="1">
      <alignment horizontal="center" wrapText="1"/>
    </xf>
    <xf numFmtId="0" fontId="19" fillId="0" borderId="1" xfId="0" applyFont="1" applyBorder="1" applyAlignment="1">
      <alignment horizontal="center"/>
    </xf>
    <xf numFmtId="0" fontId="20" fillId="0" borderId="1" xfId="0" applyFont="1" applyBorder="1" applyAlignment="1">
      <alignment horizontal="center"/>
    </xf>
    <xf numFmtId="0" fontId="22" fillId="0" borderId="0" xfId="0" applyFont="1"/>
    <xf numFmtId="0" fontId="23" fillId="4" borderId="1" xfId="0" applyFont="1" applyFill="1" applyBorder="1" applyAlignment="1">
      <alignment wrapText="1"/>
    </xf>
    <xf numFmtId="0" fontId="24" fillId="0" borderId="1" xfId="0" applyFont="1" applyBorder="1" applyAlignment="1">
      <alignment horizontal="center"/>
    </xf>
    <xf numFmtId="0" fontId="25" fillId="0" borderId="1" xfId="0" applyFont="1" applyBorder="1" applyAlignment="1">
      <alignment wrapText="1"/>
    </xf>
    <xf numFmtId="0" fontId="25" fillId="0" borderId="1" xfId="0" applyFont="1" applyBorder="1" applyAlignment="1">
      <alignment horizontal="center" wrapText="1"/>
    </xf>
    <xf numFmtId="0" fontId="25" fillId="0" borderId="1" xfId="0" applyFont="1" applyBorder="1" applyAlignment="1">
      <alignment horizontal="center"/>
    </xf>
    <xf numFmtId="0" fontId="26" fillId="0" borderId="1" xfId="0" applyFont="1" applyBorder="1" applyAlignment="1">
      <alignment horizontal="center"/>
    </xf>
    <xf numFmtId="14" fontId="26" fillId="0" borderId="1" xfId="0" applyNumberFormat="1" applyFont="1" applyBorder="1" applyAlignment="1">
      <alignment horizontal="center"/>
    </xf>
    <xf numFmtId="0" fontId="26" fillId="0" borderId="1" xfId="0" applyFont="1" applyBorder="1"/>
    <xf numFmtId="0" fontId="27" fillId="0" borderId="0" xfId="0" applyFont="1"/>
    <xf numFmtId="14" fontId="3" fillId="0" borderId="1" xfId="0" applyNumberFormat="1" applyFont="1" applyBorder="1" applyAlignment="1">
      <alignment horizontal="center" wrapText="1"/>
    </xf>
    <xf numFmtId="14" fontId="28" fillId="0" borderId="1" xfId="0" applyNumberFormat="1" applyFont="1" applyBorder="1" applyAlignment="1">
      <alignment horizontal="center"/>
    </xf>
    <xf numFmtId="0" fontId="29" fillId="0" borderId="1" xfId="0" applyFont="1" applyBorder="1" applyAlignment="1"/>
    <xf numFmtId="14" fontId="30" fillId="0" borderId="1" xfId="0" applyNumberFormat="1" applyFont="1" applyBorder="1" applyAlignment="1">
      <alignment horizontal="center"/>
    </xf>
    <xf numFmtId="0" fontId="31" fillId="0" borderId="1" xfId="0" applyFont="1" applyBorder="1" applyAlignment="1"/>
    <xf numFmtId="0" fontId="4" fillId="0" borderId="1" xfId="0" applyFont="1" applyBorder="1"/>
    <xf numFmtId="0" fontId="22" fillId="0" borderId="1" xfId="0" applyFont="1" applyBorder="1" applyAlignment="1">
      <alignment wrapText="1"/>
    </xf>
    <xf numFmtId="0" fontId="22" fillId="0" borderId="1" xfId="0" applyFont="1" applyBorder="1" applyAlignment="1">
      <alignment horizontal="center"/>
    </xf>
    <xf numFmtId="14" fontId="22" fillId="0" borderId="1" xfId="0" applyNumberFormat="1" applyFont="1" applyBorder="1" applyAlignment="1">
      <alignment horizontal="center"/>
    </xf>
    <xf numFmtId="0" fontId="22" fillId="0" borderId="1" xfId="0" applyFont="1" applyBorder="1" applyAlignment="1">
      <alignment horizontal="center"/>
    </xf>
    <xf numFmtId="14" fontId="22" fillId="0" borderId="1" xfId="0" applyNumberFormat="1" applyFont="1" applyBorder="1" applyAlignment="1">
      <alignment horizontal="center"/>
    </xf>
    <xf numFmtId="0" fontId="22" fillId="0" borderId="1" xfId="0" applyFont="1" applyBorder="1"/>
    <xf numFmtId="0" fontId="22" fillId="0" borderId="1" xfId="0" applyFont="1" applyBorder="1" applyAlignment="1">
      <alignment horizontal="center"/>
    </xf>
    <xf numFmtId="0" fontId="32" fillId="0" borderId="1" xfId="0" applyFont="1" applyBorder="1" applyAlignment="1">
      <alignment horizontal="center" wrapText="1"/>
    </xf>
    <xf numFmtId="14" fontId="22" fillId="0" borderId="1" xfId="0" applyNumberFormat="1" applyFont="1" applyBorder="1" applyAlignment="1">
      <alignment horizontal="center"/>
    </xf>
    <xf numFmtId="0" fontId="22" fillId="0" borderId="1" xfId="0" applyFont="1" applyBorder="1" applyAlignment="1"/>
    <xf numFmtId="0" fontId="33" fillId="0" borderId="1" xfId="0" applyFont="1" applyBorder="1" applyAlignment="1">
      <alignment horizontal="center"/>
    </xf>
    <xf numFmtId="0" fontId="13" fillId="0" borderId="0" xfId="0" applyFont="1" applyAlignment="1">
      <alignment wrapText="1"/>
    </xf>
    <xf numFmtId="0" fontId="4" fillId="0" borderId="0" xfId="0" applyFont="1" applyAlignment="1">
      <alignment horizontal="center" wrapText="1"/>
    </xf>
    <xf numFmtId="0" fontId="4" fillId="0" borderId="0" xfId="0" applyFont="1" applyAlignment="1">
      <alignment horizontal="center"/>
    </xf>
    <xf numFmtId="0" fontId="13" fillId="0" borderId="0" xfId="0" applyFont="1" applyAlignment="1">
      <alignment horizontal="center"/>
    </xf>
    <xf numFmtId="14" fontId="13" fillId="0" borderId="0" xfId="0" applyNumberFormat="1" applyFont="1" applyAlignment="1">
      <alignment horizontal="center"/>
    </xf>
    <xf numFmtId="0" fontId="1" fillId="2" borderId="1" xfId="0" applyFont="1" applyFill="1" applyBorder="1" applyAlignment="1">
      <alignment horizontal="center"/>
    </xf>
    <xf numFmtId="0" fontId="3" fillId="0" borderId="1" xfId="0" applyFont="1" applyBorder="1" applyAlignment="1">
      <alignment horizontal="left"/>
    </xf>
    <xf numFmtId="0" fontId="20" fillId="0" borderId="1" xfId="0" applyFont="1" applyBorder="1" applyAlignment="1"/>
    <xf numFmtId="0" fontId="26" fillId="0" borderId="1" xfId="0" applyFont="1" applyBorder="1" applyAlignment="1"/>
    <xf numFmtId="0" fontId="20" fillId="0" borderId="1" xfId="0" applyFont="1" applyBorder="1" applyAlignment="1">
      <alignment horizontal="center" wrapText="1"/>
    </xf>
    <xf numFmtId="0" fontId="26" fillId="0" borderId="1" xfId="0" applyFont="1" applyBorder="1" applyAlignment="1">
      <alignment horizontal="center" wrapText="1"/>
    </xf>
    <xf numFmtId="0" fontId="22" fillId="0" borderId="1" xfId="0" applyFont="1" applyBorder="1" applyAlignment="1">
      <alignment horizontal="center" wrapText="1"/>
    </xf>
    <xf numFmtId="0" fontId="0" fillId="0" borderId="0" xfId="0" applyFont="1" applyAlignment="1">
      <alignment wrapText="1"/>
    </xf>
    <xf numFmtId="14" fontId="3" fillId="0" borderId="0" xfId="0" applyNumberFormat="1" applyFont="1" applyBorder="1" applyAlignment="1">
      <alignment horizontal="center"/>
    </xf>
    <xf numFmtId="0" fontId="3" fillId="0" borderId="0" xfId="0" applyFont="1" applyBorder="1" applyAlignment="1">
      <alignment horizontal="center"/>
    </xf>
    <xf numFmtId="0" fontId="4" fillId="0" borderId="0" xfId="0" applyFont="1" applyBorder="1"/>
    <xf numFmtId="0" fontId="34" fillId="0" borderId="1" xfId="1" applyBorder="1" applyAlignment="1">
      <alignment horizontal="center" wrapText="1"/>
    </xf>
    <xf numFmtId="0" fontId="34" fillId="0" borderId="1" xfId="1" applyBorder="1" applyAlignment="1">
      <alignment horizontal="center"/>
    </xf>
    <xf numFmtId="14" fontId="14" fillId="0" borderId="0" xfId="0" applyNumberFormat="1" applyFont="1" applyBorder="1" applyAlignment="1">
      <alignment horizontal="center"/>
    </xf>
    <xf numFmtId="14" fontId="11" fillId="0" borderId="0" xfId="0" applyNumberFormat="1" applyFont="1" applyBorder="1" applyAlignment="1">
      <alignment horizontal="center"/>
    </xf>
    <xf numFmtId="0" fontId="15" fillId="0" borderId="0" xfId="0" applyFont="1" applyBorder="1" applyAlignment="1"/>
    <xf numFmtId="0" fontId="12" fillId="0" borderId="0" xfId="0" applyFont="1" applyBorder="1" applyAlignment="1"/>
    <xf numFmtId="0" fontId="34" fillId="3" borderId="1" xfId="1" applyFill="1" applyBorder="1" applyAlignment="1">
      <alignment horizontal="center"/>
    </xf>
    <xf numFmtId="0" fontId="35" fillId="0" borderId="1"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cs.legis.wisconsin.gov/2019/related/fe/ab936" TargetMode="External"/><Relationship Id="rId13" Type="http://schemas.openxmlformats.org/officeDocument/2006/relationships/hyperlink" Target="https://docs.legis.wisconsin.gov/2019/related/fe/sb744" TargetMode="External"/><Relationship Id="rId18" Type="http://schemas.openxmlformats.org/officeDocument/2006/relationships/hyperlink" Target="https://docs.legis.wisconsin.gov/2019/related/fe/sb824" TargetMode="External"/><Relationship Id="rId3" Type="http://schemas.openxmlformats.org/officeDocument/2006/relationships/hyperlink" Target="https://docs.legis.wisconsin.gov/2019/related/lcactmemo/act147.pdf" TargetMode="External"/><Relationship Id="rId21" Type="http://schemas.openxmlformats.org/officeDocument/2006/relationships/hyperlink" Target="https://docs.legis.wisconsin.gov/misc/lc/hearing_testimony_and_materials/2019/ab107" TargetMode="External"/><Relationship Id="rId7" Type="http://schemas.openxmlformats.org/officeDocument/2006/relationships/hyperlink" Target="https://docs.legis.wisconsin.gov/2019/related/fe/ab908" TargetMode="External"/><Relationship Id="rId12" Type="http://schemas.openxmlformats.org/officeDocument/2006/relationships/hyperlink" Target="https://docs.legis.wisconsin.gov/2019/related/fe/ab1001" TargetMode="External"/><Relationship Id="rId17" Type="http://schemas.openxmlformats.org/officeDocument/2006/relationships/hyperlink" Target="https://docs.legis.wisconsin.gov/2019/proposals/reg/sen/bill/sb658" TargetMode="External"/><Relationship Id="rId2" Type="http://schemas.openxmlformats.org/officeDocument/2006/relationships/hyperlink" Target="https://docs.legis.wisconsin.gov/2019/related/lcactmemo/act180.pdf" TargetMode="External"/><Relationship Id="rId16" Type="http://schemas.openxmlformats.org/officeDocument/2006/relationships/hyperlink" Target="https://docs.legis.wisconsin.gov/2019/proposals/reg/asm/bill/ab730" TargetMode="External"/><Relationship Id="rId20" Type="http://schemas.openxmlformats.org/officeDocument/2006/relationships/hyperlink" Target="https://docs.legis.wisconsin.gov/misc/lc/hearing_testimony_and_materials/2019/ab105" TargetMode="External"/><Relationship Id="rId1" Type="http://schemas.openxmlformats.org/officeDocument/2006/relationships/hyperlink" Target="https://docs.legis.wisconsin.gov/misc/lc/hearing_testimony_and_materials/2019/ab54" TargetMode="External"/><Relationship Id="rId6" Type="http://schemas.openxmlformats.org/officeDocument/2006/relationships/hyperlink" Target="https://docs.legis.wisconsin.gov/misc/lc/hearing_testimony_and_materials/2019/sb595" TargetMode="External"/><Relationship Id="rId11" Type="http://schemas.openxmlformats.org/officeDocument/2006/relationships/hyperlink" Target="https://docs.legis.wisconsin.gov/2019/related/fe/ab973" TargetMode="External"/><Relationship Id="rId5" Type="http://schemas.openxmlformats.org/officeDocument/2006/relationships/hyperlink" Target="http://secure-web.cisco.com/10t8psDWcBBc0VKMN2cKdw6k9Dj-3c2rPk347rw5wcI3V06eD1lbBjta_g7R1Wor-zhFttM1jd0AonDQZs9xpKfsNJMW3Qspxdj_CEVIwnypLumgoNm6cPn9HrxI6WOygKKJzKiA7DsRsm988Z0qQL4r3WyTVUfvTd_D4Qpk0ee5Xc0K17DuKUKDD50nb7UT_kIV24vlORmn8H4AHt6O0YrZPqv93v97KCAzkyTFV9O53I97oW5vjdChvDK1P1WSmh8eB0qkwffO3UVhW7VHgHQ/http%3A%2F%2Fwww.thewheelerreport.com%2Fwheeler_docs%2Ffiles%2F19lrb0669csm.pdf" TargetMode="External"/><Relationship Id="rId15" Type="http://schemas.openxmlformats.org/officeDocument/2006/relationships/hyperlink" Target="https://docs.legis.wisconsin.gov/2019/related/fe/sb849" TargetMode="External"/><Relationship Id="rId23" Type="http://schemas.openxmlformats.org/officeDocument/2006/relationships/printerSettings" Target="../printerSettings/printerSettings1.bin"/><Relationship Id="rId10" Type="http://schemas.openxmlformats.org/officeDocument/2006/relationships/hyperlink" Target="https://docs.legis.wisconsin.gov/2019/related/fe/ab1001" TargetMode="External"/><Relationship Id="rId19" Type="http://schemas.openxmlformats.org/officeDocument/2006/relationships/hyperlink" Target="https://docs.legis.wisconsin.gov/2019/related/fe/sb866" TargetMode="External"/><Relationship Id="rId4" Type="http://schemas.openxmlformats.org/officeDocument/2006/relationships/hyperlink" Target="http://secure-web.cisco.com/1GNCqD8-2RBGa7CzWdNMWZ3ftZAq_2UrOs6p_6NYrV8QNqWfK_pkltyls4SN2xebfadGQ1rAjsZ1VTxvNkNXKN9rNOnVJYxQp-xek_z11m0xoEFpLFncKRgcAJRVkSCld8fH3tVkzZwiC5wasbhtRdE8Y_njvrNE9bo5ouaWCpZMMf7vmBMNOAMF5UyGbUEqIMTDjNHh6YU6KnngOaCN6sg0IbKcvh3wOxXXn9jDNeg0WwDdMKew2hXHrjkGt0d5S/http%3A%2F%2Fwww.thewheelerreport.com%2Fwheeler_docs%2Ffiles%2F19lrb2489.pdf" TargetMode="External"/><Relationship Id="rId9" Type="http://schemas.openxmlformats.org/officeDocument/2006/relationships/hyperlink" Target="https://docs.legis.wisconsin.gov/2019/proposals/ab965" TargetMode="External"/><Relationship Id="rId14" Type="http://schemas.openxmlformats.org/officeDocument/2006/relationships/hyperlink" Target="https://docs.legis.wisconsin.gov/2019/related/fe/sb831" TargetMode="External"/><Relationship Id="rId22" Type="http://schemas.openxmlformats.org/officeDocument/2006/relationships/hyperlink" Target="https://docs.legis.wisconsin.gov/misc/lc/hearing_testimony_and_materials/2019/ab1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G1080"/>
  <sheetViews>
    <sheetView tabSelected="1" workbookViewId="0">
      <pane xSplit="2" ySplit="1" topLeftCell="C2" activePane="bottomRight" state="frozen"/>
      <selection pane="topRight" activeCell="C1" sqref="C1"/>
      <selection pane="bottomLeft" activeCell="A2" sqref="A2"/>
      <selection pane="bottomRight" activeCell="B1" sqref="B1"/>
    </sheetView>
  </sheetViews>
  <sheetFormatPr defaultColWidth="14.42578125" defaultRowHeight="15.75" customHeight="1" x14ac:dyDescent="0.2"/>
  <cols>
    <col min="1" max="1" width="12.85546875" customWidth="1"/>
    <col min="2" max="2" width="46.85546875" style="76" customWidth="1"/>
    <col min="3" max="3" width="10.5703125" style="76" customWidth="1"/>
    <col min="4" max="4" width="9.7109375" customWidth="1"/>
    <col min="5" max="5" width="10.28515625" customWidth="1"/>
    <col min="6" max="6" width="8" customWidth="1"/>
    <col min="7" max="7" width="13.7109375" hidden="1" customWidth="1"/>
    <col min="8" max="8" width="0" hidden="1" customWidth="1"/>
    <col min="9" max="11" width="15.7109375" hidden="1" customWidth="1"/>
    <col min="12" max="12" width="0" hidden="1" customWidth="1"/>
    <col min="13" max="13" width="9.85546875" customWidth="1"/>
    <col min="14" max="14" width="5.140625" customWidth="1"/>
    <col min="15" max="15" width="7.28515625" customWidth="1"/>
  </cols>
  <sheetData>
    <row r="1" spans="1:33" ht="60" x14ac:dyDescent="0.2">
      <c r="A1" s="1" t="s">
        <v>0</v>
      </c>
      <c r="B1" s="69" t="s">
        <v>1</v>
      </c>
      <c r="C1" s="1" t="s">
        <v>2</v>
      </c>
      <c r="D1" s="1" t="s">
        <v>3</v>
      </c>
      <c r="E1" s="1" t="s">
        <v>4</v>
      </c>
      <c r="F1" s="1" t="s">
        <v>5</v>
      </c>
      <c r="G1" s="1" t="s">
        <v>6</v>
      </c>
      <c r="H1" s="1" t="s">
        <v>7</v>
      </c>
      <c r="I1" s="2" t="s">
        <v>8</v>
      </c>
      <c r="J1" s="2" t="s">
        <v>9</v>
      </c>
      <c r="K1" s="1" t="s">
        <v>10</v>
      </c>
      <c r="L1" s="69" t="s">
        <v>11</v>
      </c>
      <c r="M1" s="1" t="s">
        <v>12</v>
      </c>
      <c r="N1" s="1" t="s">
        <v>13</v>
      </c>
      <c r="O1" s="1" t="s">
        <v>14</v>
      </c>
      <c r="P1" s="1"/>
      <c r="Q1" s="1"/>
      <c r="R1" s="1"/>
      <c r="S1" s="1"/>
      <c r="T1" s="1"/>
      <c r="U1" s="1"/>
      <c r="V1" s="1"/>
      <c r="W1" s="1"/>
      <c r="X1" s="1"/>
      <c r="Y1" s="1"/>
      <c r="Z1" s="1"/>
      <c r="AA1" s="1"/>
      <c r="AB1" s="1"/>
      <c r="AC1" s="1"/>
      <c r="AD1" s="1"/>
      <c r="AE1" s="1"/>
      <c r="AF1" s="1"/>
      <c r="AG1" s="1"/>
    </row>
    <row r="2" spans="1:33" ht="12.75" x14ac:dyDescent="0.2">
      <c r="A2" s="3" t="str">
        <f>HYPERLINK("https://docs.legis.wisconsin.gov/2019/proposals/reg/asm/bill/ab1","AB 0001")</f>
        <v>AB 0001</v>
      </c>
      <c r="B2" s="4" t="s">
        <v>15</v>
      </c>
      <c r="C2" s="19" t="s">
        <v>16</v>
      </c>
      <c r="D2" s="17">
        <v>43475</v>
      </c>
      <c r="E2" s="3" t="str">
        <f>HYPERLINK("https://docs.legis.wisconsin.gov/2019/proposals/sb2","SB 0002")</f>
        <v>SB 0002</v>
      </c>
      <c r="F2" s="19"/>
      <c r="G2" s="14"/>
      <c r="H2" s="14"/>
      <c r="I2" s="17"/>
      <c r="J2" s="17"/>
      <c r="K2" s="14"/>
      <c r="L2" s="14"/>
      <c r="M2" s="14"/>
      <c r="N2" s="14"/>
      <c r="O2" s="14"/>
      <c r="P2" s="9"/>
      <c r="Q2" s="9"/>
      <c r="R2" s="9"/>
      <c r="S2" s="9"/>
      <c r="T2" s="9"/>
      <c r="U2" s="9"/>
      <c r="V2" s="9"/>
      <c r="W2" s="9"/>
      <c r="X2" s="9"/>
      <c r="Y2" s="9"/>
      <c r="Z2" s="9"/>
      <c r="AA2" s="9"/>
      <c r="AB2" s="9"/>
      <c r="AC2" s="9"/>
      <c r="AD2" s="9"/>
      <c r="AE2" s="9"/>
      <c r="AF2" s="9"/>
      <c r="AG2" s="9"/>
    </row>
    <row r="3" spans="1:33" ht="12.75" x14ac:dyDescent="0.2">
      <c r="A3" s="3" t="str">
        <f>HYPERLINK("https://docs.legis.wisconsin.gov/2019/proposals/reg/asm/bill/ab12","AB 0012")</f>
        <v>AB 0012</v>
      </c>
      <c r="B3" s="4" t="s">
        <v>17</v>
      </c>
      <c r="C3" s="19" t="s">
        <v>18</v>
      </c>
      <c r="D3" s="17">
        <v>43504</v>
      </c>
      <c r="E3" s="3" t="str">
        <f>HYPERLINK("https://docs.legis.wisconsin.gov/2019/proposals/sb15","SB 0015")</f>
        <v>SB 0015</v>
      </c>
      <c r="F3" s="19"/>
      <c r="G3" s="14"/>
      <c r="H3" s="14"/>
      <c r="I3" s="17"/>
      <c r="J3" s="17"/>
      <c r="K3" s="14"/>
      <c r="L3" s="14"/>
      <c r="M3" s="14"/>
      <c r="N3" s="14"/>
      <c r="O3" s="14"/>
      <c r="P3" s="9"/>
      <c r="Q3" s="9"/>
      <c r="R3" s="9"/>
      <c r="S3" s="9"/>
      <c r="T3" s="9"/>
      <c r="U3" s="9"/>
      <c r="V3" s="9"/>
      <c r="W3" s="9"/>
      <c r="X3" s="9"/>
      <c r="Y3" s="9"/>
      <c r="Z3" s="9"/>
      <c r="AA3" s="9"/>
      <c r="AB3" s="9"/>
      <c r="AC3" s="9"/>
      <c r="AD3" s="9"/>
      <c r="AE3" s="9"/>
      <c r="AF3" s="9"/>
      <c r="AG3" s="9"/>
    </row>
    <row r="4" spans="1:33" ht="36" x14ac:dyDescent="0.2">
      <c r="A4" s="3" t="str">
        <f>HYPERLINK("https://docs.legis.wisconsin.gov/2019/proposals/reg/asm/bill/ab13","AB 0013")</f>
        <v>AB 0013</v>
      </c>
      <c r="B4" s="4" t="s">
        <v>19</v>
      </c>
      <c r="C4" s="19" t="s">
        <v>18</v>
      </c>
      <c r="D4" s="6">
        <v>43504</v>
      </c>
      <c r="E4" s="3" t="str">
        <f>HYPERLINK("https://docs.legis.wisconsin.gov/2019/proposals/sb17","SB 0017")</f>
        <v>SB 0017</v>
      </c>
      <c r="F4" s="19"/>
      <c r="G4" s="14"/>
      <c r="H4" s="5"/>
      <c r="I4" s="8"/>
      <c r="J4" s="8"/>
      <c r="K4" s="5"/>
      <c r="L4" s="14"/>
      <c r="M4" s="14"/>
      <c r="N4" s="5"/>
      <c r="O4" s="5"/>
      <c r="P4" s="9"/>
      <c r="Q4" s="9"/>
      <c r="R4" s="9"/>
      <c r="S4" s="9"/>
      <c r="T4" s="9"/>
      <c r="U4" s="9"/>
      <c r="V4" s="9"/>
      <c r="W4" s="9"/>
      <c r="X4" s="9"/>
      <c r="Y4" s="9"/>
      <c r="Z4" s="9"/>
      <c r="AA4" s="9"/>
      <c r="AB4" s="9"/>
      <c r="AC4" s="9"/>
      <c r="AD4" s="9"/>
      <c r="AE4" s="9"/>
      <c r="AF4" s="9"/>
      <c r="AG4" s="9"/>
    </row>
    <row r="5" spans="1:33" ht="24" x14ac:dyDescent="0.2">
      <c r="A5" s="3" t="str">
        <f>HYPERLINK("https://docs.legis.wisconsin.gov/2019/proposals/reg/asm/bill/ab20","AB 0020")</f>
        <v>AB 0020</v>
      </c>
      <c r="B5" s="4" t="s">
        <v>20</v>
      </c>
      <c r="C5" s="19" t="s">
        <v>21</v>
      </c>
      <c r="D5" s="6">
        <v>43504</v>
      </c>
      <c r="E5" s="3" t="str">
        <f>HYPERLINK("https://docs.legis.wisconsin.gov/2019/proposals/sb19","SB 0019")</f>
        <v>SB 0019</v>
      </c>
      <c r="F5" s="19"/>
      <c r="G5" s="5"/>
      <c r="H5" s="5"/>
      <c r="I5" s="8"/>
      <c r="J5" s="8"/>
      <c r="K5" s="5"/>
      <c r="L5" s="14"/>
      <c r="M5" s="14"/>
      <c r="N5" s="5"/>
      <c r="O5" s="5"/>
      <c r="P5" s="9"/>
      <c r="Q5" s="9"/>
      <c r="R5" s="9"/>
      <c r="S5" s="9"/>
      <c r="T5" s="9"/>
      <c r="U5" s="9"/>
      <c r="V5" s="9"/>
      <c r="W5" s="9"/>
      <c r="X5" s="9"/>
      <c r="Y5" s="9"/>
      <c r="Z5" s="9"/>
      <c r="AA5" s="9"/>
      <c r="AB5" s="9"/>
      <c r="AC5" s="9"/>
      <c r="AD5" s="9"/>
      <c r="AE5" s="9"/>
      <c r="AF5" s="9"/>
      <c r="AG5" s="9"/>
    </row>
    <row r="6" spans="1:33" ht="12.75" x14ac:dyDescent="0.2">
      <c r="A6" s="3" t="str">
        <f>HYPERLINK("https://docs.legis.wisconsin.gov/2019/proposals/reg/asm/bill/ab22","AB 0022")</f>
        <v>AB 0022</v>
      </c>
      <c r="B6" s="4" t="s">
        <v>22</v>
      </c>
      <c r="C6" s="19" t="s">
        <v>23</v>
      </c>
      <c r="D6" s="6">
        <v>43508</v>
      </c>
      <c r="E6" s="3" t="str">
        <f>HYPERLINK("https://docs.legis.wisconsin.gov/2019/proposals/sb25","SB 0025")</f>
        <v>SB 0025</v>
      </c>
      <c r="F6" s="19"/>
      <c r="G6" s="5"/>
      <c r="H6" s="5"/>
      <c r="I6" s="8"/>
      <c r="J6" s="8"/>
      <c r="K6" s="5"/>
      <c r="L6" s="14"/>
      <c r="M6" s="14"/>
      <c r="N6" s="5"/>
      <c r="O6" s="5"/>
      <c r="P6" s="9"/>
      <c r="Q6" s="9"/>
      <c r="R6" s="9"/>
      <c r="S6" s="9"/>
      <c r="T6" s="9"/>
      <c r="U6" s="9"/>
      <c r="V6" s="9"/>
      <c r="W6" s="9"/>
      <c r="X6" s="9"/>
      <c r="Y6" s="9"/>
      <c r="Z6" s="9"/>
      <c r="AA6" s="9"/>
      <c r="AB6" s="9"/>
      <c r="AC6" s="9"/>
      <c r="AD6" s="9"/>
      <c r="AE6" s="9"/>
      <c r="AF6" s="9"/>
      <c r="AG6" s="9"/>
    </row>
    <row r="7" spans="1:33" ht="24" x14ac:dyDescent="0.2">
      <c r="A7" s="10" t="str">
        <f>HYPERLINK("http://docs.legis.wisconsin.gov/2019/proposals/reg/asm/bill/ab23","AB 0023")</f>
        <v>AB 0023</v>
      </c>
      <c r="B7" s="4" t="s">
        <v>24</v>
      </c>
      <c r="C7" s="19" t="s">
        <v>25</v>
      </c>
      <c r="D7" s="6">
        <v>43508</v>
      </c>
      <c r="E7" s="10" t="str">
        <f>HYPERLINK("http://docs.legis.wisconsin.gov/2019/proposals/sb16","SB 16")</f>
        <v>SB 16</v>
      </c>
      <c r="F7" s="11" t="str">
        <f>HYPERLINK("http://docs.legis.wisconsin.gov/document/fiscalestimates/2019/REG/AB23","Y")</f>
        <v>Y</v>
      </c>
      <c r="G7" s="12"/>
      <c r="H7" s="5"/>
      <c r="I7" s="8"/>
      <c r="J7" s="8"/>
      <c r="K7" s="5"/>
      <c r="L7" s="14"/>
      <c r="M7" s="14"/>
      <c r="N7" s="14"/>
      <c r="O7" s="5"/>
      <c r="P7" s="9"/>
      <c r="Q7" s="9"/>
      <c r="R7" s="9"/>
      <c r="S7" s="9"/>
      <c r="T7" s="9"/>
      <c r="U7" s="9"/>
      <c r="V7" s="9"/>
      <c r="W7" s="9"/>
      <c r="X7" s="9"/>
      <c r="Y7" s="9"/>
      <c r="Z7" s="9"/>
      <c r="AA7" s="9"/>
      <c r="AB7" s="9"/>
      <c r="AC7" s="9"/>
      <c r="AD7" s="9"/>
      <c r="AE7" s="9"/>
      <c r="AF7" s="9"/>
      <c r="AG7" s="9"/>
    </row>
    <row r="8" spans="1:33" ht="24" x14ac:dyDescent="0.2">
      <c r="A8" s="3" t="str">
        <f>HYPERLINK("https://docs.legis.wisconsin.gov/2019/proposals/reg/asm/bill/ab36","AB 0036")</f>
        <v>AB 0036</v>
      </c>
      <c r="B8" s="4" t="s">
        <v>26</v>
      </c>
      <c r="C8" s="19" t="s">
        <v>27</v>
      </c>
      <c r="D8" s="6">
        <v>43519</v>
      </c>
      <c r="E8" s="3" t="str">
        <f>HYPERLINK("https://docs.legis.wisconsin.gov/2019/proposals/sb44","SB 0044")</f>
        <v>SB 0044</v>
      </c>
      <c r="F8" s="19"/>
      <c r="G8" s="5"/>
      <c r="H8" s="5"/>
      <c r="I8" s="8"/>
      <c r="J8" s="8"/>
      <c r="K8" s="5"/>
      <c r="L8" s="14"/>
      <c r="M8" s="14"/>
      <c r="N8" s="14"/>
      <c r="O8" s="14"/>
      <c r="P8" s="9"/>
      <c r="Q8" s="9"/>
      <c r="R8" s="9"/>
      <c r="S8" s="9"/>
      <c r="T8" s="9"/>
      <c r="U8" s="9"/>
      <c r="V8" s="9"/>
      <c r="W8" s="9"/>
      <c r="X8" s="9"/>
      <c r="Y8" s="9"/>
      <c r="Z8" s="9"/>
      <c r="AA8" s="9"/>
      <c r="AB8" s="9"/>
      <c r="AC8" s="9"/>
      <c r="AD8" s="9"/>
      <c r="AE8" s="9"/>
      <c r="AF8" s="9"/>
      <c r="AG8" s="9"/>
    </row>
    <row r="9" spans="1:33" ht="12.75" x14ac:dyDescent="0.2">
      <c r="A9" s="3" t="str">
        <f>HYPERLINK("https://docs.legis.wisconsin.gov/2019/proposals/reg/asm/bill/ab38","AB 0038")</f>
        <v>AB 0038</v>
      </c>
      <c r="B9" s="4" t="s">
        <v>28</v>
      </c>
      <c r="C9" s="19" t="s">
        <v>27</v>
      </c>
      <c r="D9" s="6">
        <v>43518</v>
      </c>
      <c r="E9" s="3" t="str">
        <f>HYPERLINK("https://docs.legis.wisconsin.gov/2019/proposals/sb42","SB 0042")</f>
        <v>SB 0042</v>
      </c>
      <c r="F9" s="19"/>
      <c r="G9" s="5"/>
      <c r="H9" s="5"/>
      <c r="I9" s="8"/>
      <c r="J9" s="8"/>
      <c r="K9" s="5"/>
      <c r="L9" s="14"/>
      <c r="M9" s="14"/>
      <c r="N9" s="3" t="str">
        <f>HYPERLINK("https://docs.legis.wisconsin.gov/2019/related/acts/36","36")</f>
        <v>36</v>
      </c>
      <c r="O9" s="3" t="str">
        <f>HYPERLINK("https://docs.legis.wisconsin.gov/2019/related/lcactmemo/act036.pdf","Y")</f>
        <v>Y</v>
      </c>
      <c r="P9" s="9"/>
      <c r="Q9" s="9"/>
      <c r="R9" s="9"/>
      <c r="S9" s="9"/>
      <c r="T9" s="9"/>
      <c r="U9" s="9"/>
      <c r="V9" s="9"/>
      <c r="W9" s="9"/>
      <c r="X9" s="9"/>
      <c r="Y9" s="9"/>
      <c r="Z9" s="9"/>
      <c r="AA9" s="9"/>
      <c r="AB9" s="9"/>
      <c r="AC9" s="9"/>
      <c r="AD9" s="9"/>
      <c r="AE9" s="9"/>
      <c r="AF9" s="9"/>
      <c r="AG9" s="9"/>
    </row>
    <row r="10" spans="1:33" ht="24" x14ac:dyDescent="0.2">
      <c r="A10" s="3" t="str">
        <f>HYPERLINK("http://docs.legis.wisconsin.gov/2019/proposals/reg/asm/bill/ab44","AB 0044")</f>
        <v>AB 0044</v>
      </c>
      <c r="B10" s="4" t="s">
        <v>29</v>
      </c>
      <c r="C10" s="19" t="s">
        <v>30</v>
      </c>
      <c r="D10" s="6">
        <v>43524</v>
      </c>
      <c r="E10" s="3" t="str">
        <f>HYPERLINK("http://docs.legis.wisconsin.gov/2019/proposals/sb53","SB 53")</f>
        <v>SB 53</v>
      </c>
      <c r="F10" s="13" t="str">
        <f>HYPERLINK("http://docs.legis.wisconsin.gov/document/fiscalestimates/2019/REG/AB44","Y")</f>
        <v>Y</v>
      </c>
      <c r="G10" s="14"/>
      <c r="H10" s="5"/>
      <c r="I10" s="8"/>
      <c r="J10" s="8"/>
      <c r="K10" s="5"/>
      <c r="L10" s="14"/>
      <c r="M10" s="14"/>
      <c r="N10" s="14"/>
      <c r="O10" s="14"/>
      <c r="P10" s="9"/>
      <c r="Q10" s="9"/>
      <c r="R10" s="9"/>
      <c r="S10" s="9"/>
      <c r="T10" s="9"/>
      <c r="U10" s="9"/>
      <c r="V10" s="9"/>
      <c r="W10" s="9"/>
      <c r="X10" s="9"/>
      <c r="Y10" s="9"/>
      <c r="Z10" s="9"/>
      <c r="AA10" s="9"/>
      <c r="AB10" s="9"/>
      <c r="AC10" s="9"/>
      <c r="AD10" s="9"/>
      <c r="AE10" s="9"/>
      <c r="AF10" s="9"/>
      <c r="AG10" s="9"/>
    </row>
    <row r="11" spans="1:33" ht="36" x14ac:dyDescent="0.2">
      <c r="A11" s="3" t="str">
        <f>HYPERLINK("https://docs.legis.wisconsin.gov/2019/proposals/reg/asm/bill/ab47","AB 0047")</f>
        <v>AB 0047</v>
      </c>
      <c r="B11" s="4" t="s">
        <v>31</v>
      </c>
      <c r="C11" s="19" t="s">
        <v>32</v>
      </c>
      <c r="D11" s="6">
        <v>43524</v>
      </c>
      <c r="E11" s="14"/>
      <c r="F11" s="13" t="str">
        <f>HYPERLINK("https://docs.legis.wisconsin.gov/2019/related/fe/ab47","Y")</f>
        <v>Y</v>
      </c>
      <c r="G11" s="14"/>
      <c r="H11" s="5"/>
      <c r="I11" s="8"/>
      <c r="J11" s="8"/>
      <c r="K11" s="5"/>
      <c r="L11" s="14"/>
      <c r="M11" s="14"/>
      <c r="N11" s="14"/>
      <c r="O11" s="14"/>
      <c r="P11" s="9"/>
      <c r="Q11" s="9"/>
      <c r="R11" s="9"/>
      <c r="S11" s="9"/>
      <c r="T11" s="9"/>
      <c r="U11" s="9"/>
      <c r="V11" s="9"/>
      <c r="W11" s="9"/>
      <c r="X11" s="9"/>
      <c r="Y11" s="9"/>
      <c r="Z11" s="9"/>
      <c r="AA11" s="9"/>
      <c r="AB11" s="9"/>
      <c r="AC11" s="9"/>
      <c r="AD11" s="9"/>
      <c r="AE11" s="9"/>
      <c r="AF11" s="9"/>
      <c r="AG11" s="9"/>
    </row>
    <row r="12" spans="1:33" ht="36" x14ac:dyDescent="0.2">
      <c r="A12" s="3" t="str">
        <f>HYPERLINK("https://docs.legis.wisconsin.gov/2019/proposals/reg/asm/bill/ab48","AB 0048")</f>
        <v>AB 0048</v>
      </c>
      <c r="B12" s="4" t="s">
        <v>33</v>
      </c>
      <c r="C12" s="19" t="s">
        <v>32</v>
      </c>
      <c r="D12" s="6">
        <v>43524</v>
      </c>
      <c r="E12" s="14"/>
      <c r="F12" s="19"/>
      <c r="G12" s="5"/>
      <c r="H12" s="5"/>
      <c r="I12" s="8"/>
      <c r="J12" s="8"/>
      <c r="K12" s="5"/>
      <c r="L12" s="14"/>
      <c r="M12" s="14"/>
      <c r="N12" s="5"/>
      <c r="O12" s="5"/>
      <c r="P12" s="9"/>
      <c r="Q12" s="9"/>
      <c r="R12" s="9"/>
      <c r="S12" s="9"/>
      <c r="T12" s="9"/>
      <c r="U12" s="9"/>
      <c r="V12" s="9"/>
      <c r="W12" s="9"/>
      <c r="X12" s="9"/>
      <c r="Y12" s="9"/>
      <c r="Z12" s="9"/>
      <c r="AA12" s="9"/>
      <c r="AB12" s="9"/>
      <c r="AC12" s="9"/>
      <c r="AD12" s="9"/>
      <c r="AE12" s="9"/>
      <c r="AF12" s="9"/>
      <c r="AG12" s="9"/>
    </row>
    <row r="13" spans="1:33" ht="36" x14ac:dyDescent="0.2">
      <c r="A13" s="3" t="str">
        <f>HYPERLINK("https://docs.legis.wisconsin.gov/2019/proposals/reg/asm/bill/ab49","AB 0049")</f>
        <v>AB 0049</v>
      </c>
      <c r="B13" s="4" t="s">
        <v>34</v>
      </c>
      <c r="C13" s="19" t="s">
        <v>32</v>
      </c>
      <c r="D13" s="6">
        <v>43524</v>
      </c>
      <c r="E13" s="14"/>
      <c r="F13" s="19"/>
      <c r="G13" s="5"/>
      <c r="H13" s="5"/>
      <c r="I13" s="8"/>
      <c r="J13" s="8"/>
      <c r="K13" s="5"/>
      <c r="L13" s="14"/>
      <c r="M13" s="14"/>
      <c r="N13" s="5">
        <v>110</v>
      </c>
      <c r="O13" s="5"/>
      <c r="P13" s="9"/>
      <c r="Q13" s="9"/>
      <c r="R13" s="9"/>
      <c r="S13" s="9"/>
      <c r="T13" s="9"/>
      <c r="U13" s="9"/>
      <c r="V13" s="9"/>
      <c r="W13" s="9"/>
      <c r="X13" s="9"/>
      <c r="Y13" s="9"/>
      <c r="Z13" s="9"/>
      <c r="AA13" s="9"/>
      <c r="AB13" s="9"/>
      <c r="AC13" s="9"/>
      <c r="AD13" s="9"/>
      <c r="AE13" s="9"/>
      <c r="AF13" s="9"/>
      <c r="AG13" s="9"/>
    </row>
    <row r="14" spans="1:33" ht="36" x14ac:dyDescent="0.2">
      <c r="A14" s="3" t="str">
        <f>HYPERLINK("http://docs.legis.wisconsin.gov/2019/proposals/reg/asm/bill/ab50","AB 0050")</f>
        <v>AB 0050</v>
      </c>
      <c r="B14" s="4" t="s">
        <v>35</v>
      </c>
      <c r="C14" s="19" t="s">
        <v>32</v>
      </c>
      <c r="D14" s="6">
        <v>43524</v>
      </c>
      <c r="E14" s="14"/>
      <c r="F14" s="13" t="str">
        <f>HYPERLINK("http://docs.legis.wisconsin.gov/document/fiscalestimates/2019/REG/AB50","Y")</f>
        <v>Y</v>
      </c>
      <c r="G14" s="14"/>
      <c r="H14" s="5"/>
      <c r="I14" s="8"/>
      <c r="J14" s="8"/>
      <c r="K14" s="5"/>
      <c r="L14" s="14"/>
      <c r="M14" s="14"/>
      <c r="N14" s="5"/>
      <c r="O14" s="5"/>
      <c r="P14" s="9"/>
      <c r="Q14" s="9"/>
      <c r="R14" s="9"/>
      <c r="S14" s="9"/>
      <c r="T14" s="9"/>
      <c r="U14" s="9"/>
      <c r="V14" s="9"/>
      <c r="W14" s="9"/>
      <c r="X14" s="9"/>
      <c r="Y14" s="9"/>
      <c r="Z14" s="9"/>
      <c r="AA14" s="9"/>
      <c r="AB14" s="9"/>
      <c r="AC14" s="9"/>
      <c r="AD14" s="9"/>
      <c r="AE14" s="9"/>
      <c r="AF14" s="9"/>
      <c r="AG14" s="9"/>
    </row>
    <row r="15" spans="1:33" ht="24" x14ac:dyDescent="0.2">
      <c r="A15" s="3" t="str">
        <f>HYPERLINK("https://docs.legis.wisconsin.gov/2019/proposals/reg/asm/bill/ab51","AB 0051")</f>
        <v>AB 0051</v>
      </c>
      <c r="B15" s="4" t="s">
        <v>36</v>
      </c>
      <c r="C15" s="19" t="s">
        <v>37</v>
      </c>
      <c r="D15" s="6">
        <v>43524</v>
      </c>
      <c r="E15" s="3" t="str">
        <f>HYPERLINK("https://docs.legis.wisconsin.gov/2019/proposals/sb55","SB 0055")</f>
        <v>SB 0055</v>
      </c>
      <c r="F15" s="19"/>
      <c r="G15" s="5"/>
      <c r="H15" s="5"/>
      <c r="I15" s="8"/>
      <c r="J15" s="8"/>
      <c r="K15" s="5"/>
      <c r="L15" s="14"/>
      <c r="M15" s="14"/>
      <c r="N15" s="3" t="str">
        <f>HYPERLINK("https://docs.legis.wisconsin.gov/2019/related/acts/35","35")</f>
        <v>35</v>
      </c>
      <c r="O15" s="3" t="str">
        <f>HYPERLINK("https://docs.legis.wisconsin.gov/2019/related/lcactmemo/act035.pdf","Y")</f>
        <v>Y</v>
      </c>
      <c r="P15" s="9"/>
      <c r="Q15" s="9"/>
      <c r="R15" s="9"/>
      <c r="S15" s="9"/>
      <c r="T15" s="9"/>
      <c r="U15" s="9"/>
      <c r="V15" s="9"/>
      <c r="W15" s="9"/>
      <c r="X15" s="9"/>
      <c r="Y15" s="9"/>
      <c r="Z15" s="9"/>
      <c r="AA15" s="9"/>
      <c r="AB15" s="9"/>
      <c r="AC15" s="9"/>
      <c r="AD15" s="9"/>
      <c r="AE15" s="9"/>
      <c r="AF15" s="9"/>
      <c r="AG15" s="9"/>
    </row>
    <row r="16" spans="1:33" ht="24" x14ac:dyDescent="0.2">
      <c r="A16" s="3" t="str">
        <f>HYPERLINK("http://docs.legis.wisconsin.gov/2019/proposals/reg/asm/bill/ab52","AB 0052")</f>
        <v>AB 0052</v>
      </c>
      <c r="B16" s="4" t="s">
        <v>38</v>
      </c>
      <c r="C16" s="19" t="s">
        <v>37</v>
      </c>
      <c r="D16" s="6">
        <v>43524</v>
      </c>
      <c r="E16" s="3" t="str">
        <f>HYPERLINK("http://docs.legis.wisconsin.gov/2019/proposals/sb61","SB 0061")</f>
        <v>SB 0061</v>
      </c>
      <c r="F16" s="19"/>
      <c r="G16" s="5"/>
      <c r="H16" s="5"/>
      <c r="I16" s="8"/>
      <c r="J16" s="8"/>
      <c r="K16" s="5"/>
      <c r="L16" s="14"/>
      <c r="M16" s="14"/>
      <c r="N16" s="3" t="str">
        <f>HYPERLINK("http://docs.legis.wisconsin.gov/document/acts/2019/22","22")</f>
        <v>22</v>
      </c>
      <c r="O16" s="3" t="str">
        <f>HYPERLINK("http://docs.legis.wisconsin.gov/document/lcactmemos/2019/REG/Act%2022.pdf","Y")</f>
        <v>Y</v>
      </c>
      <c r="P16" s="9"/>
      <c r="Q16" s="9"/>
      <c r="R16" s="9"/>
      <c r="S16" s="9"/>
      <c r="T16" s="9"/>
      <c r="U16" s="9"/>
      <c r="V16" s="9"/>
      <c r="W16" s="9"/>
      <c r="X16" s="9"/>
      <c r="Y16" s="9"/>
      <c r="Z16" s="9"/>
      <c r="AA16" s="9"/>
      <c r="AB16" s="9"/>
      <c r="AC16" s="9"/>
      <c r="AD16" s="9"/>
      <c r="AE16" s="9"/>
      <c r="AF16" s="9"/>
      <c r="AG16" s="9"/>
    </row>
    <row r="17" spans="1:33" ht="12.75" x14ac:dyDescent="0.2">
      <c r="A17" s="3" t="str">
        <f>HYPERLINK("http://docs.legis.wisconsin.gov/2019/proposals/reg/asm/bill/ab53","AB 0053")</f>
        <v>AB 0053</v>
      </c>
      <c r="B17" s="4" t="s">
        <v>39</v>
      </c>
      <c r="C17" s="19" t="s">
        <v>40</v>
      </c>
      <c r="D17" s="6">
        <v>43524</v>
      </c>
      <c r="E17" s="3" t="str">
        <f>HYPERLINK("http://docs.legis.wisconsin.gov/2019/proposals/sb57","SB 57")</f>
        <v>SB 57</v>
      </c>
      <c r="F17" s="19"/>
      <c r="G17" s="5"/>
      <c r="H17" s="5"/>
      <c r="I17" s="8"/>
      <c r="J17" s="8"/>
      <c r="K17" s="5"/>
      <c r="L17" s="14"/>
      <c r="M17" s="14"/>
      <c r="N17" s="3" t="str">
        <f>HYPERLINK("http://docs.legis.wisconsin.gov/document/vetomessages/2019/AB53.pdf","Vetoed")</f>
        <v>Vetoed</v>
      </c>
      <c r="O17" s="14"/>
      <c r="P17" s="9"/>
      <c r="Q17" s="9"/>
      <c r="R17" s="9"/>
      <c r="S17" s="9"/>
      <c r="T17" s="9"/>
      <c r="U17" s="9"/>
      <c r="V17" s="9"/>
      <c r="W17" s="9"/>
      <c r="X17" s="9"/>
      <c r="Y17" s="9"/>
      <c r="Z17" s="9"/>
      <c r="AA17" s="9"/>
      <c r="AB17" s="9"/>
      <c r="AC17" s="9"/>
      <c r="AD17" s="9"/>
      <c r="AE17" s="9"/>
      <c r="AF17" s="9"/>
      <c r="AG17" s="9"/>
    </row>
    <row r="18" spans="1:33" ht="24" x14ac:dyDescent="0.2">
      <c r="A18" s="3" t="str">
        <f>HYPERLINK("http://docs.legis.wisconsin.gov/2019/proposals/reg/asm/bill/ab54","AB 0054")</f>
        <v>AB 0054</v>
      </c>
      <c r="B18" s="4" t="s">
        <v>41</v>
      </c>
      <c r="C18" s="19" t="s">
        <v>40</v>
      </c>
      <c r="D18" s="6">
        <v>43524</v>
      </c>
      <c r="E18" s="3" t="str">
        <f>HYPERLINK("http://docs.legis.wisconsin.gov/2019/proposals/sb56","SB 56")</f>
        <v>SB 56</v>
      </c>
      <c r="F18" s="19"/>
      <c r="G18" s="5"/>
      <c r="H18" s="5"/>
      <c r="I18" s="8"/>
      <c r="J18" s="8"/>
      <c r="K18" s="5"/>
      <c r="L18" s="14"/>
      <c r="M18" s="15" t="s">
        <v>42</v>
      </c>
      <c r="N18" s="3" t="str">
        <f>HYPERLINK("http://docs.legis.wisconsin.gov/document/acts/2019/39","39")</f>
        <v>39</v>
      </c>
      <c r="O18" s="3" t="str">
        <f>HYPERLINK("http://docs.legis.wisconsin.gov/document/lcactmemos/2019/REG/Act%2039.pdf","Y")</f>
        <v>Y</v>
      </c>
      <c r="P18" s="9"/>
      <c r="Q18" s="9"/>
      <c r="R18" s="9"/>
      <c r="S18" s="9"/>
      <c r="T18" s="9"/>
      <c r="U18" s="9"/>
      <c r="V18" s="9"/>
      <c r="W18" s="9"/>
      <c r="X18" s="9"/>
      <c r="Y18" s="9"/>
      <c r="Z18" s="9"/>
      <c r="AA18" s="9"/>
      <c r="AB18" s="9"/>
      <c r="AC18" s="9"/>
      <c r="AD18" s="9"/>
      <c r="AE18" s="9"/>
      <c r="AF18" s="9"/>
      <c r="AG18" s="9"/>
    </row>
    <row r="19" spans="1:33" ht="36" x14ac:dyDescent="0.2">
      <c r="A19" s="3" t="str">
        <f>HYPERLINK("http://docs.legis.wisconsin.gov/2019/proposals/ab56","AB 0056")</f>
        <v>AB 0056</v>
      </c>
      <c r="B19" s="4" t="s">
        <v>43</v>
      </c>
      <c r="C19" s="19" t="s">
        <v>44</v>
      </c>
      <c r="D19" s="6">
        <v>43524</v>
      </c>
      <c r="E19" s="3" t="str">
        <f>HYPERLINK("http://docs.legis.wisconsin.gov/2019/proposals/sb59","SB 59")</f>
        <v>SB 59</v>
      </c>
      <c r="F19" s="19"/>
      <c r="G19" s="16" t="str">
        <f>HYPERLINK("https://dpi.wi.gov/policy-budget/biennial-budget/current","Y")</f>
        <v>Y</v>
      </c>
      <c r="H19" s="14"/>
      <c r="I19" s="17"/>
      <c r="J19" s="17"/>
      <c r="K19" s="14"/>
      <c r="L19" s="14"/>
      <c r="M19" s="3" t="str">
        <f>HYPERLINK("https://docs.google.com/document/d/1-mytKImld8XpgcD5xRLl6zghX4lnLdiIkFTwU4JuuBU/edit?usp=sharing","Information")</f>
        <v>Information</v>
      </c>
      <c r="N19" s="3" t="str">
        <f>HYPERLINK("http://docs.legis.wisconsin.gov/document/acts/2019/9","9")</f>
        <v>9</v>
      </c>
      <c r="O19" s="3" t="str">
        <f>HYPERLINK("http://docs.legis.wisconsin.gov/document/lcactmemos/2019/REG/Act%209.pdf","Y")</f>
        <v>Y</v>
      </c>
      <c r="P19" s="9"/>
      <c r="Q19" s="9"/>
      <c r="R19" s="9"/>
      <c r="S19" s="9"/>
      <c r="T19" s="9"/>
      <c r="U19" s="9"/>
      <c r="V19" s="9"/>
      <c r="W19" s="9"/>
      <c r="X19" s="9"/>
      <c r="Y19" s="9"/>
      <c r="Z19" s="9"/>
      <c r="AA19" s="9"/>
      <c r="AB19" s="9"/>
      <c r="AC19" s="9"/>
      <c r="AD19" s="9"/>
      <c r="AE19" s="9"/>
      <c r="AF19" s="9"/>
      <c r="AG19" s="9"/>
    </row>
    <row r="20" spans="1:33" ht="24" x14ac:dyDescent="0.2">
      <c r="A20" s="3" t="str">
        <f>HYPERLINK("https://docs.legis.wisconsin.gov/2019/proposals/reg/asm/bill/ab57","AB 0057")</f>
        <v>AB 0057</v>
      </c>
      <c r="B20" s="4" t="s">
        <v>45</v>
      </c>
      <c r="C20" s="19" t="s">
        <v>46</v>
      </c>
      <c r="D20" s="6">
        <v>43528</v>
      </c>
      <c r="E20" s="3" t="str">
        <f>HYPERLINK("https://docs.legis.wisconsin.gov/2019/proposals/sb88","SB 0088")</f>
        <v>SB 0088</v>
      </c>
      <c r="F20" s="19"/>
      <c r="G20" s="5"/>
      <c r="H20" s="5"/>
      <c r="I20" s="8"/>
      <c r="J20" s="8"/>
      <c r="K20" s="5"/>
      <c r="L20" s="14"/>
      <c r="M20" s="14"/>
      <c r="N20" s="5"/>
      <c r="O20" s="5"/>
      <c r="P20" s="9"/>
      <c r="Q20" s="9"/>
      <c r="R20" s="9"/>
      <c r="S20" s="9"/>
      <c r="T20" s="9"/>
      <c r="U20" s="9"/>
      <c r="V20" s="9"/>
      <c r="W20" s="9"/>
      <c r="X20" s="9"/>
      <c r="Y20" s="9"/>
      <c r="Z20" s="9"/>
      <c r="AA20" s="9"/>
      <c r="AB20" s="9"/>
      <c r="AC20" s="9"/>
      <c r="AD20" s="9"/>
      <c r="AE20" s="9"/>
      <c r="AF20" s="9"/>
      <c r="AG20" s="9"/>
    </row>
    <row r="21" spans="1:33" ht="24" x14ac:dyDescent="0.2">
      <c r="A21" s="3" t="str">
        <f>HYPERLINK("http://docs.legis.wisconsin.gov/2019/proposals/ab60","AB 0060")</f>
        <v>AB 0060</v>
      </c>
      <c r="B21" s="4" t="s">
        <v>47</v>
      </c>
      <c r="C21" s="19" t="s">
        <v>48</v>
      </c>
      <c r="D21" s="6">
        <v>43531</v>
      </c>
      <c r="E21" s="14"/>
      <c r="F21" s="19"/>
      <c r="G21" s="5"/>
      <c r="H21" s="5"/>
      <c r="I21" s="8"/>
      <c r="J21" s="8"/>
      <c r="K21" s="5"/>
      <c r="L21" s="14"/>
      <c r="M21" s="14"/>
      <c r="N21" s="5"/>
      <c r="O21" s="5"/>
      <c r="P21" s="9"/>
      <c r="Q21" s="9"/>
      <c r="R21" s="9"/>
      <c r="S21" s="9"/>
      <c r="T21" s="9"/>
      <c r="U21" s="9"/>
      <c r="V21" s="9"/>
      <c r="W21" s="9"/>
      <c r="X21" s="9"/>
      <c r="Y21" s="9"/>
      <c r="Z21" s="9"/>
      <c r="AA21" s="9"/>
      <c r="AB21" s="9"/>
      <c r="AC21" s="9"/>
      <c r="AD21" s="9"/>
      <c r="AE21" s="9"/>
      <c r="AF21" s="9"/>
      <c r="AG21" s="9"/>
    </row>
    <row r="22" spans="1:33" ht="24" x14ac:dyDescent="0.2">
      <c r="A22" s="3" t="str">
        <f>HYPERLINK("https://docs.legis.wisconsin.gov/2019/proposals/reg/asm/bill/ab65","AB 0065")</f>
        <v>AB 0065</v>
      </c>
      <c r="B22" s="4" t="s">
        <v>49</v>
      </c>
      <c r="C22" s="19" t="s">
        <v>50</v>
      </c>
      <c r="D22" s="6">
        <v>43531</v>
      </c>
      <c r="E22" s="3" t="str">
        <f>HYPERLINK("https://docs.legis.wisconsin.gov/2019/proposals/sb73","SB 0073")</f>
        <v>SB 0073</v>
      </c>
      <c r="F22" s="19"/>
      <c r="G22" s="5"/>
      <c r="H22" s="5"/>
      <c r="I22" s="8"/>
      <c r="J22" s="8"/>
      <c r="K22" s="5"/>
      <c r="L22" s="14"/>
      <c r="M22" s="5"/>
      <c r="N22" s="5"/>
      <c r="O22" s="5"/>
      <c r="P22" s="9"/>
      <c r="Q22" s="9"/>
      <c r="R22" s="9"/>
      <c r="S22" s="9"/>
      <c r="T22" s="9"/>
      <c r="U22" s="9"/>
      <c r="V22" s="9"/>
      <c r="W22" s="9"/>
      <c r="X22" s="9"/>
      <c r="Y22" s="9"/>
      <c r="Z22" s="9"/>
      <c r="AA22" s="9"/>
      <c r="AB22" s="9"/>
      <c r="AC22" s="9"/>
      <c r="AD22" s="9"/>
      <c r="AE22" s="9"/>
      <c r="AF22" s="9"/>
      <c r="AG22" s="9"/>
    </row>
    <row r="23" spans="1:33" ht="24" x14ac:dyDescent="0.2">
      <c r="A23" s="3" t="str">
        <f>HYPERLINK("https://docs.legis.wisconsin.gov/2019/proposals/reg/asm/bill/ab66","AB 0066")</f>
        <v>AB 0066</v>
      </c>
      <c r="B23" s="4" t="s">
        <v>51</v>
      </c>
      <c r="C23" s="19" t="s">
        <v>52</v>
      </c>
      <c r="D23" s="6">
        <v>43531</v>
      </c>
      <c r="E23" s="3" t="str">
        <f>HYPERLINK("https://docs.legis.wisconsin.gov/2019/proposals/sb82","SB 0082")</f>
        <v>SB 0082</v>
      </c>
      <c r="F23" s="19"/>
      <c r="G23" s="5"/>
      <c r="H23" s="5"/>
      <c r="I23" s="17"/>
      <c r="J23" s="17"/>
      <c r="K23" s="14"/>
      <c r="L23" s="14"/>
      <c r="M23" s="14"/>
      <c r="N23" s="5"/>
      <c r="O23" s="5"/>
      <c r="P23" s="9"/>
      <c r="Q23" s="9"/>
      <c r="R23" s="9"/>
      <c r="S23" s="9"/>
      <c r="T23" s="9"/>
      <c r="U23" s="9"/>
      <c r="V23" s="9"/>
      <c r="W23" s="9"/>
      <c r="X23" s="9"/>
      <c r="Y23" s="9"/>
      <c r="Z23" s="9"/>
      <c r="AA23" s="9"/>
      <c r="AB23" s="9"/>
      <c r="AC23" s="9"/>
      <c r="AD23" s="9"/>
      <c r="AE23" s="9"/>
      <c r="AF23" s="9"/>
      <c r="AG23" s="9"/>
    </row>
    <row r="24" spans="1:33" ht="24" x14ac:dyDescent="0.2">
      <c r="A24" s="3" t="str">
        <f>HYPERLINK("http://docs.legis.wisconsin.gov/2019/proposals/ab67","AB 0067")</f>
        <v>AB 0067</v>
      </c>
      <c r="B24" s="4" t="s">
        <v>53</v>
      </c>
      <c r="C24" s="19" t="s">
        <v>52</v>
      </c>
      <c r="D24" s="6">
        <v>43531</v>
      </c>
      <c r="E24" s="3" t="str">
        <f>HYPERLINK("http://docs.legis.wisconsin.gov/2019/proposals/sb64","SB 64")</f>
        <v>SB 64</v>
      </c>
      <c r="F24" s="19"/>
      <c r="G24" s="5"/>
      <c r="H24" s="14"/>
      <c r="I24" s="17"/>
      <c r="J24" s="17"/>
      <c r="K24" s="14"/>
      <c r="L24" s="14"/>
      <c r="M24" s="3" t="str">
        <f>HYPERLINK("http://docs.legis.wisconsin.gov/misc/lc/hearing_testimony_and_materials/2019/ab67/ab0067_2019_04_04.pdf","Information")</f>
        <v>Information</v>
      </c>
      <c r="N24" s="3" t="str">
        <f>HYPERLINK("https://docs.legis.wisconsin.gov/2019/related/acts/85","85")</f>
        <v>85</v>
      </c>
      <c r="O24" s="3" t="str">
        <f>HYPERLINK("https://docs.legis.wisconsin.gov/2019/related/lcactmemo/act085","Y")</f>
        <v>Y</v>
      </c>
      <c r="P24" s="9"/>
      <c r="Q24" s="9"/>
      <c r="R24" s="9"/>
      <c r="S24" s="9"/>
      <c r="T24" s="9"/>
      <c r="U24" s="9"/>
      <c r="V24" s="9"/>
      <c r="W24" s="9"/>
      <c r="X24" s="9"/>
      <c r="Y24" s="9"/>
      <c r="Z24" s="9"/>
      <c r="AA24" s="9"/>
      <c r="AB24" s="9"/>
      <c r="AC24" s="9"/>
      <c r="AD24" s="9"/>
      <c r="AE24" s="9"/>
      <c r="AF24" s="9"/>
      <c r="AG24" s="9"/>
    </row>
    <row r="25" spans="1:33" ht="24" x14ac:dyDescent="0.2">
      <c r="A25" s="3" t="str">
        <f>HYPERLINK("https://docs.legis.wisconsin.gov/2019/proposals/reg/asm/bill/ab72","AB 0072")</f>
        <v>AB 0072</v>
      </c>
      <c r="B25" s="4" t="s">
        <v>54</v>
      </c>
      <c r="C25" s="19" t="s">
        <v>55</v>
      </c>
      <c r="D25" s="6">
        <v>43531</v>
      </c>
      <c r="E25" s="3" t="str">
        <f>HYPERLINK("https://docs.legis.wisconsin.gov/2019/proposals/sb72","SB 0072")</f>
        <v>SB 0072</v>
      </c>
      <c r="F25" s="19"/>
      <c r="G25" s="5"/>
      <c r="H25" s="5"/>
      <c r="I25" s="8"/>
      <c r="J25" s="8"/>
      <c r="K25" s="5"/>
      <c r="L25" s="14"/>
      <c r="M25" s="5"/>
      <c r="N25" s="5"/>
      <c r="O25" s="5"/>
      <c r="P25" s="9"/>
      <c r="Q25" s="9"/>
      <c r="R25" s="9"/>
      <c r="S25" s="9"/>
      <c r="T25" s="9"/>
      <c r="U25" s="9"/>
      <c r="V25" s="9"/>
      <c r="W25" s="9"/>
      <c r="X25" s="9"/>
      <c r="Y25" s="9"/>
      <c r="Z25" s="9"/>
      <c r="AA25" s="9"/>
      <c r="AB25" s="9"/>
      <c r="AC25" s="9"/>
      <c r="AD25" s="9"/>
      <c r="AE25" s="9"/>
      <c r="AF25" s="9"/>
      <c r="AG25" s="9"/>
    </row>
    <row r="26" spans="1:33" ht="24" x14ac:dyDescent="0.2">
      <c r="A26" s="3" t="str">
        <f>HYPERLINK("https://docs.legis.wisconsin.gov/2019/proposals/reg/asm/bill/ab82","AB 0082")</f>
        <v>AB 0082</v>
      </c>
      <c r="B26" s="4" t="s">
        <v>56</v>
      </c>
      <c r="C26" s="19" t="s">
        <v>30</v>
      </c>
      <c r="D26" s="6">
        <v>43543</v>
      </c>
      <c r="E26" s="3" t="str">
        <f>HYPERLINK("https://docs.legis.wisconsin.gov/2019/proposals/sb117","SB 0117")</f>
        <v>SB 0117</v>
      </c>
      <c r="F26" s="19"/>
      <c r="G26" s="5"/>
      <c r="H26" s="5"/>
      <c r="I26" s="8"/>
      <c r="J26" s="8"/>
      <c r="K26" s="5"/>
      <c r="L26" s="14"/>
      <c r="M26" s="14"/>
      <c r="N26" s="5"/>
      <c r="O26" s="5"/>
      <c r="P26" s="9"/>
      <c r="Q26" s="9"/>
      <c r="R26" s="9"/>
      <c r="S26" s="9"/>
      <c r="T26" s="9"/>
      <c r="U26" s="9"/>
      <c r="V26" s="9"/>
      <c r="W26" s="9"/>
      <c r="X26" s="9"/>
      <c r="Y26" s="9"/>
      <c r="Z26" s="9"/>
      <c r="AA26" s="9"/>
      <c r="AB26" s="9"/>
      <c r="AC26" s="9"/>
      <c r="AD26" s="9"/>
      <c r="AE26" s="9"/>
      <c r="AF26" s="9"/>
      <c r="AG26" s="9"/>
    </row>
    <row r="27" spans="1:33" ht="24" x14ac:dyDescent="0.2">
      <c r="A27" s="3" t="str">
        <f>HYPERLINK("http://docs.legis.wisconsin.gov/2019/proposals/ab84","AB 0084")</f>
        <v>AB 0084</v>
      </c>
      <c r="B27" s="4" t="s">
        <v>57</v>
      </c>
      <c r="C27" s="19" t="s">
        <v>58</v>
      </c>
      <c r="D27" s="6">
        <v>43543</v>
      </c>
      <c r="E27" s="14"/>
      <c r="F27" s="13" t="str">
        <f>HYPERLINK("http://docs.legis.wisconsin.gov/document/fiscalestimates/2019/REG/AB84","Y")</f>
        <v>Y</v>
      </c>
      <c r="G27" s="14"/>
      <c r="H27" s="14"/>
      <c r="I27" s="17"/>
      <c r="J27" s="17"/>
      <c r="K27" s="14"/>
      <c r="L27" s="14"/>
      <c r="M27" s="3" t="str">
        <f>HYPERLINK("http://docs.legis.wisconsin.gov/misc/lc/hearing_testimony_and_materials/2019/ab84/ab0084_2019_05_30.pdf","Information")</f>
        <v>Information</v>
      </c>
      <c r="N27" s="5"/>
      <c r="O27" s="5"/>
      <c r="P27" s="9"/>
      <c r="Q27" s="9"/>
      <c r="R27" s="9"/>
      <c r="S27" s="9"/>
      <c r="T27" s="9"/>
      <c r="U27" s="9"/>
      <c r="V27" s="9"/>
      <c r="W27" s="9"/>
      <c r="X27" s="9"/>
      <c r="Y27" s="9"/>
      <c r="Z27" s="9"/>
      <c r="AA27" s="9"/>
      <c r="AB27" s="9"/>
      <c r="AC27" s="9"/>
      <c r="AD27" s="9"/>
      <c r="AE27" s="9"/>
      <c r="AF27" s="9"/>
      <c r="AG27" s="9"/>
    </row>
    <row r="28" spans="1:33" ht="36" x14ac:dyDescent="0.2">
      <c r="A28" s="3" t="str">
        <f>HYPERLINK("http://docs.legis.wisconsin.gov/2019/proposals/ab105","AB 0105")</f>
        <v>AB 0105</v>
      </c>
      <c r="B28" s="4" t="s">
        <v>59</v>
      </c>
      <c r="C28" s="19" t="s">
        <v>32</v>
      </c>
      <c r="D28" s="6">
        <v>43546</v>
      </c>
      <c r="E28" s="14"/>
      <c r="F28" s="13" t="str">
        <f>HYPERLINK("http://docs.legis.wisconsin.gov/document/fiscalestimates/2019/REG/AB105","Y")</f>
        <v>Y</v>
      </c>
      <c r="G28" s="14"/>
      <c r="H28" s="5"/>
      <c r="I28" s="8"/>
      <c r="J28" s="8"/>
      <c r="K28" s="5"/>
      <c r="L28" s="14"/>
      <c r="M28" s="81" t="s">
        <v>60</v>
      </c>
      <c r="N28" s="5"/>
      <c r="O28" s="5"/>
      <c r="P28" s="9"/>
      <c r="Q28" s="9"/>
      <c r="R28" s="9"/>
      <c r="S28" s="9"/>
      <c r="T28" s="9"/>
      <c r="U28" s="9"/>
      <c r="V28" s="9"/>
      <c r="W28" s="9"/>
      <c r="X28" s="9"/>
      <c r="Y28" s="9"/>
      <c r="Z28" s="9"/>
      <c r="AA28" s="9"/>
      <c r="AB28" s="9"/>
      <c r="AC28" s="9"/>
      <c r="AD28" s="9"/>
      <c r="AE28" s="9"/>
      <c r="AF28" s="9"/>
      <c r="AG28" s="9"/>
    </row>
    <row r="29" spans="1:33" ht="36" x14ac:dyDescent="0.2">
      <c r="A29" s="3" t="str">
        <f>HYPERLINK("http://docs.legis.wisconsin.gov/2019/proposals/ab106","AB 0106")</f>
        <v>AB 0106</v>
      </c>
      <c r="B29" s="4" t="s">
        <v>61</v>
      </c>
      <c r="C29" s="19" t="s">
        <v>32</v>
      </c>
      <c r="D29" s="6">
        <v>43546</v>
      </c>
      <c r="E29" s="14"/>
      <c r="F29" s="13" t="str">
        <f>HYPERLINK("http://docs.legis.wisconsin.gov/2019/related/fe/ab106","Y")</f>
        <v>Y</v>
      </c>
      <c r="G29" s="14"/>
      <c r="H29" s="5"/>
      <c r="I29" s="8"/>
      <c r="J29" s="8"/>
      <c r="K29" s="5"/>
      <c r="L29" s="14"/>
      <c r="M29" s="14"/>
      <c r="N29" s="5"/>
      <c r="O29" s="5"/>
      <c r="P29" s="9"/>
      <c r="Q29" s="9"/>
      <c r="R29" s="9"/>
      <c r="S29" s="9"/>
      <c r="T29" s="9"/>
      <c r="U29" s="9"/>
      <c r="V29" s="9"/>
      <c r="W29" s="9"/>
      <c r="X29" s="9"/>
      <c r="Y29" s="9"/>
      <c r="Z29" s="9"/>
      <c r="AA29" s="9"/>
      <c r="AB29" s="9"/>
      <c r="AC29" s="9"/>
      <c r="AD29" s="9"/>
      <c r="AE29" s="9"/>
      <c r="AF29" s="9"/>
      <c r="AG29" s="9"/>
    </row>
    <row r="30" spans="1:33" ht="36" x14ac:dyDescent="0.2">
      <c r="A30" s="3" t="str">
        <f>HYPERLINK("http://docs.legis.wisconsin.gov/2019/proposals/reg/asm/bill/ab107","AB 0107")</f>
        <v>AB 0107</v>
      </c>
      <c r="B30" s="4" t="s">
        <v>62</v>
      </c>
      <c r="C30" s="19" t="s">
        <v>32</v>
      </c>
      <c r="D30" s="6">
        <v>43546</v>
      </c>
      <c r="E30" s="14"/>
      <c r="F30" s="19"/>
      <c r="G30" s="5"/>
      <c r="H30" s="5"/>
      <c r="I30" s="8"/>
      <c r="J30" s="8"/>
      <c r="K30" s="5"/>
      <c r="L30" s="14"/>
      <c r="M30" s="81" t="s">
        <v>60</v>
      </c>
      <c r="N30" s="5"/>
      <c r="O30" s="5"/>
      <c r="P30" s="9"/>
      <c r="Q30" s="9"/>
      <c r="R30" s="9"/>
      <c r="S30" s="9"/>
      <c r="T30" s="9"/>
      <c r="U30" s="9"/>
      <c r="V30" s="9"/>
      <c r="W30" s="9"/>
      <c r="X30" s="9"/>
      <c r="Y30" s="9"/>
      <c r="Z30" s="9"/>
      <c r="AA30" s="9"/>
      <c r="AB30" s="9"/>
      <c r="AC30" s="9"/>
      <c r="AD30" s="9"/>
      <c r="AE30" s="9"/>
      <c r="AF30" s="9"/>
      <c r="AG30" s="9"/>
    </row>
    <row r="31" spans="1:33" ht="48" x14ac:dyDescent="0.2">
      <c r="A31" s="3" t="str">
        <f>HYPERLINK("http://docs.legis.wisconsin.gov/2019/proposals/reg/asm/bill/ab108","AB 0108")</f>
        <v>AB 0108</v>
      </c>
      <c r="B31" s="4" t="s">
        <v>63</v>
      </c>
      <c r="C31" s="19" t="s">
        <v>32</v>
      </c>
      <c r="D31" s="6">
        <v>43546</v>
      </c>
      <c r="E31" s="14"/>
      <c r="F31" s="19"/>
      <c r="G31" s="5"/>
      <c r="H31" s="5"/>
      <c r="I31" s="8"/>
      <c r="J31" s="8"/>
      <c r="K31" s="5"/>
      <c r="L31" s="14"/>
      <c r="M31" s="14"/>
      <c r="N31" s="5"/>
      <c r="O31" s="5"/>
      <c r="P31" s="9"/>
      <c r="Q31" s="9"/>
      <c r="R31" s="9"/>
      <c r="S31" s="9"/>
      <c r="T31" s="9"/>
      <c r="U31" s="9"/>
      <c r="V31" s="9"/>
      <c r="W31" s="9"/>
      <c r="X31" s="9"/>
      <c r="Y31" s="9"/>
      <c r="Z31" s="9"/>
      <c r="AA31" s="9"/>
      <c r="AB31" s="9"/>
      <c r="AC31" s="9"/>
      <c r="AD31" s="9"/>
      <c r="AE31" s="9"/>
      <c r="AF31" s="9"/>
      <c r="AG31" s="9"/>
    </row>
    <row r="32" spans="1:33" ht="36" x14ac:dyDescent="0.2">
      <c r="A32" s="3" t="str">
        <f>HYPERLINK("http://docs.legis.wisconsin.gov/2019/proposals/reg/asm/bill/ab109","AB 0109")</f>
        <v>AB 0109</v>
      </c>
      <c r="B32" s="4" t="s">
        <v>64</v>
      </c>
      <c r="C32" s="19" t="s">
        <v>32</v>
      </c>
      <c r="D32" s="6">
        <v>43546</v>
      </c>
      <c r="E32" s="14"/>
      <c r="F32" s="19"/>
      <c r="G32" s="5"/>
      <c r="H32" s="5"/>
      <c r="I32" s="8"/>
      <c r="J32" s="8"/>
      <c r="K32" s="5"/>
      <c r="L32" s="14"/>
      <c r="M32" s="81" t="s">
        <v>60</v>
      </c>
      <c r="N32" s="5"/>
      <c r="O32" s="5"/>
      <c r="P32" s="9"/>
      <c r="Q32" s="9"/>
      <c r="R32" s="9"/>
      <c r="S32" s="9"/>
      <c r="T32" s="9"/>
      <c r="U32" s="9"/>
      <c r="V32" s="9"/>
      <c r="W32" s="9"/>
      <c r="X32" s="9"/>
      <c r="Y32" s="9"/>
      <c r="Z32" s="9"/>
      <c r="AA32" s="9"/>
      <c r="AB32" s="9"/>
      <c r="AC32" s="9"/>
      <c r="AD32" s="9"/>
      <c r="AE32" s="9"/>
      <c r="AF32" s="9"/>
      <c r="AG32" s="9"/>
    </row>
    <row r="33" spans="1:33" ht="36" x14ac:dyDescent="0.2">
      <c r="A33" s="3" t="str">
        <f>HYPERLINK("http://docs.legis.wisconsin.gov/2019/proposals/reg/asm/bill/ab110","AB 0110")</f>
        <v>AB 0110</v>
      </c>
      <c r="B33" s="4" t="s">
        <v>65</v>
      </c>
      <c r="C33" s="19" t="s">
        <v>32</v>
      </c>
      <c r="D33" s="6">
        <v>43546</v>
      </c>
      <c r="E33" s="14"/>
      <c r="F33" s="13" t="str">
        <f>HYPERLINK("http://docs.legis.wisconsin.gov/2019/related/fe/ab110","Y")</f>
        <v>Y</v>
      </c>
      <c r="G33" s="14"/>
      <c r="H33" s="14"/>
      <c r="I33" s="17"/>
      <c r="J33" s="17"/>
      <c r="K33" s="14"/>
      <c r="L33" s="14"/>
      <c r="M33" s="3" t="str">
        <f>HYPERLINK("http://docs.legis.wisconsin.gov/misc/lc/hearing_testimony_and_materials/2019/ab110/ab0110_2019_08_13.pdf","Information")</f>
        <v>Information</v>
      </c>
      <c r="N33" s="3" t="str">
        <f>HYPERLINK("https://docs.legis.wisconsin.gov/2019/related/acts/86","86")</f>
        <v>86</v>
      </c>
      <c r="O33" s="3" t="str">
        <f>HYPERLINK("https://docs.legis.wisconsin.gov/2019/related/lcactmemo/act086","Y")</f>
        <v>Y</v>
      </c>
      <c r="P33" s="9"/>
      <c r="Q33" s="9"/>
      <c r="R33" s="9"/>
      <c r="S33" s="9"/>
      <c r="T33" s="9"/>
      <c r="U33" s="9"/>
      <c r="V33" s="9"/>
      <c r="W33" s="9"/>
      <c r="X33" s="9"/>
      <c r="Y33" s="9"/>
      <c r="Z33" s="9"/>
      <c r="AA33" s="9"/>
      <c r="AB33" s="9"/>
      <c r="AC33" s="9"/>
      <c r="AD33" s="9"/>
      <c r="AE33" s="9"/>
      <c r="AF33" s="9"/>
      <c r="AG33" s="9"/>
    </row>
    <row r="34" spans="1:33" ht="36" x14ac:dyDescent="0.2">
      <c r="A34" s="3" t="str">
        <f>HYPERLINK("https://docs.legis.wisconsin.gov/2019/proposals/reg/asm/bill/ab114","AB 0114")</f>
        <v>AB 0114</v>
      </c>
      <c r="B34" s="4" t="s">
        <v>66</v>
      </c>
      <c r="C34" s="19" t="s">
        <v>67</v>
      </c>
      <c r="D34" s="6">
        <v>43549</v>
      </c>
      <c r="E34" s="3" t="str">
        <f>HYPERLINK("https://docs.legis.wisconsin.gov/2019/proposals/sb100","SB 0100")</f>
        <v>SB 0100</v>
      </c>
      <c r="F34" s="13" t="str">
        <f>HYPERLINK("https://docs.legis.wisconsin.gov/2019/related/fe/sb100","Y")</f>
        <v>Y</v>
      </c>
      <c r="G34" s="14"/>
      <c r="H34" s="5"/>
      <c r="I34" s="8"/>
      <c r="J34" s="8"/>
      <c r="K34" s="5"/>
      <c r="L34" s="14"/>
      <c r="M34" s="14"/>
      <c r="N34" s="5"/>
      <c r="O34" s="5"/>
      <c r="P34" s="9"/>
      <c r="Q34" s="9"/>
      <c r="R34" s="9"/>
      <c r="S34" s="9"/>
      <c r="T34" s="9"/>
      <c r="U34" s="9"/>
      <c r="V34" s="9"/>
      <c r="W34" s="9"/>
      <c r="X34" s="9"/>
      <c r="Y34" s="9"/>
      <c r="Z34" s="9"/>
      <c r="AA34" s="9"/>
      <c r="AB34" s="9"/>
      <c r="AC34" s="9"/>
      <c r="AD34" s="9"/>
      <c r="AE34" s="9"/>
      <c r="AF34" s="9"/>
      <c r="AG34" s="9"/>
    </row>
    <row r="35" spans="1:33" ht="36" x14ac:dyDescent="0.2">
      <c r="A35" s="3" t="str">
        <f>HYPERLINK("http://docs.legis.wisconsin.gov/2019/proposals/reg/asm/bill/ab115","AB 0115")</f>
        <v>AB 0115</v>
      </c>
      <c r="B35" s="4" t="s">
        <v>68</v>
      </c>
      <c r="C35" s="19" t="s">
        <v>69</v>
      </c>
      <c r="D35" s="6">
        <v>43549</v>
      </c>
      <c r="E35" s="3" t="str">
        <f>HYPERLINK("http://docs.legis.wisconsin.gov/2019/proposals/reg/asm/bill/sb112","SB 112")</f>
        <v>SB 112</v>
      </c>
      <c r="F35" s="13" t="str">
        <f>HYPERLINK("http://docs.legis.wisconsin.gov/2019/related/fe/ab115","Y")</f>
        <v>Y</v>
      </c>
      <c r="G35" s="14"/>
      <c r="H35" s="14"/>
      <c r="I35" s="17"/>
      <c r="J35" s="17"/>
      <c r="K35" s="14"/>
      <c r="L35" s="14"/>
      <c r="M35" s="3" t="str">
        <f>HYPERLINK("http://docs.legis.wisconsin.gov/misc/lc/hearing_testimony_and_materials/2019/ab115/ab0115_2019_09_19.pdf","Oppose")</f>
        <v>Oppose</v>
      </c>
      <c r="N35" s="5"/>
      <c r="O35" s="5"/>
      <c r="P35" s="9"/>
      <c r="Q35" s="9"/>
      <c r="R35" s="9"/>
      <c r="S35" s="9"/>
      <c r="T35" s="9"/>
      <c r="U35" s="9"/>
      <c r="V35" s="9"/>
      <c r="W35" s="9"/>
      <c r="X35" s="9"/>
      <c r="Y35" s="9"/>
      <c r="Z35" s="9"/>
      <c r="AA35" s="9"/>
      <c r="AB35" s="9"/>
      <c r="AC35" s="9"/>
      <c r="AD35" s="9"/>
      <c r="AE35" s="9"/>
      <c r="AF35" s="9"/>
      <c r="AG35" s="9"/>
    </row>
    <row r="36" spans="1:33" ht="36" x14ac:dyDescent="0.2">
      <c r="A36" s="3" t="str">
        <f>HYPERLINK("https://docs.legis.wisconsin.gov/2019/proposals/reg/asm/bill/ab122","AB 0122")</f>
        <v>AB 0122</v>
      </c>
      <c r="B36" s="4" t="s">
        <v>70</v>
      </c>
      <c r="C36" s="19" t="s">
        <v>71</v>
      </c>
      <c r="D36" s="6">
        <v>43549</v>
      </c>
      <c r="E36" s="3" t="str">
        <f>HYPERLINK("https://docs.legis.wisconsin.gov/2019/proposals/sb124","SB 0124")</f>
        <v>SB 0124</v>
      </c>
      <c r="F36" s="19"/>
      <c r="G36" s="5"/>
      <c r="H36" s="5"/>
      <c r="I36" s="17"/>
      <c r="J36" s="17"/>
      <c r="K36" s="14"/>
      <c r="L36" s="14"/>
      <c r="M36" s="14"/>
      <c r="N36" s="14"/>
      <c r="O36" s="5"/>
      <c r="P36" s="9"/>
      <c r="Q36" s="9"/>
      <c r="R36" s="9"/>
      <c r="S36" s="9"/>
      <c r="T36" s="9"/>
      <c r="U36" s="9"/>
      <c r="V36" s="9"/>
      <c r="W36" s="9"/>
      <c r="X36" s="9"/>
      <c r="Y36" s="9"/>
      <c r="Z36" s="9"/>
      <c r="AA36" s="9"/>
      <c r="AB36" s="9"/>
      <c r="AC36" s="9"/>
      <c r="AD36" s="9"/>
      <c r="AE36" s="9"/>
      <c r="AF36" s="9"/>
      <c r="AG36" s="9"/>
    </row>
    <row r="37" spans="1:33" ht="36" x14ac:dyDescent="0.2">
      <c r="A37" s="3" t="str">
        <f>HYPERLINK("http://docs.legis.wisconsin.gov/2019/proposals/reg/asm/bill/ab129","AB 0129")</f>
        <v>AB 0129</v>
      </c>
      <c r="B37" s="4" t="s">
        <v>72</v>
      </c>
      <c r="C37" s="19" t="s">
        <v>21</v>
      </c>
      <c r="D37" s="6">
        <v>43549</v>
      </c>
      <c r="E37" s="3" t="str">
        <f>HYPERLINK("http://docs.legis.wisconsin.gov/2019/proposals/sb111","SB 111")</f>
        <v>SB 111</v>
      </c>
      <c r="F37" s="19"/>
      <c r="G37" s="5"/>
      <c r="H37" s="5"/>
      <c r="I37" s="8"/>
      <c r="J37" s="8"/>
      <c r="K37" s="5"/>
      <c r="L37" s="14"/>
      <c r="M37" s="14"/>
      <c r="N37" s="5"/>
      <c r="O37" s="5"/>
      <c r="P37" s="9"/>
      <c r="Q37" s="9"/>
      <c r="R37" s="9"/>
      <c r="S37" s="9"/>
      <c r="T37" s="9"/>
      <c r="U37" s="9"/>
      <c r="V37" s="9"/>
      <c r="W37" s="9"/>
      <c r="X37" s="9"/>
      <c r="Y37" s="9"/>
      <c r="Z37" s="9"/>
      <c r="AA37" s="9"/>
      <c r="AB37" s="9"/>
      <c r="AC37" s="9"/>
      <c r="AD37" s="9"/>
      <c r="AE37" s="9"/>
      <c r="AF37" s="9"/>
      <c r="AG37" s="9"/>
    </row>
    <row r="38" spans="1:33" ht="48" x14ac:dyDescent="0.2">
      <c r="A38" s="3" t="str">
        <f>HYPERLINK("http://docs.legis.wisconsin.gov/2019/proposals/reg/asm/bill/ab149","AB 0149")</f>
        <v>AB 0149</v>
      </c>
      <c r="B38" s="4" t="s">
        <v>73</v>
      </c>
      <c r="C38" s="19" t="s">
        <v>71</v>
      </c>
      <c r="D38" s="6">
        <v>43558</v>
      </c>
      <c r="E38" s="3" t="str">
        <f>HYPERLINK("http://docs.legis.wisconsin.gov/2019/proposals/reg/asm/bill/sb138","SB 138")</f>
        <v>SB 138</v>
      </c>
      <c r="F38" s="13" t="str">
        <f>HYPERLINK("http://docs.legis.wisconsin.gov/2019/related/fe/ab149","Y")</f>
        <v>Y</v>
      </c>
      <c r="G38" s="14"/>
      <c r="H38" s="5"/>
      <c r="I38" s="17"/>
      <c r="J38" s="17"/>
      <c r="K38" s="14"/>
      <c r="L38" s="14"/>
      <c r="M38" s="14"/>
      <c r="N38" s="14"/>
      <c r="O38" s="14"/>
      <c r="P38" s="9"/>
      <c r="Q38" s="9"/>
      <c r="R38" s="9"/>
      <c r="S38" s="9"/>
      <c r="T38" s="9"/>
      <c r="U38" s="9"/>
      <c r="V38" s="9"/>
      <c r="W38" s="9"/>
      <c r="X38" s="9"/>
      <c r="Y38" s="9"/>
      <c r="Z38" s="9"/>
      <c r="AA38" s="9"/>
      <c r="AB38" s="9"/>
      <c r="AC38" s="9"/>
      <c r="AD38" s="9"/>
      <c r="AE38" s="9"/>
      <c r="AF38" s="9"/>
      <c r="AG38" s="9"/>
    </row>
    <row r="39" spans="1:33" ht="24" x14ac:dyDescent="0.2">
      <c r="A39" s="3" t="str">
        <f>HYPERLINK("https://docs.legis.wisconsin.gov/2019/proposals/reg/asm/bill/ab160","AB 0160")</f>
        <v>AB 0160</v>
      </c>
      <c r="B39" s="4" t="s">
        <v>74</v>
      </c>
      <c r="C39" s="19" t="s">
        <v>75</v>
      </c>
      <c r="D39" s="6">
        <v>43566</v>
      </c>
      <c r="E39" s="3" t="str">
        <f>HYPERLINK("https://docs.legis.wisconsin.gov/2019/proposals/sb150","SB 0150")</f>
        <v>SB 0150</v>
      </c>
      <c r="F39" s="19"/>
      <c r="G39" s="5"/>
      <c r="H39" s="5"/>
      <c r="I39" s="8"/>
      <c r="J39" s="8"/>
      <c r="K39" s="5"/>
      <c r="L39" s="14"/>
      <c r="M39" s="14"/>
      <c r="N39" s="5"/>
      <c r="O39" s="5"/>
      <c r="P39" s="9"/>
      <c r="Q39" s="9"/>
      <c r="R39" s="9"/>
      <c r="S39" s="9"/>
      <c r="T39" s="9"/>
      <c r="U39" s="9"/>
      <c r="V39" s="9"/>
      <c r="W39" s="9"/>
      <c r="X39" s="9"/>
      <c r="Y39" s="9"/>
      <c r="Z39" s="9"/>
      <c r="AA39" s="9"/>
      <c r="AB39" s="9"/>
      <c r="AC39" s="9"/>
      <c r="AD39" s="9"/>
      <c r="AE39" s="9"/>
      <c r="AF39" s="9"/>
      <c r="AG39" s="9"/>
    </row>
    <row r="40" spans="1:33" ht="36" x14ac:dyDescent="0.2">
      <c r="A40" s="3" t="str">
        <f>HYPERLINK("https://docs.legis.wisconsin.gov/2019/proposals/reg/asm/bill/ab161","AB 0161")</f>
        <v>AB 0161</v>
      </c>
      <c r="B40" s="4" t="s">
        <v>76</v>
      </c>
      <c r="C40" s="19" t="s">
        <v>77</v>
      </c>
      <c r="D40" s="6">
        <v>43566</v>
      </c>
      <c r="E40" s="3" t="str">
        <f>HYPERLINK("https://docs.legis.wisconsin.gov/2019/proposals/sb142","SB 0142")</f>
        <v>SB 0142</v>
      </c>
      <c r="F40" s="19"/>
      <c r="G40" s="5"/>
      <c r="H40" s="5"/>
      <c r="I40" s="8"/>
      <c r="J40" s="8"/>
      <c r="K40" s="5"/>
      <c r="L40" s="14"/>
      <c r="M40" s="5"/>
      <c r="N40" s="5"/>
      <c r="O40" s="5"/>
      <c r="P40" s="9"/>
      <c r="Q40" s="9"/>
      <c r="R40" s="9"/>
      <c r="S40" s="9"/>
      <c r="T40" s="9"/>
      <c r="U40" s="9"/>
      <c r="V40" s="9"/>
      <c r="W40" s="9"/>
      <c r="X40" s="9"/>
      <c r="Y40" s="9"/>
      <c r="Z40" s="9"/>
      <c r="AA40" s="9"/>
      <c r="AB40" s="9"/>
      <c r="AC40" s="9"/>
      <c r="AD40" s="9"/>
      <c r="AE40" s="9"/>
      <c r="AF40" s="9"/>
      <c r="AG40" s="9"/>
    </row>
    <row r="41" spans="1:33" ht="24" x14ac:dyDescent="0.2">
      <c r="A41" s="3" t="str">
        <f>HYPERLINK("http://docs.legis.wisconsin.gov/2019/proposals/reg/asm/bill/ab170","AB 0170")</f>
        <v>AB 0170</v>
      </c>
      <c r="B41" s="4" t="s">
        <v>78</v>
      </c>
      <c r="C41" s="19" t="s">
        <v>79</v>
      </c>
      <c r="D41" s="6">
        <v>43573</v>
      </c>
      <c r="E41" s="3" t="str">
        <f>HYPERLINK("http://docs.legis.wisconsin.gov/2019/proposals/sb160","SB 160")</f>
        <v>SB 160</v>
      </c>
      <c r="F41" s="13" t="str">
        <f>HYPERLINK("http://docs.legis.wisconsin.gov/2019/related/fe/ab170","Y")</f>
        <v>Y</v>
      </c>
      <c r="G41" s="14"/>
      <c r="H41" s="5"/>
      <c r="I41" s="8"/>
      <c r="J41" s="8"/>
      <c r="K41" s="5"/>
      <c r="L41" s="14"/>
      <c r="M41" s="14"/>
      <c r="N41" s="5"/>
      <c r="O41" s="5"/>
      <c r="P41" s="9"/>
      <c r="Q41" s="9"/>
      <c r="R41" s="9"/>
      <c r="S41" s="9"/>
      <c r="T41" s="9"/>
      <c r="U41" s="9"/>
      <c r="V41" s="9"/>
      <c r="W41" s="9"/>
      <c r="X41" s="9"/>
      <c r="Y41" s="9"/>
      <c r="Z41" s="9"/>
      <c r="AA41" s="9"/>
      <c r="AB41" s="9"/>
      <c r="AC41" s="9"/>
      <c r="AD41" s="9"/>
      <c r="AE41" s="9"/>
      <c r="AF41" s="9"/>
      <c r="AG41" s="9"/>
    </row>
    <row r="42" spans="1:33" ht="36" x14ac:dyDescent="0.2">
      <c r="A42" s="3" t="str">
        <f>HYPERLINK("https://docs.legis.wisconsin.gov/2019/proposals/reg/asm/bill/ab174","AB 0174")</f>
        <v>AB 0174</v>
      </c>
      <c r="B42" s="4" t="s">
        <v>80</v>
      </c>
      <c r="C42" s="19" t="s">
        <v>27</v>
      </c>
      <c r="D42" s="6">
        <v>43573</v>
      </c>
      <c r="E42" s="3" t="str">
        <f>HYPERLINK("https://docs.legis.wisconsin.gov/2019/proposals/sb181","SB 0181")</f>
        <v>SB 0181</v>
      </c>
      <c r="F42" s="19"/>
      <c r="G42" s="5"/>
      <c r="H42" s="5"/>
      <c r="I42" s="8"/>
      <c r="J42" s="8"/>
      <c r="K42" s="5"/>
      <c r="L42" s="14"/>
      <c r="M42" s="14"/>
      <c r="N42" s="5"/>
      <c r="O42" s="5"/>
      <c r="P42" s="9"/>
      <c r="Q42" s="9"/>
      <c r="R42" s="9"/>
      <c r="S42" s="9"/>
      <c r="T42" s="9"/>
      <c r="U42" s="9"/>
      <c r="V42" s="9"/>
      <c r="W42" s="9"/>
      <c r="X42" s="9"/>
      <c r="Y42" s="9"/>
      <c r="Z42" s="9"/>
      <c r="AA42" s="9"/>
      <c r="AB42" s="9"/>
      <c r="AC42" s="9"/>
      <c r="AD42" s="9"/>
      <c r="AE42" s="9"/>
      <c r="AF42" s="9"/>
      <c r="AG42" s="9"/>
    </row>
    <row r="43" spans="1:33" ht="24" x14ac:dyDescent="0.2">
      <c r="A43" s="3" t="str">
        <f>HYPERLINK("https://docs.legis.wisconsin.gov/2019/proposals/reg/asm/bill","AB 0178")</f>
        <v>AB 0178</v>
      </c>
      <c r="B43" s="4" t="s">
        <v>81</v>
      </c>
      <c r="C43" s="19" t="s">
        <v>82</v>
      </c>
      <c r="D43" s="6">
        <v>43573</v>
      </c>
      <c r="E43" s="3" t="str">
        <f>HYPERLINK("https://docs.legis.wisconsin.gov/2019/proposals/sb166","SB 0166")</f>
        <v>SB 0166</v>
      </c>
      <c r="F43" s="19"/>
      <c r="G43" s="5"/>
      <c r="H43" s="5"/>
      <c r="I43" s="8"/>
      <c r="J43" s="8"/>
      <c r="K43" s="5"/>
      <c r="L43" s="14"/>
      <c r="M43" s="14"/>
      <c r="N43" s="14"/>
      <c r="O43" s="14"/>
      <c r="P43" s="9"/>
      <c r="Q43" s="9"/>
      <c r="R43" s="9"/>
      <c r="S43" s="9"/>
      <c r="T43" s="9"/>
      <c r="U43" s="9"/>
      <c r="V43" s="9"/>
      <c r="W43" s="9"/>
      <c r="X43" s="9"/>
      <c r="Y43" s="9"/>
      <c r="Z43" s="9"/>
      <c r="AA43" s="9"/>
      <c r="AB43" s="9"/>
      <c r="AC43" s="9"/>
      <c r="AD43" s="9"/>
      <c r="AE43" s="9"/>
      <c r="AF43" s="9"/>
      <c r="AG43" s="9"/>
    </row>
    <row r="44" spans="1:33" ht="12.75" x14ac:dyDescent="0.2">
      <c r="A44" s="3" t="str">
        <f>HYPERLINK("https://docs.legis.wisconsin.gov/2019/proposals/reg/asm/bill/ab188","AB 0188")</f>
        <v>AB 0188</v>
      </c>
      <c r="B44" s="4" t="s">
        <v>83</v>
      </c>
      <c r="C44" s="19" t="s">
        <v>67</v>
      </c>
      <c r="D44" s="6">
        <v>43580</v>
      </c>
      <c r="E44" s="14" t="s">
        <v>84</v>
      </c>
      <c r="F44" s="13" t="str">
        <f>HYPERLINK("https://docs.legis.wisconsin.gov/2019/related/fe/ab188","Y")</f>
        <v>Y</v>
      </c>
      <c r="G44" s="14"/>
      <c r="H44" s="5"/>
      <c r="I44" s="17"/>
      <c r="J44" s="17"/>
      <c r="K44" s="14"/>
      <c r="L44" s="14"/>
      <c r="M44" s="14"/>
      <c r="N44" s="3" t="str">
        <f>HYPERLINK("https://docs.legis.wisconsin.gov/2019/related/acts/8","8")</f>
        <v>8</v>
      </c>
      <c r="O44" s="3" t="str">
        <f>HYPERLINK("https://docs.legis.wisconsin.gov/2019/related/lcactmemo/act008.pdf","Y")</f>
        <v>Y</v>
      </c>
      <c r="P44" s="9"/>
      <c r="Q44" s="9"/>
      <c r="R44" s="9"/>
      <c r="S44" s="9"/>
      <c r="T44" s="9"/>
      <c r="U44" s="9"/>
      <c r="V44" s="9"/>
      <c r="W44" s="9"/>
      <c r="X44" s="9"/>
      <c r="Y44" s="9"/>
      <c r="Z44" s="9"/>
      <c r="AA44" s="9"/>
      <c r="AB44" s="9"/>
      <c r="AC44" s="9"/>
      <c r="AD44" s="9"/>
      <c r="AE44" s="9"/>
      <c r="AF44" s="9"/>
      <c r="AG44" s="9"/>
    </row>
    <row r="45" spans="1:33" ht="36" x14ac:dyDescent="0.2">
      <c r="A45" s="3" t="str">
        <f>HYPERLINK("https://docs.legis.wisconsin.gov/2019/proposals/reg/asm/bill/ab189","AB 0189")</f>
        <v>AB 0189</v>
      </c>
      <c r="B45" s="4" t="s">
        <v>85</v>
      </c>
      <c r="C45" s="19" t="s">
        <v>40</v>
      </c>
      <c r="D45" s="6">
        <v>43580</v>
      </c>
      <c r="E45" s="3" t="str">
        <f>HYPERLINK("https://docs.legis.wisconsin.gov/2019/proposals/sb165","SB 0165")</f>
        <v>SB 0165</v>
      </c>
      <c r="F45" s="19"/>
      <c r="G45" s="5"/>
      <c r="H45" s="5"/>
      <c r="I45" s="8"/>
      <c r="J45" s="8"/>
      <c r="K45" s="5"/>
      <c r="L45" s="14"/>
      <c r="M45" s="14"/>
      <c r="N45" s="3" t="str">
        <f>HYPERLINK("https://docs.legis.wisconsin.gov/2019/related/acts/46","46")</f>
        <v>46</v>
      </c>
      <c r="O45" s="3" t="str">
        <f>HYPERLINK("https://docs.legis.wisconsin.gov/2019/related/lcactmemo/act046.pdf","Y")</f>
        <v>Y</v>
      </c>
      <c r="P45" s="9"/>
      <c r="Q45" s="9"/>
      <c r="R45" s="9"/>
      <c r="S45" s="9"/>
      <c r="T45" s="9"/>
      <c r="U45" s="9"/>
      <c r="V45" s="9"/>
      <c r="W45" s="9"/>
      <c r="X45" s="9"/>
      <c r="Y45" s="9"/>
      <c r="Z45" s="9"/>
      <c r="AA45" s="9"/>
      <c r="AB45" s="9"/>
      <c r="AC45" s="9"/>
      <c r="AD45" s="9"/>
      <c r="AE45" s="9"/>
      <c r="AF45" s="9"/>
      <c r="AG45" s="9"/>
    </row>
    <row r="46" spans="1:33" ht="24" x14ac:dyDescent="0.2">
      <c r="A46" s="3" t="str">
        <f>HYPERLINK("https://docs.legis.wisconsin.gov/2019/proposals/reg/asm/bill/ab192","AB 0192")</f>
        <v>AB 0192</v>
      </c>
      <c r="B46" s="4" t="s">
        <v>86</v>
      </c>
      <c r="C46" s="19" t="s">
        <v>18</v>
      </c>
      <c r="D46" s="6">
        <v>43580</v>
      </c>
      <c r="E46" s="3" t="str">
        <f>HYPERLINK("https://docs.legis.wisconsin.gov/2019/proposals/sb177","SB 0177")</f>
        <v>SB 0177</v>
      </c>
      <c r="F46" s="19"/>
      <c r="G46" s="5"/>
      <c r="H46" s="5"/>
      <c r="I46" s="8"/>
      <c r="J46" s="8"/>
      <c r="K46" s="5"/>
      <c r="L46" s="14"/>
      <c r="M46" s="14"/>
      <c r="N46" s="14"/>
      <c r="O46" s="14"/>
      <c r="P46" s="9"/>
      <c r="Q46" s="9"/>
      <c r="R46" s="9"/>
      <c r="S46" s="9"/>
      <c r="T46" s="9"/>
      <c r="U46" s="9"/>
      <c r="V46" s="9"/>
      <c r="W46" s="9"/>
      <c r="X46" s="9"/>
      <c r="Y46" s="9"/>
      <c r="Z46" s="9"/>
      <c r="AA46" s="9"/>
      <c r="AB46" s="9"/>
      <c r="AC46" s="9"/>
      <c r="AD46" s="9"/>
      <c r="AE46" s="9"/>
      <c r="AF46" s="9"/>
      <c r="AG46" s="9"/>
    </row>
    <row r="47" spans="1:33" ht="24" x14ac:dyDescent="0.2">
      <c r="A47" s="3" t="str">
        <f>HYPERLINK("https://docs.legis.wisconsin.gov/2019/proposals/reg/asm/bill/ab194","AB 0194")</f>
        <v>AB 0194</v>
      </c>
      <c r="B47" s="4" t="s">
        <v>87</v>
      </c>
      <c r="C47" s="19" t="s">
        <v>88</v>
      </c>
      <c r="D47" s="6">
        <v>43584</v>
      </c>
      <c r="E47" s="3" t="str">
        <f>HYPERLINK("https://docs.legis.wisconsin.gov/2019/proposals/sb183","SB 183")</f>
        <v>SB 183</v>
      </c>
      <c r="F47" s="19"/>
      <c r="G47" s="5"/>
      <c r="H47" s="14"/>
      <c r="I47" s="17"/>
      <c r="J47" s="17"/>
      <c r="K47" s="14"/>
      <c r="L47" s="14"/>
      <c r="M47" s="3" t="str">
        <f>HYPERLINK("https://docs.legis.wisconsin.gov/misc/lc/hearing_testimony_and_materials/2019/ab194","Information")</f>
        <v>Information</v>
      </c>
      <c r="N47" s="3" t="str">
        <f>HYPERLINK("https://docs.legis.wisconsin.gov/document/acts/2019/44","44")</f>
        <v>44</v>
      </c>
      <c r="O47" s="3" t="str">
        <f>HYPERLINK("https://docs.legis.wisconsin.gov/document/lcactmemos/2019/REG/Act%2044.pdf","Y")</f>
        <v>Y</v>
      </c>
      <c r="P47" s="9"/>
      <c r="Q47" s="9"/>
      <c r="R47" s="9"/>
      <c r="S47" s="9"/>
      <c r="T47" s="9"/>
      <c r="U47" s="9"/>
      <c r="V47" s="9"/>
      <c r="W47" s="9"/>
      <c r="X47" s="9"/>
      <c r="Y47" s="9"/>
      <c r="Z47" s="9"/>
      <c r="AA47" s="9"/>
      <c r="AB47" s="9"/>
      <c r="AC47" s="9"/>
      <c r="AD47" s="9"/>
      <c r="AE47" s="9"/>
      <c r="AF47" s="9"/>
      <c r="AG47" s="9"/>
    </row>
    <row r="48" spans="1:33" ht="24" x14ac:dyDescent="0.2">
      <c r="A48" s="3" t="str">
        <f>HYPERLINK("https://docs.legis.wisconsin.gov/2019/proposals/reg/asm/bill/ab195","AB 0195")</f>
        <v>AB 0195</v>
      </c>
      <c r="B48" s="4" t="s">
        <v>89</v>
      </c>
      <c r="C48" s="19" t="s">
        <v>88</v>
      </c>
      <c r="D48" s="6">
        <v>43584</v>
      </c>
      <c r="E48" s="3" t="str">
        <f>HYPERLINK("https://docs.legis.wisconsin.gov/2019/proposals/sb184","SB 184")</f>
        <v>SB 184</v>
      </c>
      <c r="F48" s="13" t="str">
        <f>HYPERLINK("https://docs.legis.wisconsin.gov/2019/related/fe/ab195","Y")</f>
        <v>Y</v>
      </c>
      <c r="G48" s="14"/>
      <c r="H48" s="14"/>
      <c r="I48" s="17"/>
      <c r="J48" s="17"/>
      <c r="K48" s="14"/>
      <c r="L48" s="14"/>
      <c r="M48" s="3" t="str">
        <f>HYPERLINK("https://docs.legis.wisconsin.gov/misc/lc/hearing_testimony_and_materials/2019/ab195","Information")</f>
        <v>Information</v>
      </c>
      <c r="N48" s="3" t="str">
        <f>HYPERLINK("https://docs.legis.wisconsin.gov/document/acts/2019/43","43")</f>
        <v>43</v>
      </c>
      <c r="O48" s="3" t="str">
        <f>HYPERLINK("https://docs.legis.wisconsin.gov/document/lcactmemos/2019/REG/Act%2043.pdf","Y")</f>
        <v>Y</v>
      </c>
      <c r="P48" s="9"/>
      <c r="Q48" s="9"/>
      <c r="R48" s="9"/>
      <c r="S48" s="9"/>
      <c r="T48" s="9"/>
      <c r="U48" s="9"/>
      <c r="V48" s="9"/>
      <c r="W48" s="9"/>
      <c r="X48" s="9"/>
      <c r="Y48" s="9"/>
      <c r="Z48" s="9"/>
      <c r="AA48" s="9"/>
      <c r="AB48" s="9"/>
      <c r="AC48" s="9"/>
      <c r="AD48" s="9"/>
      <c r="AE48" s="9"/>
      <c r="AF48" s="9"/>
      <c r="AG48" s="9"/>
    </row>
    <row r="49" spans="1:33" ht="12.75" x14ac:dyDescent="0.2">
      <c r="A49" s="3" t="str">
        <f>HYPERLINK("https://docs.legis.wisconsin.gov/2019/proposals/ab196","AB 0196")</f>
        <v>AB 0196</v>
      </c>
      <c r="B49" s="4" t="s">
        <v>90</v>
      </c>
      <c r="C49" s="19" t="s">
        <v>91</v>
      </c>
      <c r="D49" s="6">
        <v>43584</v>
      </c>
      <c r="E49" s="3" t="str">
        <f>HYPERLINK("https://docs.legis.wisconsin.gov/2019/proposals/sb182","SB 182")</f>
        <v>SB 182</v>
      </c>
      <c r="F49" s="13" t="str">
        <f>HYPERLINK("https://docs.legis.wisconsin.gov/2019/related/fe/ab196","Y")</f>
        <v>Y</v>
      </c>
      <c r="G49" s="14"/>
      <c r="H49" s="5"/>
      <c r="I49" s="8"/>
      <c r="J49" s="8"/>
      <c r="K49" s="5"/>
      <c r="L49" s="14"/>
      <c r="M49" s="14"/>
      <c r="N49" s="14"/>
      <c r="O49" s="5"/>
      <c r="P49" s="9"/>
      <c r="Q49" s="9"/>
      <c r="R49" s="9"/>
      <c r="S49" s="9"/>
      <c r="T49" s="9"/>
      <c r="U49" s="9"/>
      <c r="V49" s="9"/>
      <c r="W49" s="9"/>
      <c r="X49" s="9"/>
      <c r="Y49" s="9"/>
      <c r="Z49" s="9"/>
      <c r="AA49" s="9"/>
      <c r="AB49" s="9"/>
      <c r="AC49" s="9"/>
      <c r="AD49" s="9"/>
      <c r="AE49" s="9"/>
      <c r="AF49" s="9"/>
      <c r="AG49" s="9"/>
    </row>
    <row r="50" spans="1:33" ht="36" x14ac:dyDescent="0.2">
      <c r="A50" s="3" t="str">
        <f>HYPERLINK("https://docs.legis.wisconsin.gov/2019/proposals/reg/asm/bill/ab205","AB 0205")</f>
        <v>AB 0205</v>
      </c>
      <c r="B50" s="4" t="s">
        <v>92</v>
      </c>
      <c r="C50" s="19" t="s">
        <v>93</v>
      </c>
      <c r="D50" s="6">
        <v>43595</v>
      </c>
      <c r="E50" s="3" t="str">
        <f>HYPERLINK("https://docs.legis.wisconsin.gov/2019/proposals/sb194","SB 0194")</f>
        <v>SB 0194</v>
      </c>
      <c r="F50" s="19"/>
      <c r="G50" s="5"/>
      <c r="H50" s="5"/>
      <c r="I50" s="8"/>
      <c r="J50" s="8"/>
      <c r="K50" s="5"/>
      <c r="L50" s="14"/>
      <c r="M50" s="14"/>
      <c r="N50" s="14"/>
      <c r="O50" s="14"/>
      <c r="P50" s="9"/>
      <c r="Q50" s="9"/>
      <c r="R50" s="9"/>
      <c r="S50" s="9"/>
      <c r="T50" s="9"/>
      <c r="U50" s="9"/>
      <c r="V50" s="9"/>
      <c r="W50" s="9"/>
      <c r="X50" s="9"/>
      <c r="Y50" s="9"/>
      <c r="Z50" s="9"/>
      <c r="AA50" s="9"/>
      <c r="AB50" s="9"/>
      <c r="AC50" s="9"/>
      <c r="AD50" s="9"/>
      <c r="AE50" s="9"/>
      <c r="AF50" s="9"/>
      <c r="AG50" s="9"/>
    </row>
    <row r="51" spans="1:33" ht="24" x14ac:dyDescent="0.2">
      <c r="A51" s="3" t="str">
        <f>HYPERLINK("https://docs.legis.wisconsin.gov/2019/proposals/reg/asm/bill/ab207","AB 0207")</f>
        <v>AB 0207</v>
      </c>
      <c r="B51" s="4" t="s">
        <v>94</v>
      </c>
      <c r="C51" s="19" t="s">
        <v>88</v>
      </c>
      <c r="D51" s="6">
        <v>43595</v>
      </c>
      <c r="E51" s="3" t="str">
        <f>HYPERLINK("https://docs.legis.wisconsin.gov/2019/proposals/sb186","SB 0186")</f>
        <v>SB 0186</v>
      </c>
      <c r="F51" s="19"/>
      <c r="G51" s="5"/>
      <c r="H51" s="5"/>
      <c r="I51" s="8"/>
      <c r="J51" s="8"/>
      <c r="K51" s="5"/>
      <c r="L51" s="14"/>
      <c r="M51" s="14"/>
      <c r="N51" s="5"/>
      <c r="O51" s="5"/>
      <c r="P51" s="9"/>
      <c r="Q51" s="9"/>
      <c r="R51" s="9"/>
      <c r="S51" s="9"/>
      <c r="T51" s="9"/>
      <c r="U51" s="9"/>
      <c r="V51" s="9"/>
      <c r="W51" s="9"/>
      <c r="X51" s="9"/>
      <c r="Y51" s="9"/>
      <c r="Z51" s="9"/>
      <c r="AA51" s="9"/>
      <c r="AB51" s="9"/>
      <c r="AC51" s="9"/>
      <c r="AD51" s="9"/>
      <c r="AE51" s="9"/>
      <c r="AF51" s="9"/>
      <c r="AG51" s="9"/>
    </row>
    <row r="52" spans="1:33" ht="24" x14ac:dyDescent="0.2">
      <c r="A52" s="3" t="str">
        <f>HYPERLINK("https://docs.legis.wisconsin.gov/2019/proposals/reg/asm/bill/ab218","AB 0218")</f>
        <v>AB 0218</v>
      </c>
      <c r="B52" s="4" t="s">
        <v>95</v>
      </c>
      <c r="C52" s="19" t="s">
        <v>96</v>
      </c>
      <c r="D52" s="6">
        <v>43600</v>
      </c>
      <c r="E52" s="14"/>
      <c r="F52" s="19"/>
      <c r="G52" s="5"/>
      <c r="H52" s="5"/>
      <c r="I52" s="8"/>
      <c r="J52" s="8"/>
      <c r="K52" s="5"/>
      <c r="L52" s="14"/>
      <c r="M52" s="14"/>
      <c r="N52" s="14"/>
      <c r="O52" s="14"/>
      <c r="P52" s="9"/>
      <c r="Q52" s="9"/>
      <c r="R52" s="9"/>
      <c r="S52" s="9"/>
      <c r="T52" s="9"/>
      <c r="U52" s="9"/>
      <c r="V52" s="9"/>
      <c r="W52" s="9"/>
      <c r="X52" s="9"/>
      <c r="Y52" s="9"/>
      <c r="Z52" s="9"/>
      <c r="AA52" s="9"/>
      <c r="AB52" s="9"/>
      <c r="AC52" s="9"/>
      <c r="AD52" s="9"/>
      <c r="AE52" s="9"/>
      <c r="AF52" s="9"/>
      <c r="AG52" s="9"/>
    </row>
    <row r="53" spans="1:33" ht="24" x14ac:dyDescent="0.2">
      <c r="A53" s="3" t="str">
        <f>HYPERLINK("https://docs.legis.wisconsin.gov/2019/proposals/ab223","AB 0223")</f>
        <v>AB 0223</v>
      </c>
      <c r="B53" s="4" t="s">
        <v>97</v>
      </c>
      <c r="C53" s="19" t="s">
        <v>52</v>
      </c>
      <c r="D53" s="6">
        <v>43606</v>
      </c>
      <c r="E53" s="3" t="str">
        <f>HYPERLINK("https://docs.legis.wisconsin.gov/2019/proposals/sb207","SB 207")</f>
        <v>SB 207</v>
      </c>
      <c r="F53" s="13" t="str">
        <f>HYPERLINK("https://docs.legis.wisconsin.gov/2019/related/fe/ab223","Y")</f>
        <v>Y</v>
      </c>
      <c r="G53" s="14"/>
      <c r="H53" s="14"/>
      <c r="I53" s="17"/>
      <c r="J53" s="17"/>
      <c r="K53" s="14"/>
      <c r="L53" s="14"/>
      <c r="M53" s="3" t="str">
        <f>HYPERLINK("https://docs.legis.wisconsin.gov/misc/lc/hearing_testimony_and_materials/2019/ab223","Information")</f>
        <v>Information</v>
      </c>
      <c r="N53" s="5"/>
      <c r="O53" s="5"/>
      <c r="P53" s="9"/>
      <c r="Q53" s="9"/>
      <c r="R53" s="9"/>
      <c r="S53" s="9"/>
      <c r="T53" s="9"/>
      <c r="U53" s="9"/>
      <c r="V53" s="9"/>
      <c r="W53" s="9"/>
      <c r="X53" s="9"/>
      <c r="Y53" s="9"/>
      <c r="Z53" s="9"/>
      <c r="AA53" s="9"/>
      <c r="AB53" s="9"/>
      <c r="AC53" s="9"/>
      <c r="AD53" s="9"/>
      <c r="AE53" s="9"/>
      <c r="AF53" s="9"/>
      <c r="AG53" s="9"/>
    </row>
    <row r="54" spans="1:33" ht="36" x14ac:dyDescent="0.2">
      <c r="A54" s="3" t="str">
        <f>HYPERLINK("https://docs.legis.wisconsin.gov/2019/proposals/ab224","AB 0224")</f>
        <v>AB 0224</v>
      </c>
      <c r="B54" s="4" t="s">
        <v>98</v>
      </c>
      <c r="C54" s="19" t="s">
        <v>52</v>
      </c>
      <c r="D54" s="6">
        <v>43606</v>
      </c>
      <c r="E54" s="3" t="str">
        <f>HYPERLINK("https://docs.legis.wisconsin.gov/2019/proposals/sb206","SB 206")</f>
        <v>SB 206</v>
      </c>
      <c r="F54" s="13" t="str">
        <f>HYPERLINK("https://docs.legis.wisconsin.gov/2019/related/fe/ab224","Y")</f>
        <v>Y</v>
      </c>
      <c r="G54" s="14"/>
      <c r="H54" s="5"/>
      <c r="I54" s="8"/>
      <c r="J54" s="8"/>
      <c r="K54" s="5"/>
      <c r="L54" s="14"/>
      <c r="M54" s="14"/>
      <c r="N54" s="14"/>
      <c r="O54" s="14"/>
      <c r="P54" s="9"/>
      <c r="Q54" s="9"/>
      <c r="R54" s="9"/>
      <c r="S54" s="9"/>
      <c r="T54" s="9"/>
      <c r="U54" s="9"/>
      <c r="V54" s="9"/>
      <c r="W54" s="9"/>
      <c r="X54" s="9"/>
      <c r="Y54" s="9"/>
      <c r="Z54" s="9"/>
      <c r="AA54" s="9"/>
      <c r="AB54" s="9"/>
      <c r="AC54" s="9"/>
      <c r="AD54" s="9"/>
      <c r="AE54" s="9"/>
      <c r="AF54" s="9"/>
      <c r="AG54" s="9"/>
    </row>
    <row r="55" spans="1:33" ht="24" x14ac:dyDescent="0.2">
      <c r="A55" s="3" t="str">
        <f>HYPERLINK("https://docs.legis.wisconsin.gov/2019/proposals/reg/asm/bill/ab229","AB 0229")</f>
        <v>AB 0229</v>
      </c>
      <c r="B55" s="4" t="s">
        <v>99</v>
      </c>
      <c r="C55" s="19" t="s">
        <v>79</v>
      </c>
      <c r="D55" s="6">
        <v>43607</v>
      </c>
      <c r="E55" s="3" t="str">
        <f>HYPERLINK("https://docs.legis.wisconsin.gov/2019/proposals/sb216","SB 0216")</f>
        <v>SB 0216</v>
      </c>
      <c r="F55" s="19"/>
      <c r="G55" s="5"/>
      <c r="H55" s="5"/>
      <c r="I55" s="8"/>
      <c r="J55" s="8"/>
      <c r="K55" s="5"/>
      <c r="L55" s="14"/>
      <c r="M55" s="14"/>
      <c r="N55" s="5"/>
      <c r="O55" s="5"/>
      <c r="P55" s="9"/>
      <c r="Q55" s="9"/>
      <c r="R55" s="9"/>
      <c r="S55" s="9"/>
      <c r="T55" s="9"/>
      <c r="U55" s="9"/>
      <c r="V55" s="9"/>
      <c r="W55" s="9"/>
      <c r="X55" s="9"/>
      <c r="Y55" s="9"/>
      <c r="Z55" s="9"/>
      <c r="AA55" s="9"/>
      <c r="AB55" s="9"/>
      <c r="AC55" s="9"/>
      <c r="AD55" s="9"/>
      <c r="AE55" s="9"/>
      <c r="AF55" s="9"/>
      <c r="AG55" s="9"/>
    </row>
    <row r="56" spans="1:33" ht="36" x14ac:dyDescent="0.2">
      <c r="A56" s="3" t="str">
        <f>HYPERLINK("https://docs.legis.wisconsin.gov/2019/proposals/reg/asm/bill/ab230","AB 0230")</f>
        <v>AB 0230</v>
      </c>
      <c r="B56" s="4" t="s">
        <v>100</v>
      </c>
      <c r="C56" s="19" t="s">
        <v>101</v>
      </c>
      <c r="D56" s="6">
        <v>43607</v>
      </c>
      <c r="E56" s="3" t="str">
        <f>HYPERLINK("https://docs.legis.wisconsin.gov/2019/proposals/sb205","SB 0205")</f>
        <v>SB 0205</v>
      </c>
      <c r="F56" s="19"/>
      <c r="G56" s="5"/>
      <c r="H56" s="5"/>
      <c r="I56" s="17"/>
      <c r="J56" s="17"/>
      <c r="K56" s="14"/>
      <c r="L56" s="14"/>
      <c r="M56" s="14"/>
      <c r="N56" s="5"/>
      <c r="O56" s="5"/>
      <c r="P56" s="9"/>
      <c r="Q56" s="9"/>
      <c r="R56" s="9"/>
      <c r="S56" s="9"/>
      <c r="T56" s="9"/>
      <c r="U56" s="9"/>
      <c r="V56" s="9"/>
      <c r="W56" s="9"/>
      <c r="X56" s="9"/>
      <c r="Y56" s="9"/>
      <c r="Z56" s="9"/>
      <c r="AA56" s="9"/>
      <c r="AB56" s="9"/>
      <c r="AC56" s="9"/>
      <c r="AD56" s="9"/>
      <c r="AE56" s="9"/>
      <c r="AF56" s="9"/>
      <c r="AG56" s="9"/>
    </row>
    <row r="57" spans="1:33" ht="24" x14ac:dyDescent="0.2">
      <c r="A57" s="3" t="str">
        <f>HYPERLINK("https://docs.legis.wisconsin.gov/2019/proposals/ab232","AB 0232")</f>
        <v>AB 0232</v>
      </c>
      <c r="B57" s="4" t="s">
        <v>102</v>
      </c>
      <c r="C57" s="19" t="s">
        <v>103</v>
      </c>
      <c r="D57" s="6">
        <v>43607</v>
      </c>
      <c r="E57" s="3" t="str">
        <f>HYPERLINK("https://docs.legis.wisconsin.gov/2019/proposals/sb230","SB 230")</f>
        <v>SB 230</v>
      </c>
      <c r="F57" s="19"/>
      <c r="G57" s="5"/>
      <c r="H57" s="14"/>
      <c r="I57" s="17"/>
      <c r="J57" s="17"/>
      <c r="K57" s="14"/>
      <c r="L57" s="14"/>
      <c r="M57" s="3" t="str">
        <f>HYPERLINK("https://docs.legis.wisconsin.gov/misc/lc/hearing_testimony_and_materials/2019/ab232","Support")</f>
        <v>Support</v>
      </c>
      <c r="N57" s="5"/>
      <c r="O57" s="5"/>
      <c r="P57" s="9"/>
      <c r="Q57" s="9"/>
      <c r="R57" s="9"/>
      <c r="S57" s="9"/>
      <c r="T57" s="9"/>
      <c r="U57" s="9"/>
      <c r="V57" s="9"/>
      <c r="W57" s="9"/>
      <c r="X57" s="9"/>
      <c r="Y57" s="9"/>
      <c r="Z57" s="9"/>
      <c r="AA57" s="9"/>
      <c r="AB57" s="9"/>
      <c r="AC57" s="9"/>
      <c r="AD57" s="9"/>
      <c r="AE57" s="9"/>
      <c r="AF57" s="9"/>
      <c r="AG57" s="9"/>
    </row>
    <row r="58" spans="1:33" ht="24" x14ac:dyDescent="0.2">
      <c r="A58" s="3" t="str">
        <f>HYPERLINK("https://docs.legis.wisconsin.gov/2019/proposals/reg/asm/bill/ab245","AB 0245")</f>
        <v>AB 0245</v>
      </c>
      <c r="B58" s="4" t="s">
        <v>104</v>
      </c>
      <c r="C58" s="19" t="s">
        <v>105</v>
      </c>
      <c r="D58" s="6">
        <v>43609</v>
      </c>
      <c r="E58" s="3" t="str">
        <f>HYPERLINK("https://docs.legis.wisconsin.gov/2019/proposals/sb240","SB 0240")</f>
        <v>SB 0240</v>
      </c>
      <c r="F58" s="19"/>
      <c r="G58" s="5"/>
      <c r="H58" s="5"/>
      <c r="I58" s="8"/>
      <c r="J58" s="8"/>
      <c r="K58" s="5"/>
      <c r="L58" s="14"/>
      <c r="M58" s="5"/>
      <c r="N58" s="5"/>
      <c r="O58" s="5"/>
      <c r="P58" s="9"/>
      <c r="Q58" s="9"/>
      <c r="R58" s="9"/>
      <c r="S58" s="9"/>
      <c r="T58" s="9"/>
      <c r="U58" s="9"/>
      <c r="V58" s="9"/>
      <c r="W58" s="9"/>
      <c r="X58" s="9"/>
      <c r="Y58" s="9"/>
      <c r="Z58" s="9"/>
      <c r="AA58" s="9"/>
      <c r="AB58" s="9"/>
      <c r="AC58" s="9"/>
      <c r="AD58" s="9"/>
      <c r="AE58" s="9"/>
      <c r="AF58" s="9"/>
      <c r="AG58" s="9"/>
    </row>
    <row r="59" spans="1:33" ht="24" x14ac:dyDescent="0.2">
      <c r="A59" s="3" t="str">
        <f>HYPERLINK("https://docs.legis.wisconsin.gov/2019/proposals/ab248","AB 0248")</f>
        <v>AB 0248</v>
      </c>
      <c r="B59" s="4" t="s">
        <v>106</v>
      </c>
      <c r="C59" s="19" t="s">
        <v>107</v>
      </c>
      <c r="D59" s="18">
        <v>43614</v>
      </c>
      <c r="E59" s="3" t="str">
        <f>HYPERLINK("https://docs.legis.wisconsin.gov/2019/proposals/sb262","SB 262")</f>
        <v>SB 262</v>
      </c>
      <c r="F59" s="19"/>
      <c r="G59" s="5"/>
      <c r="H59" s="5"/>
      <c r="I59" s="8"/>
      <c r="J59" s="8"/>
      <c r="K59" s="5"/>
      <c r="L59" s="14"/>
      <c r="M59" s="5"/>
      <c r="N59" s="5"/>
      <c r="O59" s="5"/>
      <c r="P59" s="9"/>
      <c r="Q59" s="9"/>
      <c r="R59" s="9"/>
      <c r="S59" s="9"/>
      <c r="T59" s="9"/>
      <c r="U59" s="9"/>
      <c r="V59" s="9"/>
      <c r="W59" s="9"/>
      <c r="X59" s="9"/>
      <c r="Y59" s="9"/>
      <c r="Z59" s="9"/>
      <c r="AA59" s="9"/>
      <c r="AB59" s="9"/>
      <c r="AC59" s="9"/>
      <c r="AD59" s="9"/>
      <c r="AE59" s="9"/>
      <c r="AF59" s="9"/>
      <c r="AG59" s="9"/>
    </row>
    <row r="60" spans="1:33" ht="36" x14ac:dyDescent="0.2">
      <c r="A60" s="3" t="str">
        <f>HYPERLINK("https://docs.legis.wisconsin.gov/2019/proposals/reg/asm/bill/ab250","AB 0250")</f>
        <v>AB 0250</v>
      </c>
      <c r="B60" s="4" t="s">
        <v>108</v>
      </c>
      <c r="C60" s="19" t="s">
        <v>109</v>
      </c>
      <c r="D60" s="6">
        <v>43615</v>
      </c>
      <c r="E60" s="3" t="str">
        <f>HYPERLINK("https://docs.legis.wisconsin.gov/2019/proposals/sb265","SB 0265")</f>
        <v>SB 0265</v>
      </c>
      <c r="F60" s="19"/>
      <c r="G60" s="5"/>
      <c r="H60" s="5"/>
      <c r="I60" s="8"/>
      <c r="J60" s="8"/>
      <c r="K60" s="5"/>
      <c r="L60" s="14"/>
      <c r="M60" s="5"/>
      <c r="N60" s="3" t="str">
        <f>HYPERLINK("https://docs.legis.wisconsin.gov/2019/related/acts/17","17")</f>
        <v>17</v>
      </c>
      <c r="O60" s="3" t="str">
        <f>HYPERLINK("https://docs.legis.wisconsin.gov/2019/related/lcactmemo/act017.pdf","Y")</f>
        <v>Y</v>
      </c>
      <c r="P60" s="9"/>
      <c r="Q60" s="9"/>
      <c r="R60" s="9"/>
      <c r="S60" s="9"/>
      <c r="T60" s="9"/>
      <c r="U60" s="9"/>
      <c r="V60" s="9"/>
      <c r="W60" s="9"/>
      <c r="X60" s="9"/>
      <c r="Y60" s="9"/>
      <c r="Z60" s="9"/>
      <c r="AA60" s="9"/>
      <c r="AB60" s="9"/>
      <c r="AC60" s="9"/>
      <c r="AD60" s="9"/>
      <c r="AE60" s="9"/>
      <c r="AF60" s="9"/>
      <c r="AG60" s="9"/>
    </row>
    <row r="61" spans="1:33" ht="24" x14ac:dyDescent="0.2">
      <c r="A61" s="3" t="str">
        <f>HYPERLINK("https://docs.legis.wisconsin.gov/2019/proposals/reg/asm/bill/ab254","AB 0254")</f>
        <v>AB 0254</v>
      </c>
      <c r="B61" s="4" t="s">
        <v>110</v>
      </c>
      <c r="C61" s="19" t="s">
        <v>111</v>
      </c>
      <c r="D61" s="6">
        <v>43619</v>
      </c>
      <c r="E61" s="3" t="str">
        <f>HYPERLINK("https://docs.legis.wisconsin.gov/2019/proposals/sb222","SB 0222")</f>
        <v>SB 0222</v>
      </c>
      <c r="F61" s="19"/>
      <c r="G61" s="14"/>
      <c r="H61" s="5"/>
      <c r="I61" s="8"/>
      <c r="J61" s="8"/>
      <c r="K61" s="5"/>
      <c r="L61" s="14"/>
      <c r="M61" s="14"/>
      <c r="N61" s="78"/>
      <c r="O61" s="5"/>
      <c r="P61" s="9"/>
      <c r="Q61" s="9"/>
      <c r="R61" s="9"/>
      <c r="S61" s="9"/>
      <c r="T61" s="9"/>
      <c r="U61" s="9"/>
      <c r="V61" s="9"/>
      <c r="W61" s="9"/>
      <c r="X61" s="9"/>
      <c r="Y61" s="9"/>
      <c r="Z61" s="9"/>
      <c r="AA61" s="9"/>
      <c r="AB61" s="9"/>
      <c r="AC61" s="9"/>
      <c r="AD61" s="9"/>
      <c r="AE61" s="9"/>
      <c r="AF61" s="9"/>
      <c r="AG61" s="9"/>
    </row>
    <row r="62" spans="1:33" ht="24" x14ac:dyDescent="0.2">
      <c r="A62" s="3" t="str">
        <f>HYPERLINK("https://docs.legis.wisconsin.gov/2019/proposals/reg/asm/bill/ab258","AB 0258")</f>
        <v>AB 0258</v>
      </c>
      <c r="B62" s="4" t="s">
        <v>112</v>
      </c>
      <c r="C62" s="19" t="s">
        <v>101</v>
      </c>
      <c r="D62" s="6">
        <v>43619</v>
      </c>
      <c r="E62" s="3" t="str">
        <f>HYPERLINK("https://docs.legis.wisconsin.gov/2019/proposals/sb228","SB 0228")</f>
        <v>SB 0228</v>
      </c>
      <c r="F62" s="19"/>
      <c r="G62" s="5"/>
      <c r="H62" s="5"/>
      <c r="I62" s="8"/>
      <c r="J62" s="8"/>
      <c r="K62" s="5"/>
      <c r="L62" s="14"/>
      <c r="M62" s="5"/>
      <c r="N62" s="5"/>
      <c r="O62" s="5"/>
      <c r="P62" s="9"/>
      <c r="Q62" s="9"/>
      <c r="R62" s="9"/>
      <c r="S62" s="9"/>
      <c r="T62" s="9"/>
      <c r="U62" s="9"/>
      <c r="V62" s="9"/>
      <c r="W62" s="9"/>
      <c r="X62" s="9"/>
      <c r="Y62" s="9"/>
      <c r="Z62" s="9"/>
      <c r="AA62" s="9"/>
      <c r="AB62" s="9"/>
      <c r="AC62" s="9"/>
      <c r="AD62" s="9"/>
      <c r="AE62" s="9"/>
      <c r="AF62" s="9"/>
      <c r="AG62" s="9"/>
    </row>
    <row r="63" spans="1:33" ht="12.75" x14ac:dyDescent="0.2">
      <c r="A63" s="3" t="str">
        <f>HYPERLINK("https://docs.legis.wisconsin.gov/2019/proposals/reg/asm/bill/ab261","AB 0261")</f>
        <v>AB 0261</v>
      </c>
      <c r="B63" s="4" t="s">
        <v>113</v>
      </c>
      <c r="C63" s="19" t="s">
        <v>114</v>
      </c>
      <c r="D63" s="6">
        <v>43623</v>
      </c>
      <c r="E63" s="3" t="str">
        <f>HYPERLINK("https://docs.legis.wisconsin.gov/2019/proposals/sb220","SB 0220")</f>
        <v>SB 0220</v>
      </c>
      <c r="F63" s="19"/>
      <c r="G63" s="5"/>
      <c r="H63" s="5"/>
      <c r="I63" s="8"/>
      <c r="J63" s="8"/>
      <c r="K63" s="5"/>
      <c r="L63" s="14"/>
      <c r="M63" s="14"/>
      <c r="N63" s="14"/>
      <c r="O63" s="14"/>
      <c r="P63" s="9"/>
      <c r="Q63" s="9"/>
      <c r="R63" s="9"/>
      <c r="S63" s="9"/>
      <c r="T63" s="9"/>
      <c r="U63" s="9"/>
      <c r="V63" s="9"/>
      <c r="W63" s="9"/>
      <c r="X63" s="9"/>
      <c r="Y63" s="9"/>
      <c r="Z63" s="9"/>
      <c r="AA63" s="9"/>
      <c r="AB63" s="9"/>
      <c r="AC63" s="9"/>
      <c r="AD63" s="9"/>
      <c r="AE63" s="9"/>
      <c r="AF63" s="9"/>
      <c r="AG63" s="9"/>
    </row>
    <row r="64" spans="1:33" ht="36" x14ac:dyDescent="0.2">
      <c r="A64" s="3" t="str">
        <f>HYPERLINK("https://docs.legis.wisconsin.gov/2019/proposals/ab262","AB 0262")</f>
        <v>AB 0262</v>
      </c>
      <c r="B64" s="4" t="s">
        <v>115</v>
      </c>
      <c r="C64" s="19" t="s">
        <v>116</v>
      </c>
      <c r="D64" s="6">
        <v>43623</v>
      </c>
      <c r="E64" s="3" t="str">
        <f>HYPERLINK("https://docs.legis.wisconsin.gov/2019/proposals/sb244","SB 244")</f>
        <v>SB 244</v>
      </c>
      <c r="F64" s="13" t="str">
        <f>HYPERLINK("https://docs.legis.wisconsin.gov/2019/proposals/ab262","Y")</f>
        <v>Y</v>
      </c>
      <c r="G64" s="14"/>
      <c r="H64" s="14"/>
      <c r="I64" s="17"/>
      <c r="J64" s="17"/>
      <c r="K64" s="14"/>
      <c r="L64" s="14"/>
      <c r="M64" s="14"/>
      <c r="N64" s="14"/>
      <c r="O64" s="14"/>
      <c r="P64" s="9"/>
      <c r="Q64" s="9"/>
      <c r="R64" s="9"/>
      <c r="S64" s="9"/>
      <c r="T64" s="9"/>
      <c r="U64" s="9"/>
      <c r="V64" s="9"/>
      <c r="W64" s="9"/>
      <c r="X64" s="9"/>
      <c r="Y64" s="9"/>
      <c r="Z64" s="9"/>
      <c r="AA64" s="9"/>
      <c r="AB64" s="9"/>
      <c r="AC64" s="9"/>
      <c r="AD64" s="9"/>
      <c r="AE64" s="9"/>
      <c r="AF64" s="9"/>
      <c r="AG64" s="9"/>
    </row>
    <row r="65" spans="1:33" ht="36" x14ac:dyDescent="0.2">
      <c r="A65" s="3" t="str">
        <f>HYPERLINK("https://docs.legis.wisconsin.gov/2019/proposals/ab268","AB 0268")</f>
        <v>AB 0268</v>
      </c>
      <c r="B65" s="4" t="s">
        <v>117</v>
      </c>
      <c r="C65" s="19" t="s">
        <v>18</v>
      </c>
      <c r="D65" s="6">
        <v>43623</v>
      </c>
      <c r="E65" s="3" t="str">
        <f>HYPERLINK("https://docs.legis.wisconsin.gov/2019/proposals/sb258","SB 258")</f>
        <v>SB 258</v>
      </c>
      <c r="F65" s="13" t="str">
        <f>HYPERLINK("https://docs.legis.wisconsin.gov/2019/related/fe/ab268","Y")</f>
        <v>Y</v>
      </c>
      <c r="G65" s="14"/>
      <c r="H65" s="14"/>
      <c r="I65" s="17"/>
      <c r="J65" s="17"/>
      <c r="K65" s="14"/>
      <c r="L65" s="14"/>
      <c r="M65" s="14"/>
      <c r="N65" s="14"/>
      <c r="O65" s="14"/>
      <c r="P65" s="9"/>
      <c r="Q65" s="9"/>
      <c r="R65" s="9"/>
      <c r="S65" s="9"/>
      <c r="T65" s="9"/>
      <c r="U65" s="9"/>
      <c r="V65" s="9"/>
      <c r="W65" s="9"/>
      <c r="X65" s="9"/>
      <c r="Y65" s="9"/>
      <c r="Z65" s="9"/>
      <c r="AA65" s="9"/>
      <c r="AB65" s="9"/>
      <c r="AC65" s="9"/>
      <c r="AD65" s="9"/>
      <c r="AE65" s="9"/>
      <c r="AF65" s="9"/>
      <c r="AG65" s="9"/>
    </row>
    <row r="66" spans="1:33" ht="24" x14ac:dyDescent="0.2">
      <c r="A66" s="3" t="str">
        <f>HYPERLINK("https://docs.legis.wisconsin.gov/2019/proposals/reg/asm/bill/ab291","AB 0291")</f>
        <v>AB 0291</v>
      </c>
      <c r="B66" s="4" t="s">
        <v>118</v>
      </c>
      <c r="C66" s="19" t="s">
        <v>119</v>
      </c>
      <c r="D66" s="17">
        <v>43629</v>
      </c>
      <c r="E66" s="3" t="str">
        <f>HYPERLINK("https://docs.legis.wisconsin.gov/2019/proposals/sb259","SB 0259")</f>
        <v>SB 0259</v>
      </c>
      <c r="F66" s="19"/>
      <c r="G66" s="14"/>
      <c r="H66" s="14"/>
      <c r="I66" s="17"/>
      <c r="J66" s="17"/>
      <c r="K66" s="14"/>
      <c r="L66" s="14"/>
      <c r="M66" s="14"/>
      <c r="N66" s="14"/>
      <c r="O66" s="14"/>
      <c r="P66" s="9"/>
      <c r="Q66" s="9"/>
      <c r="R66" s="9"/>
      <c r="S66" s="9"/>
      <c r="T66" s="9"/>
      <c r="U66" s="9"/>
      <c r="V66" s="9"/>
      <c r="W66" s="9"/>
      <c r="X66" s="9"/>
      <c r="Y66" s="9"/>
      <c r="Z66" s="9"/>
      <c r="AA66" s="9"/>
      <c r="AB66" s="9"/>
      <c r="AC66" s="9"/>
      <c r="AD66" s="9"/>
      <c r="AE66" s="9"/>
      <c r="AF66" s="9"/>
      <c r="AG66" s="9"/>
    </row>
    <row r="67" spans="1:33" ht="24" x14ac:dyDescent="0.2">
      <c r="A67" s="3" t="str">
        <f>HYPERLINK("https://docs.legis.wisconsin.gov/2019/proposals/ab292","AB 0292")</f>
        <v>AB 0292</v>
      </c>
      <c r="B67" s="4" t="s">
        <v>120</v>
      </c>
      <c r="C67" s="19" t="s">
        <v>121</v>
      </c>
      <c r="D67" s="6">
        <v>43264</v>
      </c>
      <c r="E67" s="3" t="str">
        <f>HYPERLINK("https://docs.legis.wisconsin.gov/2019/proposals/sb229","SB 229")</f>
        <v>SB 229</v>
      </c>
      <c r="F67" s="13" t="str">
        <f>HYPERLINK("https://docs.legis.wisconsin.gov/2019/related/fe/ab292","Y")</f>
        <v>Y</v>
      </c>
      <c r="G67" s="14"/>
      <c r="H67" s="14"/>
      <c r="I67" s="17"/>
      <c r="J67" s="17"/>
      <c r="K67" s="14"/>
      <c r="L67" s="14"/>
      <c r="M67" s="14"/>
      <c r="N67" s="14"/>
      <c r="O67" s="14"/>
      <c r="P67" s="9"/>
      <c r="Q67" s="9"/>
      <c r="R67" s="9"/>
      <c r="S67" s="9"/>
      <c r="T67" s="9"/>
      <c r="U67" s="9"/>
      <c r="V67" s="9"/>
      <c r="W67" s="9"/>
      <c r="X67" s="9"/>
      <c r="Y67" s="9"/>
      <c r="Z67" s="9"/>
      <c r="AA67" s="9"/>
      <c r="AB67" s="9"/>
      <c r="AC67" s="9"/>
      <c r="AD67" s="9"/>
      <c r="AE67" s="9"/>
      <c r="AF67" s="9"/>
      <c r="AG67" s="9"/>
    </row>
    <row r="68" spans="1:33" ht="24" x14ac:dyDescent="0.2">
      <c r="A68" s="3" t="str">
        <f>HYPERLINK("https://docs.legis.wisconsin.gov/2019/proposals/ab299","AB 0299")</f>
        <v>AB 0299</v>
      </c>
      <c r="B68" s="4" t="s">
        <v>122</v>
      </c>
      <c r="C68" s="19" t="s">
        <v>123</v>
      </c>
      <c r="D68" s="6">
        <v>43629</v>
      </c>
      <c r="E68" s="14"/>
      <c r="F68" s="19"/>
      <c r="G68" s="14"/>
      <c r="H68" s="14"/>
      <c r="I68" s="17"/>
      <c r="J68" s="17"/>
      <c r="K68" s="14"/>
      <c r="L68" s="14"/>
      <c r="M68" s="14"/>
      <c r="N68" s="14"/>
      <c r="O68" s="14"/>
      <c r="P68" s="9"/>
      <c r="Q68" s="9"/>
      <c r="R68" s="9"/>
      <c r="S68" s="9"/>
      <c r="T68" s="9"/>
      <c r="U68" s="9"/>
      <c r="V68" s="9"/>
      <c r="W68" s="9"/>
      <c r="X68" s="9"/>
      <c r="Y68" s="9"/>
      <c r="Z68" s="9"/>
      <c r="AA68" s="9"/>
      <c r="AB68" s="9"/>
      <c r="AC68" s="9"/>
      <c r="AD68" s="9"/>
      <c r="AE68" s="9"/>
      <c r="AF68" s="9"/>
      <c r="AG68" s="9"/>
    </row>
    <row r="69" spans="1:33" ht="24" x14ac:dyDescent="0.2">
      <c r="A69" s="3" t="str">
        <f>HYPERLINK("https://docs.legis.wisconsin.gov/2019/proposals/ab307","AB 0307")</f>
        <v>AB 0307</v>
      </c>
      <c r="B69" s="4" t="s">
        <v>124</v>
      </c>
      <c r="C69" s="19" t="s">
        <v>18</v>
      </c>
      <c r="D69" s="6">
        <v>43636</v>
      </c>
      <c r="E69" s="3" t="str">
        <f>HYPERLINK("https://docs.legis.wisconsin.gov/2019/proposals/sb270","SB 270")</f>
        <v>SB 270</v>
      </c>
      <c r="F69" s="13" t="str">
        <f>HYPERLINK("https://docs.legis.wisconsin.gov/2019/related/fe/ab307","Y")</f>
        <v>Y</v>
      </c>
      <c r="G69" s="14"/>
      <c r="H69" s="5"/>
      <c r="I69" s="8"/>
      <c r="J69" s="8"/>
      <c r="K69" s="5"/>
      <c r="L69" s="14"/>
      <c r="M69" s="5"/>
      <c r="N69" s="14"/>
      <c r="O69" s="14"/>
      <c r="P69" s="9"/>
      <c r="Q69" s="9"/>
      <c r="R69" s="9"/>
      <c r="S69" s="9"/>
      <c r="T69" s="9"/>
      <c r="U69" s="9"/>
      <c r="V69" s="9"/>
      <c r="W69" s="9"/>
      <c r="X69" s="9"/>
      <c r="Y69" s="9"/>
      <c r="Z69" s="9"/>
      <c r="AA69" s="9"/>
      <c r="AB69" s="9"/>
      <c r="AC69" s="9"/>
      <c r="AD69" s="9"/>
      <c r="AE69" s="9"/>
      <c r="AF69" s="9"/>
      <c r="AG69" s="9"/>
    </row>
    <row r="70" spans="1:33" ht="24" x14ac:dyDescent="0.2">
      <c r="A70" s="3" t="str">
        <f>HYPERLINK("https://docs.legis.wisconsin.gov/2019/proposals/reg/asm/bill/ab310","AB 0310")</f>
        <v>AB 0310</v>
      </c>
      <c r="B70" s="4" t="s">
        <v>125</v>
      </c>
      <c r="C70" s="19" t="s">
        <v>126</v>
      </c>
      <c r="D70" s="6">
        <v>43641</v>
      </c>
      <c r="E70" s="3" t="str">
        <f>HYPERLINK("https://docs.legis.wisconsin.gov/2019/proposals/sb291","SB 0291")</f>
        <v>SB 0291</v>
      </c>
      <c r="F70" s="19"/>
      <c r="G70" s="5"/>
      <c r="H70" s="5"/>
      <c r="I70" s="8"/>
      <c r="J70" s="8"/>
      <c r="K70" s="5"/>
      <c r="L70" s="14"/>
      <c r="M70" s="5"/>
      <c r="N70" s="14"/>
      <c r="O70" s="14"/>
      <c r="P70" s="9"/>
      <c r="Q70" s="9"/>
      <c r="R70" s="9"/>
      <c r="S70" s="9"/>
      <c r="T70" s="9"/>
      <c r="U70" s="9"/>
      <c r="V70" s="9"/>
      <c r="W70" s="9"/>
      <c r="X70" s="9"/>
      <c r="Y70" s="9"/>
      <c r="Z70" s="9"/>
      <c r="AA70" s="9"/>
      <c r="AB70" s="9"/>
      <c r="AC70" s="9"/>
      <c r="AD70" s="9"/>
      <c r="AE70" s="9"/>
      <c r="AF70" s="9"/>
      <c r="AG70" s="9"/>
    </row>
    <row r="71" spans="1:33" ht="12.75" x14ac:dyDescent="0.2">
      <c r="A71" s="3" t="str">
        <f>HYPERLINK("https://docs.legis.wisconsin.gov/2019/proposals/ab311","AB 0311")</f>
        <v>AB 0311</v>
      </c>
      <c r="B71" s="4" t="s">
        <v>127</v>
      </c>
      <c r="C71" s="19" t="s">
        <v>107</v>
      </c>
      <c r="D71" s="6">
        <v>43643</v>
      </c>
      <c r="E71" s="3" t="str">
        <f>HYPERLINK("https://docs.legis.wisconsin.gov/2019/proposals/sb305","SB 305")</f>
        <v>SB 305</v>
      </c>
      <c r="F71" s="19"/>
      <c r="G71" s="14"/>
      <c r="H71" s="5"/>
      <c r="I71" s="8"/>
      <c r="J71" s="8"/>
      <c r="K71" s="5"/>
      <c r="L71" s="14"/>
      <c r="M71" s="5"/>
      <c r="N71" s="14"/>
      <c r="O71" s="5"/>
      <c r="P71" s="9"/>
      <c r="Q71" s="9"/>
      <c r="R71" s="9"/>
      <c r="S71" s="9"/>
      <c r="T71" s="9"/>
      <c r="U71" s="9"/>
      <c r="V71" s="9"/>
      <c r="W71" s="9"/>
      <c r="X71" s="9"/>
      <c r="Y71" s="9"/>
      <c r="Z71" s="9"/>
      <c r="AA71" s="9"/>
      <c r="AB71" s="9"/>
      <c r="AC71" s="9"/>
      <c r="AD71" s="9"/>
      <c r="AE71" s="9"/>
      <c r="AF71" s="9"/>
      <c r="AG71" s="9"/>
    </row>
    <row r="72" spans="1:33" ht="36" x14ac:dyDescent="0.2">
      <c r="A72" s="3" t="str">
        <f>HYPERLINK("https://docs.legis.wisconsin.gov/2019/proposals/ab312","AB 0312")</f>
        <v>AB 0312</v>
      </c>
      <c r="B72" s="4" t="s">
        <v>128</v>
      </c>
      <c r="C72" s="19" t="s">
        <v>129</v>
      </c>
      <c r="D72" s="6">
        <v>43643</v>
      </c>
      <c r="E72" s="14"/>
      <c r="F72" s="13" t="str">
        <f>HYPERLINK("https://docs.legis.wisconsin.gov/2019/related/fe/ab312","Y")</f>
        <v>Y</v>
      </c>
      <c r="G72" s="14"/>
      <c r="H72" s="5"/>
      <c r="I72" s="8"/>
      <c r="J72" s="8"/>
      <c r="K72" s="5"/>
      <c r="L72" s="14"/>
      <c r="M72" s="5"/>
      <c r="N72" s="5"/>
      <c r="O72" s="5"/>
      <c r="P72" s="9"/>
      <c r="Q72" s="9"/>
      <c r="R72" s="9"/>
      <c r="S72" s="9"/>
      <c r="T72" s="9"/>
      <c r="U72" s="9"/>
      <c r="V72" s="9"/>
      <c r="W72" s="9"/>
      <c r="X72" s="9"/>
      <c r="Y72" s="9"/>
      <c r="Z72" s="9"/>
      <c r="AA72" s="9"/>
      <c r="AB72" s="9"/>
      <c r="AC72" s="9"/>
      <c r="AD72" s="9"/>
      <c r="AE72" s="9"/>
      <c r="AF72" s="9"/>
      <c r="AG72" s="9"/>
    </row>
    <row r="73" spans="1:33" ht="48" x14ac:dyDescent="0.2">
      <c r="A73" s="3" t="str">
        <f>HYPERLINK("https://docs.legis.wisconsin.gov/2019/proposals/ab319","AB 0319")</f>
        <v>AB 0319</v>
      </c>
      <c r="B73" s="4" t="s">
        <v>130</v>
      </c>
      <c r="C73" s="19" t="s">
        <v>131</v>
      </c>
      <c r="D73" s="6">
        <v>43643</v>
      </c>
      <c r="E73" s="3" t="str">
        <f>HYPERLINK("https://docs.legis.wisconsin.gov/2019/proposals/sb308","SB 308")</f>
        <v>SB 308</v>
      </c>
      <c r="F73" s="13" t="str">
        <f>HYPERLINK("https://docs.legis.wisconsin.gov/2019/related/fe/ab319","Y")</f>
        <v>Y</v>
      </c>
      <c r="G73" s="14"/>
      <c r="H73" s="5"/>
      <c r="I73" s="8"/>
      <c r="J73" s="8"/>
      <c r="K73" s="5"/>
      <c r="L73" s="14"/>
      <c r="M73" s="5"/>
      <c r="N73" s="5"/>
      <c r="O73" s="5"/>
      <c r="P73" s="9"/>
      <c r="Q73" s="9"/>
      <c r="R73" s="9"/>
      <c r="S73" s="9"/>
      <c r="T73" s="9"/>
      <c r="U73" s="9"/>
      <c r="V73" s="9"/>
      <c r="W73" s="9"/>
      <c r="X73" s="9"/>
      <c r="Y73" s="9"/>
      <c r="Z73" s="9"/>
      <c r="AA73" s="9"/>
      <c r="AB73" s="9"/>
      <c r="AC73" s="9"/>
      <c r="AD73" s="9"/>
      <c r="AE73" s="9"/>
      <c r="AF73" s="9"/>
      <c r="AG73" s="9"/>
    </row>
    <row r="74" spans="1:33" ht="24" x14ac:dyDescent="0.2">
      <c r="A74" s="3" t="str">
        <f>HYPERLINK("https://docs.legis.wisconsin.gov/2019/proposals/ab338","AB 0338")</f>
        <v>AB 0338</v>
      </c>
      <c r="B74" s="4" t="s">
        <v>132</v>
      </c>
      <c r="C74" s="19" t="s">
        <v>133</v>
      </c>
      <c r="D74" s="6">
        <v>43662</v>
      </c>
      <c r="E74" s="3" t="str">
        <f>HYPERLINK("https://docs.legis.wisconsin.gov/2019/proposals/sb311","SB 311")</f>
        <v>SB 311</v>
      </c>
      <c r="F74" s="19"/>
      <c r="G74" s="5"/>
      <c r="H74" s="5"/>
      <c r="I74" s="8"/>
      <c r="J74" s="8"/>
      <c r="K74" s="5"/>
      <c r="L74" s="14"/>
      <c r="M74" s="5"/>
      <c r="N74" s="14"/>
      <c r="O74" s="14"/>
      <c r="P74" s="9"/>
      <c r="Q74" s="9"/>
      <c r="R74" s="9"/>
      <c r="S74" s="9"/>
      <c r="T74" s="9"/>
      <c r="U74" s="9"/>
      <c r="V74" s="9"/>
      <c r="W74" s="9"/>
      <c r="X74" s="9"/>
      <c r="Y74" s="9"/>
      <c r="Z74" s="9"/>
      <c r="AA74" s="9"/>
      <c r="AB74" s="9"/>
      <c r="AC74" s="9"/>
      <c r="AD74" s="9"/>
      <c r="AE74" s="9"/>
      <c r="AF74" s="9"/>
      <c r="AG74" s="9"/>
    </row>
    <row r="75" spans="1:33" ht="24" x14ac:dyDescent="0.2">
      <c r="A75" s="3" t="str">
        <f>HYPERLINK("https://docs.legis.wisconsin.gov/2019/proposals/reg/asm/bill/ab344","AB 0344")</f>
        <v>AB 0344</v>
      </c>
      <c r="B75" s="4" t="s">
        <v>134</v>
      </c>
      <c r="C75" s="19" t="s">
        <v>114</v>
      </c>
      <c r="D75" s="6">
        <v>43670</v>
      </c>
      <c r="E75" s="3" t="str">
        <f>HYPERLINK("https://docs.legis.wisconsin.gov/2019/proposals/sb321","SB 0321")</f>
        <v>SB 0321</v>
      </c>
      <c r="F75" s="19"/>
      <c r="G75" s="5"/>
      <c r="H75" s="5"/>
      <c r="I75" s="8"/>
      <c r="J75" s="8"/>
      <c r="K75" s="5"/>
      <c r="L75" s="14"/>
      <c r="M75" s="5"/>
      <c r="N75" s="3" t="str">
        <f>HYPERLINK("https://docs.legis.wisconsin.gov/2019/related/acts/128","128")</f>
        <v>128</v>
      </c>
      <c r="O75" s="3" t="str">
        <f>HYPERLINK("https://docs.legis.wisconsin.gov/2019/related/lcactmemo/act128.pdf","Y")</f>
        <v>Y</v>
      </c>
      <c r="P75" s="9"/>
      <c r="Q75" s="9"/>
      <c r="R75" s="9"/>
      <c r="S75" s="9"/>
      <c r="T75" s="9"/>
      <c r="U75" s="9"/>
      <c r="V75" s="9"/>
      <c r="W75" s="9"/>
      <c r="X75" s="9"/>
      <c r="Y75" s="9"/>
      <c r="Z75" s="9"/>
      <c r="AA75" s="9"/>
      <c r="AB75" s="9"/>
      <c r="AC75" s="9"/>
      <c r="AD75" s="9"/>
      <c r="AE75" s="9"/>
      <c r="AF75" s="9"/>
      <c r="AG75" s="9"/>
    </row>
    <row r="76" spans="1:33" ht="36" x14ac:dyDescent="0.2">
      <c r="A76" s="3" t="str">
        <f>HYPERLINK("https://docs.legis.wisconsin.gov/2019/proposals/reg/asm/bill/ab351","AB 0351")</f>
        <v>AB 0351</v>
      </c>
      <c r="B76" s="4" t="s">
        <v>135</v>
      </c>
      <c r="C76" s="19" t="s">
        <v>21</v>
      </c>
      <c r="D76" s="6">
        <v>43677</v>
      </c>
      <c r="E76" s="14"/>
      <c r="F76" s="19"/>
      <c r="G76" s="5"/>
      <c r="H76" s="5"/>
      <c r="I76" s="8"/>
      <c r="J76" s="8"/>
      <c r="K76" s="5"/>
      <c r="L76" s="14"/>
      <c r="M76" s="5"/>
      <c r="N76" s="5"/>
      <c r="O76" s="5"/>
      <c r="P76" s="9"/>
      <c r="Q76" s="9"/>
      <c r="R76" s="9"/>
      <c r="S76" s="9"/>
      <c r="T76" s="9"/>
      <c r="U76" s="9"/>
      <c r="V76" s="9"/>
      <c r="W76" s="9"/>
      <c r="X76" s="9"/>
      <c r="Y76" s="9"/>
      <c r="Z76" s="9"/>
      <c r="AA76" s="9"/>
      <c r="AB76" s="9"/>
      <c r="AC76" s="9"/>
      <c r="AD76" s="9"/>
      <c r="AE76" s="9"/>
      <c r="AF76" s="9"/>
      <c r="AG76" s="9"/>
    </row>
    <row r="77" spans="1:33" ht="24" x14ac:dyDescent="0.2">
      <c r="A77" s="3" t="str">
        <f>HYPERLINK("https://docs.legis.wisconsin.gov/2019/proposals/ab354","AB 0354")</f>
        <v>AB 0354</v>
      </c>
      <c r="B77" s="4" t="s">
        <v>136</v>
      </c>
      <c r="C77" s="19" t="s">
        <v>88</v>
      </c>
      <c r="D77" s="6">
        <v>43677</v>
      </c>
      <c r="E77" s="3" t="str">
        <f>HYPERLINK("https://docs.legis.wisconsin.gov/2019/proposals/sb330","SB 330")</f>
        <v>SB 330</v>
      </c>
      <c r="F77" s="19"/>
      <c r="G77" s="5"/>
      <c r="H77" s="5"/>
      <c r="I77" s="8"/>
      <c r="J77" s="8"/>
      <c r="K77" s="5"/>
      <c r="L77" s="14"/>
      <c r="M77" s="14"/>
      <c r="N77" s="5"/>
      <c r="O77" s="5"/>
      <c r="P77" s="9"/>
      <c r="Q77" s="9"/>
      <c r="R77" s="9"/>
      <c r="S77" s="9"/>
      <c r="T77" s="9"/>
      <c r="U77" s="9"/>
      <c r="V77" s="9"/>
      <c r="W77" s="9"/>
      <c r="X77" s="9"/>
      <c r="Y77" s="9"/>
      <c r="Z77" s="9"/>
      <c r="AA77" s="9"/>
      <c r="AB77" s="9"/>
      <c r="AC77" s="9"/>
      <c r="AD77" s="9"/>
      <c r="AE77" s="9"/>
      <c r="AF77" s="9"/>
      <c r="AG77" s="9"/>
    </row>
    <row r="78" spans="1:33" ht="24" x14ac:dyDescent="0.2">
      <c r="A78" s="3" t="str">
        <f>HYPERLINK("https://docs.legis.wisconsin.gov/2019/proposals/reg/asm/bill/ab361","AB 0361")</f>
        <v>AB 0361</v>
      </c>
      <c r="B78" s="4" t="s">
        <v>137</v>
      </c>
      <c r="C78" s="19" t="s">
        <v>138</v>
      </c>
      <c r="D78" s="6">
        <v>43689</v>
      </c>
      <c r="E78" s="3" t="str">
        <f>HYPERLINK("https://docs.legis.wisconsin.gov/2019/proposals/sb334","SB 0334")</f>
        <v>SB 0334</v>
      </c>
      <c r="F78" s="19"/>
      <c r="G78" s="5"/>
      <c r="H78" s="5"/>
      <c r="I78" s="8"/>
      <c r="J78" s="8"/>
      <c r="K78" s="5"/>
      <c r="L78" s="14"/>
      <c r="M78" s="5"/>
      <c r="N78" s="5"/>
      <c r="O78" s="5"/>
      <c r="P78" s="9"/>
      <c r="Q78" s="9"/>
      <c r="R78" s="9"/>
      <c r="S78" s="9"/>
      <c r="T78" s="9"/>
      <c r="U78" s="9"/>
      <c r="V78" s="9"/>
      <c r="W78" s="9"/>
      <c r="X78" s="9"/>
      <c r="Y78" s="9"/>
      <c r="Z78" s="9"/>
      <c r="AA78" s="9"/>
      <c r="AB78" s="9"/>
      <c r="AC78" s="9"/>
      <c r="AD78" s="9"/>
      <c r="AE78" s="9"/>
      <c r="AF78" s="9"/>
      <c r="AG78" s="9"/>
    </row>
    <row r="79" spans="1:33" ht="36" x14ac:dyDescent="0.2">
      <c r="A79" s="3" t="str">
        <f>HYPERLINK("https://docs.legis.wisconsin.gov/2019/proposals/ab368","AB 0368")</f>
        <v>AB 0368</v>
      </c>
      <c r="B79" s="4" t="s">
        <v>139</v>
      </c>
      <c r="C79" s="19" t="s">
        <v>114</v>
      </c>
      <c r="D79" s="6">
        <v>43689</v>
      </c>
      <c r="E79" s="3" t="str">
        <f>HYPERLINK("https://docs.legis.wisconsin.gov/2019/proposals/sb327","SB 327")</f>
        <v>SB 327</v>
      </c>
      <c r="F79" s="13" t="str">
        <f>HYPERLINK("https://docs.legis.wisconsin.gov/2019/related/fe/ab368","Y")</f>
        <v>Y</v>
      </c>
      <c r="G79" s="14"/>
      <c r="H79" s="14"/>
      <c r="I79" s="17"/>
      <c r="J79" s="17"/>
      <c r="K79" s="14"/>
      <c r="L79" s="14"/>
      <c r="M79" s="3" t="str">
        <f>HYPERLINK("https://docs.legis.wisconsin.gov/misc/lc/hearing_testimony_and_materials/2019/ab368","Information")</f>
        <v>Information</v>
      </c>
      <c r="N79" s="5"/>
      <c r="O79" s="5"/>
      <c r="P79" s="9"/>
      <c r="Q79" s="9"/>
      <c r="R79" s="9"/>
      <c r="S79" s="9"/>
      <c r="T79" s="9"/>
      <c r="U79" s="9"/>
      <c r="V79" s="9"/>
      <c r="W79" s="9"/>
      <c r="X79" s="9"/>
      <c r="Y79" s="9"/>
      <c r="Z79" s="9"/>
      <c r="AA79" s="9"/>
      <c r="AB79" s="9"/>
      <c r="AC79" s="9"/>
      <c r="AD79" s="9"/>
      <c r="AE79" s="9"/>
      <c r="AF79" s="9"/>
      <c r="AG79" s="9"/>
    </row>
    <row r="80" spans="1:33" ht="24" x14ac:dyDescent="0.2">
      <c r="A80" s="3" t="str">
        <f>HYPERLINK("https://docs.legis.wisconsin.gov/2019/proposals/reg/asm/bill/ab369","AB 0369")</f>
        <v>AB 0369</v>
      </c>
      <c r="B80" s="4" t="s">
        <v>140</v>
      </c>
      <c r="C80" s="19" t="s">
        <v>27</v>
      </c>
      <c r="D80" s="6">
        <v>43689</v>
      </c>
      <c r="E80" s="3" t="str">
        <f>HYPERLINK("https://docs.legis.wisconsin.gov/2019/proposals/sb343","SB 0343")</f>
        <v>SB 0343</v>
      </c>
      <c r="F80" s="19"/>
      <c r="G80" s="5"/>
      <c r="H80" s="5"/>
      <c r="I80" s="8"/>
      <c r="J80" s="8"/>
      <c r="K80" s="5"/>
      <c r="L80" s="14"/>
      <c r="M80" s="5"/>
      <c r="N80" s="5"/>
      <c r="O80" s="5"/>
      <c r="P80" s="9"/>
      <c r="Q80" s="9"/>
      <c r="R80" s="9"/>
      <c r="S80" s="9"/>
      <c r="T80" s="9"/>
      <c r="U80" s="9"/>
      <c r="V80" s="9"/>
      <c r="W80" s="9"/>
      <c r="X80" s="9"/>
      <c r="Y80" s="9"/>
      <c r="Z80" s="9"/>
      <c r="AA80" s="9"/>
      <c r="AB80" s="9"/>
      <c r="AC80" s="9"/>
      <c r="AD80" s="9"/>
      <c r="AE80" s="9"/>
      <c r="AF80" s="9"/>
      <c r="AG80" s="9"/>
    </row>
    <row r="81" spans="1:33" ht="48" x14ac:dyDescent="0.2">
      <c r="A81" s="3" t="str">
        <f>HYPERLINK("https://docs.legis.wisconsin.gov/2019/proposals/reg/asm/bill/ab370","AB 0370")</f>
        <v>AB 0370</v>
      </c>
      <c r="B81" s="4" t="s">
        <v>141</v>
      </c>
      <c r="C81" s="19" t="s">
        <v>27</v>
      </c>
      <c r="D81" s="6">
        <v>43689</v>
      </c>
      <c r="E81" s="3" t="str">
        <f>HYPERLINK("https://docs.legis.wisconsin.gov/2019/proposals/sb388","SB 0388")</f>
        <v>SB 0388</v>
      </c>
      <c r="F81" s="19"/>
      <c r="G81" s="5"/>
      <c r="H81" s="5"/>
      <c r="I81" s="8"/>
      <c r="J81" s="8"/>
      <c r="K81" s="5"/>
      <c r="L81" s="14"/>
      <c r="M81" s="5"/>
      <c r="N81" s="5"/>
      <c r="O81" s="5"/>
      <c r="P81" s="9"/>
      <c r="Q81" s="9"/>
      <c r="R81" s="9"/>
      <c r="S81" s="9"/>
      <c r="T81" s="9"/>
      <c r="U81" s="9"/>
      <c r="V81" s="9"/>
      <c r="W81" s="9"/>
      <c r="X81" s="9"/>
      <c r="Y81" s="9"/>
      <c r="Z81" s="9"/>
      <c r="AA81" s="9"/>
      <c r="AB81" s="9"/>
      <c r="AC81" s="9"/>
      <c r="AD81" s="9"/>
      <c r="AE81" s="9"/>
      <c r="AF81" s="9"/>
      <c r="AG81" s="9"/>
    </row>
    <row r="82" spans="1:33" ht="72" x14ac:dyDescent="0.2">
      <c r="A82" s="3" t="str">
        <f>HYPERLINK("https://docs.legis.wisconsin.gov/2019/proposals/reg/asm/bill/ab371","AB 0371")</f>
        <v>AB 0371</v>
      </c>
      <c r="B82" s="4" t="s">
        <v>142</v>
      </c>
      <c r="C82" s="19" t="s">
        <v>27</v>
      </c>
      <c r="D82" s="6">
        <v>43689</v>
      </c>
      <c r="E82" s="3" t="str">
        <f>HYPERLINK("https://docs.legis.wisconsin.gov/2019/proposals/sb342","SB 0342")</f>
        <v>SB 0342</v>
      </c>
      <c r="F82" s="19"/>
      <c r="G82" s="5"/>
      <c r="H82" s="5"/>
      <c r="I82" s="8"/>
      <c r="J82" s="8"/>
      <c r="K82" s="5"/>
      <c r="L82" s="14"/>
      <c r="M82" s="5"/>
      <c r="N82" s="5"/>
      <c r="O82" s="5"/>
      <c r="P82" s="79"/>
      <c r="Q82" s="79"/>
      <c r="R82" s="79"/>
      <c r="S82" s="79"/>
      <c r="T82" s="79"/>
      <c r="U82" s="79"/>
      <c r="V82" s="79"/>
      <c r="W82" s="79"/>
      <c r="X82" s="79"/>
      <c r="Y82" s="79"/>
      <c r="Z82" s="79"/>
      <c r="AA82" s="79"/>
      <c r="AB82" s="79"/>
      <c r="AC82" s="79"/>
      <c r="AD82" s="79"/>
      <c r="AE82" s="79"/>
      <c r="AF82" s="79"/>
      <c r="AG82" s="79"/>
    </row>
    <row r="83" spans="1:33" ht="48" x14ac:dyDescent="0.2">
      <c r="A83" s="3" t="str">
        <f>HYPERLINK("https://docs.legis.wisconsin.gov/2019/proposals/reg/asm/bill/ab372","AB 0372")</f>
        <v>AB 0372</v>
      </c>
      <c r="B83" s="4" t="s">
        <v>143</v>
      </c>
      <c r="C83" s="19" t="s">
        <v>27</v>
      </c>
      <c r="D83" s="6">
        <v>43689</v>
      </c>
      <c r="E83" s="3" t="str">
        <f>HYPERLINK("https://docs.legis.wisconsin.gov/2019/proposals/sb486","SB 0486")</f>
        <v>SB 0486</v>
      </c>
      <c r="F83" s="19"/>
      <c r="G83" s="5"/>
      <c r="H83" s="5"/>
      <c r="I83" s="8"/>
      <c r="J83" s="8"/>
      <c r="K83" s="5"/>
      <c r="L83" s="14"/>
      <c r="M83" s="5"/>
      <c r="N83" s="5"/>
      <c r="O83" s="5"/>
      <c r="P83" s="9"/>
      <c r="Q83" s="9"/>
      <c r="R83" s="9"/>
      <c r="S83" s="9"/>
      <c r="T83" s="9"/>
      <c r="U83" s="9"/>
      <c r="V83" s="9"/>
      <c r="W83" s="9"/>
      <c r="X83" s="9"/>
      <c r="Y83" s="9"/>
      <c r="Z83" s="9"/>
      <c r="AA83" s="9"/>
      <c r="AB83" s="9"/>
      <c r="AC83" s="9"/>
      <c r="AD83" s="9"/>
      <c r="AE83" s="9"/>
      <c r="AF83" s="9"/>
      <c r="AG83" s="9"/>
    </row>
    <row r="84" spans="1:33" ht="12.75" x14ac:dyDescent="0.2">
      <c r="A84" s="3" t="str">
        <f>HYPERLINK("https://docs.legis.wisconsin.gov/2019/proposals/reg/asm/bill/ab373","AB 0373")</f>
        <v>AB 0373</v>
      </c>
      <c r="B84" s="4" t="s">
        <v>144</v>
      </c>
      <c r="C84" s="19" t="s">
        <v>27</v>
      </c>
      <c r="D84" s="6">
        <v>43689</v>
      </c>
      <c r="E84" s="3" t="str">
        <f>HYPERLINK("https://docs.legis.wisconsin.gov/2019/proposals/sb341","SB 0341")</f>
        <v>SB 0341</v>
      </c>
      <c r="F84" s="19"/>
      <c r="G84" s="5"/>
      <c r="H84" s="5"/>
      <c r="I84" s="8"/>
      <c r="J84" s="8"/>
      <c r="K84" s="5"/>
      <c r="L84" s="14"/>
      <c r="M84" s="5"/>
      <c r="N84" s="5"/>
      <c r="O84" s="5"/>
      <c r="P84" s="9"/>
      <c r="Q84" s="9"/>
      <c r="R84" s="9"/>
      <c r="S84" s="9"/>
      <c r="T84" s="9"/>
      <c r="U84" s="9"/>
      <c r="V84" s="9"/>
      <c r="W84" s="9"/>
      <c r="X84" s="9"/>
      <c r="Y84" s="9"/>
      <c r="Z84" s="9"/>
      <c r="AA84" s="9"/>
      <c r="AB84" s="9"/>
      <c r="AC84" s="9"/>
      <c r="AD84" s="9"/>
      <c r="AE84" s="9"/>
      <c r="AF84" s="9"/>
      <c r="AG84" s="9"/>
    </row>
    <row r="85" spans="1:33" ht="24" x14ac:dyDescent="0.2">
      <c r="A85" s="3" t="str">
        <f>HYPERLINK("https://docs.legis.wisconsin.gov/2019/proposals/reg/asm/bill/ab376","AB 0376")</f>
        <v>AB 0376</v>
      </c>
      <c r="B85" s="4" t="s">
        <v>145</v>
      </c>
      <c r="C85" s="19" t="s">
        <v>146</v>
      </c>
      <c r="D85" s="6">
        <v>43705</v>
      </c>
      <c r="E85" s="3" t="str">
        <f>HYPERLINK("https://docs.legis.wisconsin.gov/2019/proposals/sb346","SB 0346")</f>
        <v>SB 0346</v>
      </c>
      <c r="F85" s="19"/>
      <c r="G85" s="5"/>
      <c r="H85" s="5"/>
      <c r="I85" s="8"/>
      <c r="J85" s="8"/>
      <c r="K85" s="5"/>
      <c r="L85" s="14"/>
      <c r="M85" s="5"/>
      <c r="N85" s="5"/>
      <c r="O85" s="5"/>
      <c r="P85" s="9"/>
      <c r="Q85" s="9"/>
      <c r="R85" s="9"/>
      <c r="S85" s="9"/>
      <c r="T85" s="9"/>
      <c r="U85" s="9"/>
      <c r="V85" s="9"/>
      <c r="W85" s="9"/>
      <c r="X85" s="9"/>
      <c r="Y85" s="9"/>
      <c r="Z85" s="9"/>
      <c r="AA85" s="9"/>
      <c r="AB85" s="9"/>
      <c r="AC85" s="9"/>
      <c r="AD85" s="9"/>
      <c r="AE85" s="9"/>
      <c r="AF85" s="9"/>
      <c r="AG85" s="9"/>
    </row>
    <row r="86" spans="1:33" ht="12.75" x14ac:dyDescent="0.2">
      <c r="A86" s="3" t="str">
        <f>HYPERLINK("https://docs.legis.wisconsin.gov/2019/proposals/reg/asm/bill/ab377","AB 0377")</f>
        <v>AB 0377</v>
      </c>
      <c r="B86" s="4" t="s">
        <v>147</v>
      </c>
      <c r="C86" s="19" t="s">
        <v>148</v>
      </c>
      <c r="D86" s="6">
        <v>43705</v>
      </c>
      <c r="E86" s="3" t="str">
        <f>HYPERLINK("https://docs.legis.wisconsin.gov/2019/proposals/sb347","SB 0347")</f>
        <v>SB 0347</v>
      </c>
      <c r="F86" s="13" t="str">
        <f>HYPERLINK("https://docs.legis.wisconsin.gov/2019/related/fe/ab377","Y")</f>
        <v>Y</v>
      </c>
      <c r="G86" s="14"/>
      <c r="H86" s="5"/>
      <c r="I86" s="17"/>
      <c r="J86" s="17"/>
      <c r="K86" s="14"/>
      <c r="L86" s="14"/>
      <c r="M86" s="5"/>
      <c r="N86" s="5"/>
      <c r="O86" s="5"/>
      <c r="P86" s="9"/>
      <c r="Q86" s="9"/>
      <c r="R86" s="9"/>
      <c r="S86" s="9"/>
      <c r="T86" s="9"/>
      <c r="U86" s="9"/>
      <c r="V86" s="9"/>
      <c r="W86" s="9"/>
      <c r="X86" s="9"/>
      <c r="Y86" s="9"/>
      <c r="Z86" s="9"/>
      <c r="AA86" s="9"/>
      <c r="AB86" s="9"/>
      <c r="AC86" s="9"/>
      <c r="AD86" s="9"/>
      <c r="AE86" s="9"/>
      <c r="AF86" s="9"/>
      <c r="AG86" s="9"/>
    </row>
    <row r="87" spans="1:33" ht="12.75" x14ac:dyDescent="0.2">
      <c r="A87" s="3" t="str">
        <f>HYPERLINK("https://docs.legis.wisconsin.gov/2019/proposals/reg/asm/bill/ab378","AB 0378")</f>
        <v>AB 0378</v>
      </c>
      <c r="B87" s="4" t="s">
        <v>149</v>
      </c>
      <c r="C87" s="19" t="s">
        <v>129</v>
      </c>
      <c r="D87" s="6">
        <v>43705</v>
      </c>
      <c r="E87" s="3" t="str">
        <f>HYPERLINK("https://docs.legis.wisconsin.gov/2019/proposals/sb420","SB 420")</f>
        <v>SB 420</v>
      </c>
      <c r="F87" s="13" t="str">
        <f>HYPERLINK("https://docs.legis.wisconsin.gov/2019/related/fe/ab378","Y")</f>
        <v>Y</v>
      </c>
      <c r="G87" s="14"/>
      <c r="H87" s="5"/>
      <c r="I87" s="8"/>
      <c r="J87" s="8"/>
      <c r="K87" s="5"/>
      <c r="L87" s="14"/>
      <c r="M87" s="14"/>
      <c r="N87" s="5"/>
      <c r="O87" s="5"/>
      <c r="P87" s="9"/>
      <c r="Q87" s="9"/>
      <c r="R87" s="9"/>
      <c r="S87" s="9"/>
      <c r="T87" s="9"/>
      <c r="U87" s="9"/>
      <c r="V87" s="9"/>
      <c r="W87" s="9"/>
      <c r="X87" s="9"/>
      <c r="Y87" s="9"/>
      <c r="Z87" s="9"/>
      <c r="AA87" s="9"/>
      <c r="AB87" s="9"/>
      <c r="AC87" s="9"/>
      <c r="AD87" s="9"/>
      <c r="AE87" s="9"/>
      <c r="AF87" s="9"/>
      <c r="AG87" s="9"/>
    </row>
    <row r="88" spans="1:33" ht="24" x14ac:dyDescent="0.2">
      <c r="A88" s="3" t="str">
        <f>HYPERLINK("https://docs.legis.wisconsin.gov/2019/proposals/reg/asm/bill/ab381","AB 0381")</f>
        <v>AB 0381</v>
      </c>
      <c r="B88" s="4" t="s">
        <v>150</v>
      </c>
      <c r="C88" s="19" t="s">
        <v>129</v>
      </c>
      <c r="D88" s="6">
        <v>43705</v>
      </c>
      <c r="E88" s="14"/>
      <c r="F88" s="13" t="str">
        <f>HYPERLINK("https://docs.legis.wisconsin.gov/2019/related/fe/ab381","Y")</f>
        <v>Y</v>
      </c>
      <c r="G88" s="14"/>
      <c r="H88" s="5"/>
      <c r="I88" s="8"/>
      <c r="J88" s="8"/>
      <c r="K88" s="5"/>
      <c r="L88" s="14"/>
      <c r="M88" s="14"/>
      <c r="N88" s="5"/>
      <c r="O88" s="5"/>
      <c r="P88" s="9"/>
      <c r="Q88" s="9"/>
      <c r="R88" s="9"/>
      <c r="S88" s="9"/>
      <c r="T88" s="9"/>
      <c r="U88" s="9"/>
      <c r="V88" s="9"/>
      <c r="W88" s="9"/>
      <c r="X88" s="9"/>
      <c r="Y88" s="9"/>
      <c r="Z88" s="9"/>
      <c r="AA88" s="9"/>
      <c r="AB88" s="9"/>
      <c r="AC88" s="9"/>
      <c r="AD88" s="9"/>
      <c r="AE88" s="9"/>
      <c r="AF88" s="9"/>
      <c r="AG88" s="9"/>
    </row>
    <row r="89" spans="1:33" ht="36" x14ac:dyDescent="0.2">
      <c r="A89" s="3" t="str">
        <f>HYPERLINK("https://docs.legis.wisconsin.gov/2019/proposals/reg/asm/bill/ab384","AB 0384")</f>
        <v>AB 0384</v>
      </c>
      <c r="B89" s="4" t="s">
        <v>151</v>
      </c>
      <c r="C89" s="19" t="s">
        <v>152</v>
      </c>
      <c r="D89" s="6">
        <v>43705</v>
      </c>
      <c r="E89" s="3" t="str">
        <f>HYPERLINK("https://docs.legis.wisconsin.gov/2019/proposals/sb421","SB 0421")</f>
        <v>SB 0421</v>
      </c>
      <c r="F89" s="19"/>
      <c r="G89" s="5"/>
      <c r="H89" s="5"/>
      <c r="I89" s="8"/>
      <c r="J89" s="8"/>
      <c r="K89" s="5"/>
      <c r="L89" s="14"/>
      <c r="M89" s="14"/>
      <c r="N89" s="14"/>
      <c r="O89" s="14"/>
      <c r="P89" s="9"/>
      <c r="Q89" s="9"/>
      <c r="R89" s="9"/>
      <c r="S89" s="9"/>
      <c r="T89" s="9"/>
      <c r="U89" s="9"/>
      <c r="V89" s="9"/>
      <c r="W89" s="9"/>
      <c r="X89" s="9"/>
      <c r="Y89" s="9"/>
      <c r="Z89" s="9"/>
      <c r="AA89" s="9"/>
      <c r="AB89" s="9"/>
      <c r="AC89" s="9"/>
      <c r="AD89" s="9"/>
      <c r="AE89" s="9"/>
      <c r="AF89" s="9"/>
      <c r="AG89" s="9"/>
    </row>
    <row r="90" spans="1:33" ht="24" x14ac:dyDescent="0.2">
      <c r="A90" s="3" t="str">
        <f>HYPERLINK("https://docs.legis.wisconsin.gov/2019/proposals/reg/asm/bill/ab387","AB 0387")</f>
        <v>AB 0387</v>
      </c>
      <c r="B90" s="4" t="s">
        <v>153</v>
      </c>
      <c r="C90" s="19" t="s">
        <v>154</v>
      </c>
      <c r="D90" s="6">
        <v>43705</v>
      </c>
      <c r="E90" s="3" t="str">
        <f>HYPERLINK("https://docs.legis.wisconsin.gov/2019/proposals/sb357","SB 0357")</f>
        <v>SB 0357</v>
      </c>
      <c r="F90" s="19"/>
      <c r="G90" s="5"/>
      <c r="H90" s="5"/>
      <c r="I90" s="8"/>
      <c r="J90" s="8"/>
      <c r="K90" s="5"/>
      <c r="L90" s="14"/>
      <c r="M90" s="14"/>
      <c r="N90" s="14"/>
      <c r="O90" s="14"/>
      <c r="P90" s="9"/>
      <c r="Q90" s="9"/>
      <c r="R90" s="9"/>
      <c r="S90" s="9"/>
      <c r="T90" s="9"/>
      <c r="U90" s="9"/>
      <c r="V90" s="9"/>
      <c r="W90" s="9"/>
      <c r="X90" s="9"/>
      <c r="Y90" s="9"/>
      <c r="Z90" s="9"/>
      <c r="AA90" s="9"/>
      <c r="AB90" s="9"/>
      <c r="AC90" s="9"/>
      <c r="AD90" s="9"/>
      <c r="AE90" s="9"/>
      <c r="AF90" s="9"/>
      <c r="AG90" s="9"/>
    </row>
    <row r="91" spans="1:33" ht="24" x14ac:dyDescent="0.2">
      <c r="A91" s="3" t="str">
        <f>HYPERLINK("https://docs.legis.wisconsin.gov/2019/proposals/reg/asm/bill/ab388","AB 0388")</f>
        <v>AB 0388</v>
      </c>
      <c r="B91" s="4" t="s">
        <v>155</v>
      </c>
      <c r="C91" s="19" t="s">
        <v>154</v>
      </c>
      <c r="D91" s="6">
        <v>43706</v>
      </c>
      <c r="E91" s="3" t="str">
        <f>HYPERLINK("https://docs.legis.wisconsin.gov/2019/proposals/sb358","SB 0358")</f>
        <v>SB 0358</v>
      </c>
      <c r="F91" s="19"/>
      <c r="G91" s="5"/>
      <c r="H91" s="5"/>
      <c r="I91" s="8"/>
      <c r="J91" s="8"/>
      <c r="K91" s="5"/>
      <c r="L91" s="14"/>
      <c r="M91" s="14"/>
      <c r="N91" s="5"/>
      <c r="O91" s="5"/>
      <c r="P91" s="9"/>
      <c r="Q91" s="9"/>
      <c r="R91" s="9"/>
      <c r="S91" s="9"/>
      <c r="T91" s="9"/>
      <c r="U91" s="9"/>
      <c r="V91" s="9"/>
      <c r="W91" s="9"/>
      <c r="X91" s="9"/>
      <c r="Y91" s="9"/>
      <c r="Z91" s="9"/>
      <c r="AA91" s="9"/>
      <c r="AB91" s="9"/>
      <c r="AC91" s="9"/>
      <c r="AD91" s="9"/>
      <c r="AE91" s="9"/>
      <c r="AF91" s="9"/>
      <c r="AG91" s="9"/>
    </row>
    <row r="92" spans="1:33" ht="24" x14ac:dyDescent="0.2">
      <c r="A92" s="3" t="str">
        <f>HYPERLINK("https://docs.legis.wisconsin.gov/2019/proposals/reg/asm/bill/ab389","AB 0389")</f>
        <v>AB 0389</v>
      </c>
      <c r="B92" s="4" t="s">
        <v>156</v>
      </c>
      <c r="C92" s="19" t="s">
        <v>154</v>
      </c>
      <c r="D92" s="6">
        <v>43707</v>
      </c>
      <c r="E92" s="3" t="str">
        <f>HYPERLINK("https://docs.legis.wisconsin.gov/2019/proposals/sb355","SB 0355")</f>
        <v>SB 0355</v>
      </c>
      <c r="F92" s="19"/>
      <c r="G92" s="5"/>
      <c r="H92" s="5"/>
      <c r="I92" s="8"/>
      <c r="J92" s="8"/>
      <c r="K92" s="5"/>
      <c r="L92" s="14"/>
      <c r="M92" s="14"/>
      <c r="N92" s="5"/>
      <c r="O92" s="5"/>
      <c r="P92" s="9"/>
      <c r="Q92" s="9"/>
      <c r="R92" s="9"/>
      <c r="S92" s="9"/>
      <c r="T92" s="9"/>
      <c r="U92" s="9"/>
      <c r="V92" s="9"/>
      <c r="W92" s="9"/>
      <c r="X92" s="9"/>
      <c r="Y92" s="9"/>
      <c r="Z92" s="9"/>
      <c r="AA92" s="9"/>
      <c r="AB92" s="9"/>
      <c r="AC92" s="9"/>
      <c r="AD92" s="9"/>
      <c r="AE92" s="9"/>
      <c r="AF92" s="9"/>
      <c r="AG92" s="9"/>
    </row>
    <row r="93" spans="1:33" ht="36" x14ac:dyDescent="0.2">
      <c r="A93" s="3" t="str">
        <f>HYPERLINK("https://docs.legis.wisconsin.gov/2019/proposals/reg/asm/bill/ab390","AB 0390")</f>
        <v>AB 0390</v>
      </c>
      <c r="B93" s="4" t="s">
        <v>157</v>
      </c>
      <c r="C93" s="19" t="s">
        <v>154</v>
      </c>
      <c r="D93" s="6">
        <v>43708</v>
      </c>
      <c r="E93" s="3" t="str">
        <f>HYPERLINK("https://docs.legis.wisconsin.gov/2019/proposals/sb359","SB 0359")</f>
        <v>SB 0359</v>
      </c>
      <c r="F93" s="19"/>
      <c r="G93" s="5"/>
      <c r="H93" s="5"/>
      <c r="I93" s="8"/>
      <c r="J93" s="8"/>
      <c r="K93" s="5"/>
      <c r="L93" s="14"/>
      <c r="M93" s="14"/>
      <c r="N93" s="5"/>
      <c r="O93" s="5"/>
      <c r="P93" s="9"/>
      <c r="Q93" s="9"/>
      <c r="R93" s="9"/>
      <c r="S93" s="9"/>
      <c r="T93" s="9"/>
      <c r="U93" s="9"/>
      <c r="V93" s="9"/>
      <c r="W93" s="9"/>
      <c r="X93" s="9"/>
      <c r="Y93" s="9"/>
      <c r="Z93" s="9"/>
      <c r="AA93" s="9"/>
      <c r="AB93" s="9"/>
      <c r="AC93" s="9"/>
      <c r="AD93" s="9"/>
      <c r="AE93" s="9"/>
      <c r="AF93" s="9"/>
      <c r="AG93" s="9"/>
    </row>
    <row r="94" spans="1:33" ht="36" x14ac:dyDescent="0.2">
      <c r="A94" s="3" t="str">
        <f>HYPERLINK("https://docs.legis.wisconsin.gov/2019/proposals/reg/asm/bill/ab391","AB 0391")</f>
        <v>AB 0391</v>
      </c>
      <c r="B94" s="4" t="s">
        <v>158</v>
      </c>
      <c r="C94" s="19" t="s">
        <v>154</v>
      </c>
      <c r="D94" s="6">
        <v>43709</v>
      </c>
      <c r="E94" s="3" t="str">
        <f>HYPERLINK("https://docs.legis.wisconsin.gov/2019/proposals/sb360","SB 0360")</f>
        <v>SB 0360</v>
      </c>
      <c r="F94" s="19"/>
      <c r="G94" s="5"/>
      <c r="H94" s="5"/>
      <c r="I94" s="8"/>
      <c r="J94" s="8"/>
      <c r="K94" s="5"/>
      <c r="L94" s="14"/>
      <c r="M94" s="5"/>
      <c r="N94" s="5"/>
      <c r="O94" s="5"/>
      <c r="P94" s="9"/>
      <c r="Q94" s="9"/>
      <c r="R94" s="9"/>
      <c r="S94" s="9"/>
      <c r="T94" s="9"/>
      <c r="U94" s="9"/>
      <c r="V94" s="9"/>
      <c r="W94" s="9"/>
      <c r="X94" s="9"/>
      <c r="Y94" s="9"/>
      <c r="Z94" s="9"/>
      <c r="AA94" s="9"/>
      <c r="AB94" s="9"/>
      <c r="AC94" s="9"/>
      <c r="AD94" s="9"/>
      <c r="AE94" s="9"/>
      <c r="AF94" s="9"/>
      <c r="AG94" s="9"/>
    </row>
    <row r="95" spans="1:33" ht="24" x14ac:dyDescent="0.2">
      <c r="A95" s="3" t="str">
        <f>HYPERLINK("https://docs.legis.wisconsin.gov/2019/proposals/reg/asm/bill/ab392","AB 0392")</f>
        <v>AB 0392</v>
      </c>
      <c r="B95" s="4" t="s">
        <v>159</v>
      </c>
      <c r="C95" s="19" t="s">
        <v>154</v>
      </c>
      <c r="D95" s="6">
        <v>43710</v>
      </c>
      <c r="E95" s="3" t="str">
        <f>HYPERLINK("https://docs.legis.wisconsin.gov/2019/proposals/sb356","SB 0356")</f>
        <v>SB 0356</v>
      </c>
      <c r="F95" s="19"/>
      <c r="G95" s="5"/>
      <c r="H95" s="5"/>
      <c r="I95" s="8"/>
      <c r="J95" s="8"/>
      <c r="K95" s="5"/>
      <c r="L95" s="14"/>
      <c r="M95" s="14"/>
      <c r="N95" s="5"/>
      <c r="O95" s="5"/>
      <c r="P95" s="9"/>
      <c r="Q95" s="9"/>
      <c r="R95" s="9"/>
      <c r="S95" s="9"/>
      <c r="T95" s="9"/>
      <c r="U95" s="9"/>
      <c r="V95" s="9"/>
      <c r="W95" s="9"/>
      <c r="X95" s="9"/>
      <c r="Y95" s="9"/>
      <c r="Z95" s="9"/>
      <c r="AA95" s="9"/>
      <c r="AB95" s="9"/>
      <c r="AC95" s="9"/>
      <c r="AD95" s="9"/>
      <c r="AE95" s="9"/>
      <c r="AF95" s="9"/>
      <c r="AG95" s="9"/>
    </row>
    <row r="96" spans="1:33" ht="24" x14ac:dyDescent="0.2">
      <c r="A96" s="3" t="str">
        <f>HYPERLINK("https://docs.legis.wisconsin.gov/2019/proposals/reg/asm/bill/ab393","AB 0393")</f>
        <v>AB 0393</v>
      </c>
      <c r="B96" s="4" t="s">
        <v>160</v>
      </c>
      <c r="C96" s="19" t="s">
        <v>161</v>
      </c>
      <c r="D96" s="6">
        <v>43705</v>
      </c>
      <c r="E96" s="3" t="str">
        <f>HYPERLINK("https://docs.legis.wisconsin.gov/2019/proposals/sb373","SB 0373")</f>
        <v>SB 0373</v>
      </c>
      <c r="F96" s="19"/>
      <c r="G96" s="5"/>
      <c r="H96" s="5"/>
      <c r="I96" s="8"/>
      <c r="J96" s="8"/>
      <c r="K96" s="5"/>
      <c r="L96" s="14"/>
      <c r="M96" s="5"/>
      <c r="N96" s="5"/>
      <c r="O96" s="5"/>
      <c r="P96" s="9"/>
      <c r="Q96" s="9"/>
      <c r="R96" s="9"/>
      <c r="S96" s="9"/>
      <c r="T96" s="9"/>
      <c r="U96" s="9"/>
      <c r="V96" s="9"/>
      <c r="W96" s="9"/>
      <c r="X96" s="9"/>
      <c r="Y96" s="9"/>
      <c r="Z96" s="9"/>
      <c r="AA96" s="9"/>
      <c r="AB96" s="9"/>
      <c r="AC96" s="9"/>
      <c r="AD96" s="9"/>
      <c r="AE96" s="9"/>
      <c r="AF96" s="9"/>
      <c r="AG96" s="9"/>
    </row>
    <row r="97" spans="1:33" ht="84" x14ac:dyDescent="0.2">
      <c r="A97" s="3" t="str">
        <f>HYPERLINK("https://docs.legis.wisconsin.gov/2019/proposals/reg/asm/bill/ab397","AB 0397")</f>
        <v>AB 0397</v>
      </c>
      <c r="B97" s="4" t="s">
        <v>162</v>
      </c>
      <c r="C97" s="19" t="s">
        <v>163</v>
      </c>
      <c r="D97" s="6">
        <v>43713</v>
      </c>
      <c r="E97" s="3" t="str">
        <f>HYPERLINK("https://docs.legis.wisconsin.gov/2019/proposals/sb367","SB 0367")</f>
        <v>SB 0367</v>
      </c>
      <c r="F97" s="19"/>
      <c r="G97" s="5"/>
      <c r="H97" s="5"/>
      <c r="I97" s="8"/>
      <c r="J97" s="8"/>
      <c r="K97" s="5"/>
      <c r="L97" s="14"/>
      <c r="M97" s="14"/>
      <c r="N97" s="14"/>
      <c r="O97" s="5"/>
      <c r="P97" s="9"/>
      <c r="Q97" s="9"/>
      <c r="R97" s="9"/>
      <c r="S97" s="9"/>
      <c r="T97" s="9"/>
      <c r="U97" s="9"/>
      <c r="V97" s="9"/>
      <c r="W97" s="9"/>
      <c r="X97" s="9"/>
      <c r="Y97" s="9"/>
      <c r="Z97" s="9"/>
      <c r="AA97" s="9"/>
      <c r="AB97" s="9"/>
      <c r="AC97" s="9"/>
      <c r="AD97" s="9"/>
      <c r="AE97" s="9"/>
      <c r="AF97" s="9"/>
      <c r="AG97" s="9"/>
    </row>
    <row r="98" spans="1:33" ht="24" x14ac:dyDescent="0.2">
      <c r="A98" s="3" t="str">
        <f>HYPERLINK("https://docs.legis.wisconsin.gov/2019/proposals/reg/asm/bill/ab413","AB 0413")</f>
        <v>AB 0413</v>
      </c>
      <c r="B98" s="4" t="s">
        <v>164</v>
      </c>
      <c r="C98" s="19" t="s">
        <v>165</v>
      </c>
      <c r="D98" s="6">
        <v>43713</v>
      </c>
      <c r="E98" s="14"/>
      <c r="F98" s="19"/>
      <c r="G98" s="5"/>
      <c r="H98" s="5"/>
      <c r="I98" s="17"/>
      <c r="J98" s="17"/>
      <c r="K98" s="14"/>
      <c r="L98" s="14"/>
      <c r="M98" s="5"/>
      <c r="N98" s="5"/>
      <c r="O98" s="5"/>
      <c r="P98" s="9"/>
      <c r="Q98" s="9"/>
      <c r="R98" s="9"/>
      <c r="S98" s="9"/>
      <c r="T98" s="9"/>
      <c r="U98" s="9"/>
      <c r="V98" s="9"/>
      <c r="W98" s="9"/>
      <c r="X98" s="9"/>
      <c r="Y98" s="9"/>
      <c r="Z98" s="9"/>
      <c r="AA98" s="9"/>
      <c r="AB98" s="9"/>
      <c r="AC98" s="9"/>
      <c r="AD98" s="9"/>
      <c r="AE98" s="9"/>
      <c r="AF98" s="9"/>
      <c r="AG98" s="9"/>
    </row>
    <row r="99" spans="1:33" ht="48" x14ac:dyDescent="0.2">
      <c r="A99" s="3" t="str">
        <f>HYPERLINK("https://docs.legis.wisconsin.gov/2019/proposals/reg/asm/bill/ab422","AB 0422")</f>
        <v>AB 0422</v>
      </c>
      <c r="B99" s="4" t="s">
        <v>393</v>
      </c>
      <c r="C99" s="19" t="s">
        <v>148</v>
      </c>
      <c r="D99" s="6">
        <v>43720</v>
      </c>
      <c r="E99" s="3" t="str">
        <f>HYPERLINK("https://docs.legis.wisconsin.gov/2019/proposals/sb364","SB 0364")</f>
        <v>SB 0364</v>
      </c>
      <c r="F99" s="19"/>
      <c r="G99" s="5"/>
      <c r="H99" s="5"/>
      <c r="I99" s="8"/>
      <c r="J99" s="8"/>
      <c r="K99" s="5"/>
      <c r="L99" s="14"/>
      <c r="M99" s="5" t="s">
        <v>42</v>
      </c>
      <c r="N99" s="5"/>
      <c r="O99" s="5"/>
      <c r="P99" s="9"/>
      <c r="Q99" s="9"/>
      <c r="R99" s="9"/>
      <c r="S99" s="9"/>
      <c r="T99" s="9"/>
      <c r="U99" s="9"/>
      <c r="V99" s="9"/>
      <c r="W99" s="9"/>
      <c r="X99" s="9"/>
      <c r="Y99" s="9"/>
      <c r="Z99" s="9"/>
      <c r="AA99" s="9"/>
      <c r="AB99" s="9"/>
      <c r="AC99" s="9"/>
      <c r="AD99" s="9"/>
      <c r="AE99" s="9"/>
      <c r="AF99" s="9"/>
      <c r="AG99" s="9"/>
    </row>
    <row r="100" spans="1:33" ht="36" x14ac:dyDescent="0.2">
      <c r="A100" s="3" t="str">
        <f>HYPERLINK("https://docs.legis.wisconsin.gov/2019/proposals/reg/asm/bill/ab441","AB 0441")</f>
        <v>AB 0441</v>
      </c>
      <c r="B100" s="4" t="s">
        <v>167</v>
      </c>
      <c r="C100" s="19" t="s">
        <v>82</v>
      </c>
      <c r="D100" s="17">
        <v>43721</v>
      </c>
      <c r="E100" s="3" t="str">
        <f>HYPERLINK("https://docs.legis.wisconsin.gov/2019/proposals/sb413","SB 0413")</f>
        <v>SB 0413</v>
      </c>
      <c r="F100" s="13" t="str">
        <f>HYPERLINK("https://docs.legis.wisconsin.gov/2019/related/fe/ab441","Y")</f>
        <v>Y</v>
      </c>
      <c r="G100" s="14"/>
      <c r="H100" s="14"/>
      <c r="I100" s="17"/>
      <c r="J100" s="17"/>
      <c r="K100" s="14"/>
      <c r="L100" s="14"/>
      <c r="M100" s="3" t="str">
        <f>HYPERLINK("https://docs.legis.wisconsin.gov/misc/lc/hearing_testimony_and_materials/2019/ab441","Information")</f>
        <v>Information</v>
      </c>
      <c r="N100" s="5"/>
      <c r="O100" s="5"/>
      <c r="P100" s="9"/>
      <c r="Q100" s="9"/>
      <c r="R100" s="9"/>
      <c r="S100" s="9"/>
      <c r="T100" s="9"/>
      <c r="U100" s="9"/>
      <c r="V100" s="9"/>
      <c r="W100" s="9"/>
      <c r="X100" s="9"/>
      <c r="Y100" s="9"/>
      <c r="Z100" s="9"/>
      <c r="AA100" s="9"/>
      <c r="AB100" s="9"/>
      <c r="AC100" s="9"/>
      <c r="AD100" s="9"/>
      <c r="AE100" s="9"/>
      <c r="AF100" s="9"/>
      <c r="AG100" s="9"/>
    </row>
    <row r="101" spans="1:33" ht="24" x14ac:dyDescent="0.2">
      <c r="A101" s="3" t="str">
        <f>HYPERLINK("https://docs.legis.wisconsin.gov/2019/proposals/reg/asm/bill/ab442","AB 0442")</f>
        <v>AB 0442</v>
      </c>
      <c r="B101" s="4" t="s">
        <v>168</v>
      </c>
      <c r="C101" s="19" t="s">
        <v>82</v>
      </c>
      <c r="D101" s="6">
        <v>43721</v>
      </c>
      <c r="E101" s="3" t="str">
        <f>HYPERLINK("https://docs.legis.wisconsin.gov/2019/proposals/sb412","SB 0412")</f>
        <v>SB 0412</v>
      </c>
      <c r="F101" s="13" t="str">
        <f>HYPERLINK("https://docs.legis.wisconsin.gov/2019/related/fe/ab442","Y")</f>
        <v>Y</v>
      </c>
      <c r="G101" s="14"/>
      <c r="H101" s="14"/>
      <c r="I101" s="17"/>
      <c r="J101" s="17"/>
      <c r="K101" s="14"/>
      <c r="L101" s="14"/>
      <c r="M101" s="3" t="str">
        <f>HYPERLINK("https://docs.legis.wisconsin.gov/misc/lc/hearing_testimony_and_materials/2019/ab442","Information")</f>
        <v>Information</v>
      </c>
      <c r="N101" s="14"/>
      <c r="O101" s="14"/>
      <c r="P101" s="9"/>
      <c r="Q101" s="9"/>
      <c r="R101" s="9"/>
      <c r="S101" s="9"/>
      <c r="T101" s="9"/>
      <c r="U101" s="9"/>
      <c r="V101" s="9"/>
      <c r="W101" s="9"/>
      <c r="X101" s="9"/>
      <c r="Y101" s="9"/>
      <c r="Z101" s="9"/>
      <c r="AA101" s="9"/>
      <c r="AB101" s="9"/>
      <c r="AC101" s="9"/>
      <c r="AD101" s="9"/>
      <c r="AE101" s="9"/>
      <c r="AF101" s="9"/>
      <c r="AG101" s="9"/>
    </row>
    <row r="102" spans="1:33" ht="36" x14ac:dyDescent="0.2">
      <c r="A102" s="3" t="str">
        <f>HYPERLINK("https://docs.legis.wisconsin.gov/2019/proposals/reg/asm/bill/ab444","AB 0444")</f>
        <v>AB 0444</v>
      </c>
      <c r="B102" s="4" t="s">
        <v>169</v>
      </c>
      <c r="C102" s="19" t="s">
        <v>170</v>
      </c>
      <c r="D102" s="6">
        <v>43721</v>
      </c>
      <c r="E102" s="3" t="str">
        <f>HYPERLINK("https://docs.legis.wisconsin.gov/2019/proposals/sb403","SB 0403")</f>
        <v>SB 0403</v>
      </c>
      <c r="F102" s="19"/>
      <c r="G102" s="5"/>
      <c r="H102" s="5"/>
      <c r="I102" s="17"/>
      <c r="J102" s="17"/>
      <c r="K102" s="14"/>
      <c r="L102" s="14"/>
      <c r="M102" s="14"/>
      <c r="N102" s="14"/>
      <c r="O102" s="5"/>
      <c r="P102" s="9"/>
      <c r="Q102" s="9"/>
      <c r="R102" s="9"/>
      <c r="S102" s="9"/>
      <c r="T102" s="9"/>
      <c r="U102" s="9"/>
      <c r="V102" s="9"/>
      <c r="W102" s="9"/>
      <c r="X102" s="9"/>
      <c r="Y102" s="9"/>
      <c r="Z102" s="9"/>
      <c r="AA102" s="9"/>
      <c r="AB102" s="9"/>
      <c r="AC102" s="9"/>
      <c r="AD102" s="9"/>
      <c r="AE102" s="9"/>
      <c r="AF102" s="9"/>
      <c r="AG102" s="9"/>
    </row>
    <row r="103" spans="1:33" ht="24" x14ac:dyDescent="0.2">
      <c r="A103" s="3" t="str">
        <f>HYPERLINK("https://docs.legis.wisconsin.gov/2019/proposals/reg/asm/bill/ab449","AB 0449")</f>
        <v>AB 0449</v>
      </c>
      <c r="B103" s="4" t="s">
        <v>171</v>
      </c>
      <c r="C103" s="19" t="s">
        <v>172</v>
      </c>
      <c r="D103" s="6">
        <v>43721</v>
      </c>
      <c r="E103" s="3" t="str">
        <f>HYPERLINK("https://docs.legis.wisconsin.gov/2019/proposals/sb397","SB 0397")</f>
        <v>SB 0397</v>
      </c>
      <c r="F103" s="19"/>
      <c r="G103" s="5"/>
      <c r="H103" s="5"/>
      <c r="I103" s="8"/>
      <c r="J103" s="8"/>
      <c r="K103" s="5"/>
      <c r="L103" s="14"/>
      <c r="M103" s="5"/>
      <c r="N103" s="5"/>
      <c r="O103" s="5"/>
      <c r="P103" s="9"/>
      <c r="Q103" s="9"/>
      <c r="R103" s="9"/>
      <c r="S103" s="9"/>
      <c r="T103" s="9"/>
      <c r="U103" s="9"/>
      <c r="V103" s="9"/>
      <c r="W103" s="9"/>
      <c r="X103" s="9"/>
      <c r="Y103" s="9"/>
      <c r="Z103" s="9"/>
      <c r="AA103" s="9"/>
      <c r="AB103" s="9"/>
      <c r="AC103" s="9"/>
      <c r="AD103" s="9"/>
      <c r="AE103" s="9"/>
      <c r="AF103" s="9"/>
      <c r="AG103" s="9"/>
    </row>
    <row r="104" spans="1:33" ht="24" x14ac:dyDescent="0.2">
      <c r="A104" s="3" t="str">
        <f>HYPERLINK("https://docs.legis.wisconsin.gov/2019/proposals/reg/asm/bill/ab452","AB 0452")</f>
        <v>AB 0452</v>
      </c>
      <c r="B104" s="4" t="s">
        <v>173</v>
      </c>
      <c r="C104" s="19" t="s">
        <v>109</v>
      </c>
      <c r="D104" s="6">
        <v>43726</v>
      </c>
      <c r="E104" s="3" t="str">
        <f>HYPERLINK("https://docs.legis.wisconsin.gov/2019/proposals/sb446","SB 0446")</f>
        <v>SB 0446</v>
      </c>
      <c r="F104" s="19"/>
      <c r="G104" s="5"/>
      <c r="H104" s="5"/>
      <c r="I104" s="8"/>
      <c r="J104" s="8"/>
      <c r="K104" s="5"/>
      <c r="L104" s="14"/>
      <c r="M104" s="5"/>
      <c r="N104" s="5"/>
      <c r="O104" s="5"/>
      <c r="P104" s="9"/>
      <c r="Q104" s="9"/>
      <c r="R104" s="9"/>
      <c r="S104" s="9"/>
      <c r="T104" s="9"/>
      <c r="U104" s="9"/>
      <c r="V104" s="9"/>
      <c r="W104" s="9"/>
      <c r="X104" s="9"/>
      <c r="Y104" s="9"/>
      <c r="Z104" s="9"/>
      <c r="AA104" s="9"/>
      <c r="AB104" s="9"/>
      <c r="AC104" s="9"/>
      <c r="AD104" s="9"/>
      <c r="AE104" s="9"/>
      <c r="AF104" s="9"/>
      <c r="AG104" s="9"/>
    </row>
    <row r="105" spans="1:33" ht="36" x14ac:dyDescent="0.2">
      <c r="A105" s="3" t="str">
        <f>HYPERLINK("https://docs.legis.wisconsin.gov/2019/proposals/reg/asm/bill/ab456","AB 0456")</f>
        <v>AB 0456</v>
      </c>
      <c r="B105" s="4" t="s">
        <v>174</v>
      </c>
      <c r="C105" s="19" t="s">
        <v>52</v>
      </c>
      <c r="D105" s="6">
        <v>43726</v>
      </c>
      <c r="E105" s="3" t="str">
        <f>HYPERLINK("https://docs.legis.wisconsin.gov/2019/proposals/sb409","SB 0409")</f>
        <v>SB 0409</v>
      </c>
      <c r="F105" s="13" t="str">
        <f>HYPERLINK("https://docs.legis.wisconsin.gov/2019/related/fe/ab456","Y")</f>
        <v>Y</v>
      </c>
      <c r="G105" s="14"/>
      <c r="H105" s="14"/>
      <c r="I105" s="17"/>
      <c r="J105" s="17"/>
      <c r="K105" s="14"/>
      <c r="L105" s="14"/>
      <c r="M105" s="3" t="str">
        <f>HYPERLINK("https://docs.legis.wisconsin.gov/misc/lc/hearing_testimony_and_materials/2019/ab456","Information")</f>
        <v>Information</v>
      </c>
      <c r="N105" s="5"/>
      <c r="O105" s="5"/>
      <c r="P105" s="9"/>
      <c r="Q105" s="9"/>
      <c r="R105" s="9"/>
      <c r="S105" s="9"/>
      <c r="T105" s="9"/>
      <c r="U105" s="9"/>
      <c r="V105" s="9"/>
      <c r="W105" s="9"/>
      <c r="X105" s="9"/>
      <c r="Y105" s="9"/>
      <c r="Z105" s="9"/>
      <c r="AA105" s="9"/>
      <c r="AB105" s="9"/>
      <c r="AC105" s="9"/>
      <c r="AD105" s="9"/>
      <c r="AE105" s="9"/>
      <c r="AF105" s="9"/>
      <c r="AG105" s="9"/>
    </row>
    <row r="106" spans="1:33" ht="36" x14ac:dyDescent="0.2">
      <c r="A106" s="3" t="str">
        <f>HYPERLINK("https://docs.legis.wisconsin.gov/2019/proposals/reg/asm/bill/ab459","AB 0459")</f>
        <v>AB 0459</v>
      </c>
      <c r="B106" s="4" t="s">
        <v>175</v>
      </c>
      <c r="C106" s="19" t="s">
        <v>23</v>
      </c>
      <c r="D106" s="6">
        <v>43726</v>
      </c>
      <c r="E106" s="3" t="str">
        <f>HYPERLINK("https://docs.legis.wisconsin.gov/2019/proposals/sb414","SB 0414")</f>
        <v>SB 0414</v>
      </c>
      <c r="F106" s="13" t="str">
        <f>HYPERLINK("https://docs.legis.wisconsin.gov/2019/related/fe/ab459","Y")</f>
        <v>Y</v>
      </c>
      <c r="G106" s="14"/>
      <c r="H106" s="14"/>
      <c r="I106" s="17"/>
      <c r="J106" s="17"/>
      <c r="K106" s="14"/>
      <c r="L106" s="14"/>
      <c r="M106" s="3" t="s">
        <v>60</v>
      </c>
      <c r="N106" s="5"/>
      <c r="O106" s="5"/>
      <c r="P106" s="9"/>
      <c r="Q106" s="9"/>
      <c r="R106" s="9"/>
      <c r="S106" s="9"/>
      <c r="T106" s="9"/>
      <c r="U106" s="9"/>
      <c r="V106" s="9"/>
      <c r="W106" s="9"/>
      <c r="X106" s="9"/>
      <c r="Y106" s="9"/>
      <c r="Z106" s="9"/>
      <c r="AA106" s="9"/>
      <c r="AB106" s="9"/>
      <c r="AC106" s="9"/>
      <c r="AD106" s="9"/>
      <c r="AE106" s="9"/>
      <c r="AF106" s="9"/>
      <c r="AG106" s="9"/>
    </row>
    <row r="107" spans="1:33" ht="24" x14ac:dyDescent="0.2">
      <c r="A107" s="3" t="str">
        <f>HYPERLINK("https://docs.legis.wisconsin.gov/2019/proposals/reg/asm/bill/ab460","AB 0460")</f>
        <v>AB 0460</v>
      </c>
      <c r="B107" s="4" t="s">
        <v>176</v>
      </c>
      <c r="C107" s="19" t="s">
        <v>177</v>
      </c>
      <c r="D107" s="6">
        <v>43726</v>
      </c>
      <c r="E107" s="3" t="str">
        <f>HYPERLINK("https://docs.legis.wisconsin.gov/2019/proposals/sb589","SB 0589")</f>
        <v>SB 0589</v>
      </c>
      <c r="F107" s="13" t="str">
        <f>HYPERLINK("https://docs.legis.wisconsin.gov/2019/related/fe/ab460","Y")</f>
        <v>Y</v>
      </c>
      <c r="G107" s="14"/>
      <c r="H107" s="5"/>
      <c r="I107" s="8"/>
      <c r="J107" s="8"/>
      <c r="K107" s="5"/>
      <c r="L107" s="14"/>
      <c r="M107" s="5"/>
      <c r="N107" s="5"/>
      <c r="O107" s="5"/>
      <c r="P107" s="9"/>
      <c r="Q107" s="9"/>
      <c r="R107" s="9"/>
      <c r="S107" s="9"/>
      <c r="T107" s="9"/>
      <c r="U107" s="9"/>
      <c r="V107" s="9"/>
      <c r="W107" s="9"/>
      <c r="X107" s="9"/>
      <c r="Y107" s="9"/>
      <c r="Z107" s="9"/>
      <c r="AA107" s="9"/>
      <c r="AB107" s="9"/>
      <c r="AC107" s="9"/>
      <c r="AD107" s="9"/>
      <c r="AE107" s="9"/>
      <c r="AF107" s="9"/>
      <c r="AG107" s="9"/>
    </row>
    <row r="108" spans="1:33" ht="24" x14ac:dyDescent="0.2">
      <c r="A108" s="3" t="str">
        <f>HYPERLINK("https://docs.legis.wisconsin.gov/2019/proposals/reg/asm/bill/ab461","AB 0461")</f>
        <v>AB 0461</v>
      </c>
      <c r="B108" s="4" t="s">
        <v>178</v>
      </c>
      <c r="C108" s="19" t="s">
        <v>179</v>
      </c>
      <c r="D108" s="6">
        <v>43726</v>
      </c>
      <c r="E108" s="3" t="str">
        <f>HYPERLINK("https://docs.legis.wisconsin.gov/2019/proposals/sb415","SB 0415")</f>
        <v>SB 0415</v>
      </c>
      <c r="F108" s="13" t="str">
        <f>HYPERLINK("https://docs.legis.wisconsin.gov/2019/related/fe/ab461","Y")</f>
        <v>Y</v>
      </c>
      <c r="G108" s="14"/>
      <c r="H108" s="14"/>
      <c r="I108" s="17"/>
      <c r="J108" s="17"/>
      <c r="K108" s="14"/>
      <c r="L108" s="14"/>
      <c r="M108" s="3" t="str">
        <f>HYPERLINK("https://docs.legis.wisconsin.gov/misc/lc/hearing_testimony_and_materials/2019/ab461","Information")</f>
        <v>Information</v>
      </c>
      <c r="N108" s="5"/>
      <c r="O108" s="5"/>
      <c r="P108" s="9"/>
      <c r="Q108" s="9"/>
      <c r="R108" s="9"/>
      <c r="S108" s="9"/>
      <c r="T108" s="9"/>
      <c r="U108" s="9"/>
      <c r="V108" s="9"/>
      <c r="W108" s="9"/>
      <c r="X108" s="9"/>
      <c r="Y108" s="9"/>
      <c r="Z108" s="9"/>
      <c r="AA108" s="9"/>
      <c r="AB108" s="9"/>
      <c r="AC108" s="9"/>
      <c r="AD108" s="9"/>
      <c r="AE108" s="9"/>
      <c r="AF108" s="9"/>
      <c r="AG108" s="9"/>
    </row>
    <row r="109" spans="1:33" ht="36" x14ac:dyDescent="0.2">
      <c r="A109" s="3" t="str">
        <f>HYPERLINK("https://docs.legis.wisconsin.gov/2019/proposals/reg/asm/bill/ab463","AB 0463")</f>
        <v>AB 0463</v>
      </c>
      <c r="B109" s="4" t="s">
        <v>180</v>
      </c>
      <c r="C109" s="19" t="s">
        <v>172</v>
      </c>
      <c r="D109" s="6">
        <v>43726</v>
      </c>
      <c r="E109" s="3" t="str">
        <f>HYPERLINK("https://docs.legis.wisconsin.gov/2019/proposals/sb417","SB 0417")</f>
        <v>SB 0417</v>
      </c>
      <c r="F109" s="19"/>
      <c r="G109" s="5"/>
      <c r="H109" s="5"/>
      <c r="I109" s="8"/>
      <c r="J109" s="8"/>
      <c r="K109" s="5"/>
      <c r="L109" s="14"/>
      <c r="M109" s="5"/>
      <c r="N109" s="5"/>
      <c r="O109" s="5"/>
      <c r="P109" s="9"/>
      <c r="Q109" s="9"/>
      <c r="R109" s="9"/>
      <c r="S109" s="9"/>
      <c r="T109" s="9"/>
      <c r="U109" s="9"/>
      <c r="V109" s="9"/>
      <c r="W109" s="9"/>
      <c r="X109" s="9"/>
      <c r="Y109" s="9"/>
      <c r="Z109" s="9"/>
      <c r="AA109" s="9"/>
      <c r="AB109" s="9"/>
      <c r="AC109" s="9"/>
      <c r="AD109" s="9"/>
      <c r="AE109" s="9"/>
      <c r="AF109" s="9"/>
      <c r="AG109" s="9"/>
    </row>
    <row r="110" spans="1:33" ht="24" x14ac:dyDescent="0.2">
      <c r="A110" s="3" t="str">
        <f>HYPERLINK("https://docs.legis.wisconsin.gov/2019/proposals/reg/asm/bill/ab464","AB 0464")</f>
        <v>AB 0464</v>
      </c>
      <c r="B110" s="4" t="s">
        <v>181</v>
      </c>
      <c r="C110" s="19" t="s">
        <v>52</v>
      </c>
      <c r="D110" s="6">
        <v>43726</v>
      </c>
      <c r="E110" s="3" t="str">
        <f>HYPERLINK("https://docs.legis.wisconsin.gov/2019/proposals/sb407","SB 0407")</f>
        <v>SB 0407</v>
      </c>
      <c r="F110" s="13" t="str">
        <f>HYPERLINK("https://docs.legis.wisconsin.gov/2019/related/fe/ab464","Y")</f>
        <v>Y</v>
      </c>
      <c r="G110" s="14"/>
      <c r="H110" s="14"/>
      <c r="I110" s="17"/>
      <c r="J110" s="17"/>
      <c r="K110" s="14"/>
      <c r="L110" s="14"/>
      <c r="M110" s="3" t="str">
        <f>HYPERLINK("https://docs.legis.wisconsin.gov/misc/lc/hearing_testimony_and_materials/2019/ab464","Information")</f>
        <v>Information</v>
      </c>
      <c r="N110" s="5"/>
      <c r="O110" s="5"/>
      <c r="P110" s="9"/>
      <c r="Q110" s="9"/>
      <c r="R110" s="9"/>
      <c r="S110" s="9"/>
      <c r="T110" s="9"/>
      <c r="U110" s="9"/>
      <c r="V110" s="9"/>
      <c r="W110" s="9"/>
      <c r="X110" s="9"/>
      <c r="Y110" s="9"/>
      <c r="Z110" s="9"/>
      <c r="AA110" s="9"/>
      <c r="AB110" s="9"/>
      <c r="AC110" s="9"/>
      <c r="AD110" s="9"/>
      <c r="AE110" s="9"/>
      <c r="AF110" s="9"/>
      <c r="AG110" s="9"/>
    </row>
    <row r="111" spans="1:33" ht="12.75" x14ac:dyDescent="0.2">
      <c r="A111" s="3" t="str">
        <f>HYPERLINK("https://docs.legis.wisconsin.gov/2019/proposals/reg/asm/bill/ab465","AB 0465")</f>
        <v>AB 0465</v>
      </c>
      <c r="B111" s="4" t="s">
        <v>182</v>
      </c>
      <c r="C111" s="19" t="s">
        <v>52</v>
      </c>
      <c r="D111" s="6">
        <v>43726</v>
      </c>
      <c r="E111" s="3" t="str">
        <f>HYPERLINK("https://docs.legis.wisconsin.gov/2019/proposals/sb408","SB 0408")</f>
        <v>SB 0408</v>
      </c>
      <c r="F111" s="13" t="str">
        <f>HYPERLINK("https://docs.legis.wisconsin.gov/2019/related/fe/ab465","Y")</f>
        <v>Y</v>
      </c>
      <c r="G111" s="14"/>
      <c r="H111" s="14"/>
      <c r="I111" s="17"/>
      <c r="J111" s="17"/>
      <c r="K111" s="14"/>
      <c r="L111" s="14"/>
      <c r="M111" s="3" t="str">
        <f>HYPERLINK("https://docs.legis.wisconsin.gov/misc/lc/hearing_testimony_and_materials/2019/ab465","Support")</f>
        <v>Support</v>
      </c>
      <c r="N111" s="14"/>
      <c r="O111" s="14"/>
      <c r="P111" s="9"/>
      <c r="Q111" s="9"/>
      <c r="R111" s="9"/>
      <c r="S111" s="9"/>
      <c r="T111" s="9"/>
      <c r="U111" s="9"/>
      <c r="V111" s="9"/>
      <c r="W111" s="9"/>
      <c r="X111" s="9"/>
      <c r="Y111" s="9"/>
      <c r="Z111" s="9"/>
      <c r="AA111" s="9"/>
      <c r="AB111" s="9"/>
      <c r="AC111" s="9"/>
      <c r="AD111" s="9"/>
      <c r="AE111" s="9"/>
      <c r="AF111" s="9"/>
      <c r="AG111" s="9"/>
    </row>
    <row r="112" spans="1:33" ht="12.75" x14ac:dyDescent="0.2">
      <c r="A112" s="3" t="str">
        <f>HYPERLINK("https://docs.legis.wisconsin.gov/2019/proposals/reg/asm/bill/ab473","AB 0473")</f>
        <v>AB 0473</v>
      </c>
      <c r="B112" s="4" t="s">
        <v>183</v>
      </c>
      <c r="C112" s="19" t="s">
        <v>184</v>
      </c>
      <c r="D112" s="6">
        <v>43734</v>
      </c>
      <c r="E112" s="3" t="str">
        <f>HYPERLINK("https://docs.legis.wisconsin.gov/2019/proposals/sb437","SB 0437")</f>
        <v>SB 0437</v>
      </c>
      <c r="F112" s="13" t="str">
        <f>HYPERLINK("https://docs.legis.wisconsin.gov/2019/related/fe/ab473","Y")</f>
        <v>Y</v>
      </c>
      <c r="G112" s="14"/>
      <c r="H112" s="5"/>
      <c r="I112" s="8"/>
      <c r="J112" s="8"/>
      <c r="K112" s="5"/>
      <c r="L112" s="14"/>
      <c r="M112" s="14"/>
      <c r="N112" s="5"/>
      <c r="O112" s="5"/>
      <c r="P112" s="9"/>
      <c r="Q112" s="9"/>
      <c r="R112" s="9"/>
      <c r="S112" s="9"/>
      <c r="T112" s="9"/>
      <c r="U112" s="9"/>
      <c r="V112" s="9"/>
      <c r="W112" s="9"/>
      <c r="X112" s="9"/>
      <c r="Y112" s="9"/>
      <c r="Z112" s="9"/>
      <c r="AA112" s="9"/>
      <c r="AB112" s="9"/>
      <c r="AC112" s="9"/>
      <c r="AD112" s="9"/>
      <c r="AE112" s="9"/>
      <c r="AF112" s="9"/>
      <c r="AG112" s="9"/>
    </row>
    <row r="113" spans="1:33" ht="24" x14ac:dyDescent="0.2">
      <c r="A113" s="3" t="str">
        <f>HYPERLINK("https://docs.legis.wisconsin.gov/2019/proposals/reg/asm/bill/ab474","AB 0474")</f>
        <v>AB 0474</v>
      </c>
      <c r="B113" s="4" t="s">
        <v>185</v>
      </c>
      <c r="C113" s="19" t="s">
        <v>126</v>
      </c>
      <c r="D113" s="6">
        <v>43734</v>
      </c>
      <c r="E113" s="3" t="str">
        <f>HYPERLINK("https://docs.legis.wisconsin.gov/2019/proposals/sb431","SB 0431")</f>
        <v>SB 0431</v>
      </c>
      <c r="F113" s="13" t="str">
        <f>HYPERLINK("https://docs.legis.wisconsin.gov/2019/related/fe/ab474","Y")</f>
        <v>Y</v>
      </c>
      <c r="G113" s="14"/>
      <c r="H113" s="5"/>
      <c r="I113" s="8"/>
      <c r="J113" s="8"/>
      <c r="K113" s="14"/>
      <c r="L113" s="14"/>
      <c r="M113" s="5"/>
      <c r="N113" s="5"/>
      <c r="O113" s="5"/>
      <c r="P113" s="9"/>
      <c r="Q113" s="9"/>
      <c r="R113" s="9"/>
      <c r="S113" s="9"/>
      <c r="T113" s="9"/>
      <c r="U113" s="9"/>
      <c r="V113" s="9"/>
      <c r="W113" s="9"/>
      <c r="X113" s="9"/>
      <c r="Y113" s="9"/>
      <c r="Z113" s="9"/>
      <c r="AA113" s="9"/>
      <c r="AB113" s="9"/>
      <c r="AC113" s="9"/>
      <c r="AD113" s="9"/>
      <c r="AE113" s="9"/>
      <c r="AF113" s="9"/>
      <c r="AG113" s="9"/>
    </row>
    <row r="114" spans="1:33" ht="24" x14ac:dyDescent="0.2">
      <c r="A114" s="3" t="str">
        <f>HYPERLINK("https://docs.legis.wisconsin.gov/2019/proposals/reg/asm/bill/ab475","AB 0475")</f>
        <v>AB 0475</v>
      </c>
      <c r="B114" s="4" t="s">
        <v>186</v>
      </c>
      <c r="C114" s="19" t="s">
        <v>23</v>
      </c>
      <c r="D114" s="6">
        <v>43734</v>
      </c>
      <c r="E114" s="3" t="str">
        <f>HYPERLINK("https://docs.legis.wisconsin.gov/2019/proposals/sb424","SB 0424")</f>
        <v>SB 0424</v>
      </c>
      <c r="F114" s="19"/>
      <c r="G114" s="5"/>
      <c r="H114" s="5"/>
      <c r="I114" s="8"/>
      <c r="J114" s="8"/>
      <c r="K114" s="5"/>
      <c r="L114" s="14"/>
      <c r="M114" s="5"/>
      <c r="N114" s="5"/>
      <c r="O114" s="5"/>
      <c r="P114" s="9"/>
      <c r="Q114" s="9"/>
      <c r="R114" s="9"/>
      <c r="S114" s="9"/>
      <c r="T114" s="9"/>
      <c r="U114" s="9"/>
      <c r="V114" s="9"/>
      <c r="W114" s="9"/>
      <c r="X114" s="9"/>
      <c r="Y114" s="9"/>
      <c r="Z114" s="9"/>
      <c r="AA114" s="9"/>
      <c r="AB114" s="9"/>
      <c r="AC114" s="9"/>
      <c r="AD114" s="9"/>
      <c r="AE114" s="9"/>
      <c r="AF114" s="9"/>
      <c r="AG114" s="9"/>
    </row>
    <row r="115" spans="1:33" ht="48" x14ac:dyDescent="0.2">
      <c r="A115" s="3" t="str">
        <f>HYPERLINK("https://docs.legis.wisconsin.gov/2019/proposals/reg/asm/bill/ab476","AB 0476")</f>
        <v>AB 0476</v>
      </c>
      <c r="B115" s="4" t="s">
        <v>187</v>
      </c>
      <c r="C115" s="19" t="s">
        <v>23</v>
      </c>
      <c r="D115" s="6">
        <v>43734</v>
      </c>
      <c r="E115" s="3" t="str">
        <f>HYPERLINK("https://docs.legis.wisconsin.gov/2019/proposals/sb423","SB 0423")</f>
        <v>SB 0423</v>
      </c>
      <c r="F115" s="13" t="str">
        <f>HYPERLINK("https://docs.legis.wisconsin.gov/2019/related/fe/ab476","Y")</f>
        <v>Y</v>
      </c>
      <c r="G115" s="14"/>
      <c r="H115" s="5"/>
      <c r="I115" s="8"/>
      <c r="J115" s="8"/>
      <c r="K115" s="5"/>
      <c r="L115" s="14"/>
      <c r="M115" s="3" t="str">
        <f>HYPERLINK("https://docs.legis.wisconsin.gov/misc/lc/hearing_testimony_and_materials/2019/ab476","Information")</f>
        <v>Information</v>
      </c>
      <c r="N115" s="5"/>
      <c r="O115" s="5"/>
      <c r="P115" s="9"/>
      <c r="Q115" s="9"/>
      <c r="R115" s="9"/>
      <c r="S115" s="9"/>
      <c r="T115" s="9"/>
      <c r="U115" s="9"/>
      <c r="V115" s="9"/>
      <c r="W115" s="9"/>
      <c r="X115" s="9"/>
      <c r="Y115" s="9"/>
      <c r="Z115" s="9"/>
      <c r="AA115" s="9"/>
      <c r="AB115" s="9"/>
      <c r="AC115" s="9"/>
      <c r="AD115" s="9"/>
      <c r="AE115" s="9"/>
      <c r="AF115" s="9"/>
      <c r="AG115" s="9"/>
    </row>
    <row r="116" spans="1:33" ht="60" x14ac:dyDescent="0.2">
      <c r="A116" s="3" t="str">
        <f>HYPERLINK("https://docs.legis.wisconsin.gov/2019/proposals/reg/asm/bill/ab487","AB 0487")</f>
        <v>AB 0487</v>
      </c>
      <c r="B116" s="4" t="s">
        <v>188</v>
      </c>
      <c r="C116" s="19" t="s">
        <v>119</v>
      </c>
      <c r="D116" s="6">
        <v>43739</v>
      </c>
      <c r="E116" s="3" t="str">
        <f>HYPERLINK("https://docs.legis.wisconsin.gov/2019/proposals/sb378","SB 0378")</f>
        <v>SB 0378</v>
      </c>
      <c r="F116" s="7"/>
      <c r="G116" s="5"/>
      <c r="H116" s="5"/>
      <c r="I116" s="8"/>
      <c r="J116" s="8"/>
      <c r="K116" s="14"/>
      <c r="L116" s="14"/>
      <c r="M116" s="5"/>
      <c r="N116" s="14"/>
      <c r="O116" s="14"/>
      <c r="P116" s="9"/>
      <c r="Q116" s="9"/>
      <c r="R116" s="9"/>
      <c r="S116" s="9"/>
      <c r="T116" s="9"/>
      <c r="U116" s="9"/>
      <c r="V116" s="9"/>
      <c r="W116" s="9"/>
      <c r="X116" s="9"/>
      <c r="Y116" s="9"/>
      <c r="Z116" s="9"/>
      <c r="AA116" s="9"/>
      <c r="AB116" s="9"/>
      <c r="AC116" s="9"/>
      <c r="AD116" s="9"/>
      <c r="AE116" s="9"/>
      <c r="AF116" s="9"/>
      <c r="AG116" s="9"/>
    </row>
    <row r="117" spans="1:33" ht="24" x14ac:dyDescent="0.2">
      <c r="A117" s="3" t="str">
        <f>HYPERLINK("https://docs.legis.wisconsin.gov/2019/proposals/reg/asm/bill/ab491","AB 0491")</f>
        <v>AB 0491</v>
      </c>
      <c r="B117" s="4" t="s">
        <v>189</v>
      </c>
      <c r="C117" s="19" t="s">
        <v>91</v>
      </c>
      <c r="D117" s="6">
        <v>43739</v>
      </c>
      <c r="E117" s="3" t="str">
        <f>HYPERLINK("https://docs.legis.wisconsin.gov/2019/proposals/sb442","SB 0442")</f>
        <v>SB 0442</v>
      </c>
      <c r="F117" s="19"/>
      <c r="G117" s="5"/>
      <c r="H117" s="5"/>
      <c r="I117" s="8"/>
      <c r="J117" s="8"/>
      <c r="K117" s="5"/>
      <c r="L117" s="14"/>
      <c r="M117" s="5"/>
      <c r="N117" s="5"/>
      <c r="O117" s="5"/>
      <c r="P117" s="9"/>
      <c r="Q117" s="9"/>
      <c r="R117" s="9"/>
      <c r="S117" s="9"/>
      <c r="T117" s="9"/>
      <c r="U117" s="9"/>
      <c r="V117" s="9"/>
      <c r="W117" s="9"/>
      <c r="X117" s="9"/>
      <c r="Y117" s="9"/>
      <c r="Z117" s="9"/>
      <c r="AA117" s="9"/>
      <c r="AB117" s="9"/>
      <c r="AC117" s="9"/>
      <c r="AD117" s="9"/>
      <c r="AE117" s="9"/>
      <c r="AF117" s="9"/>
      <c r="AG117" s="9"/>
    </row>
    <row r="118" spans="1:33" ht="24" x14ac:dyDescent="0.2">
      <c r="A118" s="3" t="str">
        <f>HYPERLINK("https://docs.legis.wisconsin.gov/2019/proposals/reg/asm/bill/ab493","AB 0493")</f>
        <v>AB 0493</v>
      </c>
      <c r="B118" s="4" t="s">
        <v>190</v>
      </c>
      <c r="C118" s="19" t="s">
        <v>191</v>
      </c>
      <c r="D118" s="6">
        <v>43739</v>
      </c>
      <c r="E118" s="3" t="str">
        <f>HYPERLINK("https://docs.legis.wisconsin.gov/2019/proposals/sb445","SB 0445")</f>
        <v>SB 0445</v>
      </c>
      <c r="F118" s="19"/>
      <c r="G118" s="5"/>
      <c r="H118" s="5"/>
      <c r="I118" s="8"/>
      <c r="J118" s="8"/>
      <c r="K118" s="5"/>
      <c r="L118" s="14"/>
      <c r="M118" s="5"/>
      <c r="N118" s="5"/>
      <c r="O118" s="5"/>
      <c r="P118" s="9"/>
      <c r="Q118" s="9"/>
      <c r="R118" s="9"/>
      <c r="S118" s="9"/>
      <c r="T118" s="9"/>
      <c r="U118" s="9"/>
      <c r="V118" s="9"/>
      <c r="W118" s="9"/>
      <c r="X118" s="9"/>
      <c r="Y118" s="9"/>
      <c r="Z118" s="9"/>
      <c r="AA118" s="9"/>
      <c r="AB118" s="9"/>
      <c r="AC118" s="9"/>
      <c r="AD118" s="9"/>
      <c r="AE118" s="9"/>
      <c r="AF118" s="9"/>
      <c r="AG118" s="9"/>
    </row>
    <row r="119" spans="1:33" ht="24" x14ac:dyDescent="0.2">
      <c r="A119" s="3" t="str">
        <f>HYPERLINK("https://docs.legis.wisconsin.gov/2019/proposals/reg/asm/bill/ab497","AB 0497")</f>
        <v>AB 0497</v>
      </c>
      <c r="B119" s="4" t="s">
        <v>192</v>
      </c>
      <c r="C119" s="19" t="s">
        <v>193</v>
      </c>
      <c r="D119" s="6">
        <v>43739</v>
      </c>
      <c r="E119" s="3" t="str">
        <f>HYPERLINK("https://docs.legis.wisconsin.gov/2019/proposals/sb616","SB 0616")</f>
        <v>SB 0616</v>
      </c>
      <c r="F119" s="19"/>
      <c r="G119" s="5"/>
      <c r="H119" s="5"/>
      <c r="I119" s="8"/>
      <c r="J119" s="8"/>
      <c r="K119" s="5"/>
      <c r="L119" s="14"/>
      <c r="M119" s="5"/>
      <c r="N119" s="5"/>
      <c r="O119" s="5"/>
      <c r="P119" s="9"/>
      <c r="Q119" s="9"/>
      <c r="R119" s="9"/>
      <c r="S119" s="9"/>
      <c r="T119" s="9"/>
      <c r="U119" s="9"/>
      <c r="V119" s="9"/>
      <c r="W119" s="9"/>
      <c r="X119" s="9"/>
      <c r="Y119" s="9"/>
      <c r="Z119" s="9"/>
      <c r="AA119" s="9"/>
      <c r="AB119" s="9"/>
      <c r="AC119" s="9"/>
      <c r="AD119" s="9"/>
      <c r="AE119" s="9"/>
      <c r="AF119" s="9"/>
      <c r="AG119" s="9"/>
    </row>
    <row r="120" spans="1:33" ht="96" x14ac:dyDescent="0.2">
      <c r="A120" s="3" t="str">
        <f>HYPERLINK("https://docs.legis.wisconsin.gov/2019/proposals/reg/asm/bill/ab508","AB 0508")</f>
        <v>AB 0508</v>
      </c>
      <c r="B120" s="4" t="s">
        <v>194</v>
      </c>
      <c r="C120" s="19" t="s">
        <v>195</v>
      </c>
      <c r="D120" s="17">
        <v>43745</v>
      </c>
      <c r="E120" s="3" t="str">
        <f>HYPERLINK("https://docs.legis.wisconsin.gov/2019/proposals/sb467","SB 0467")</f>
        <v>SB 0467</v>
      </c>
      <c r="F120" s="13" t="str">
        <f>HYPERLINK("https://docs.legis.wisconsin.gov/2019/related/fe/ab508","Y")</f>
        <v>Y</v>
      </c>
      <c r="G120" s="14"/>
      <c r="H120" s="14"/>
      <c r="I120" s="17"/>
      <c r="J120" s="17"/>
      <c r="K120" s="14"/>
      <c r="L120" s="14"/>
      <c r="M120" s="14"/>
      <c r="N120" s="14"/>
      <c r="O120" s="14"/>
      <c r="P120" s="9"/>
      <c r="Q120" s="9"/>
      <c r="R120" s="9"/>
      <c r="S120" s="9"/>
      <c r="T120" s="9"/>
      <c r="U120" s="9"/>
      <c r="V120" s="9"/>
      <c r="W120" s="9"/>
      <c r="X120" s="9"/>
      <c r="Y120" s="9"/>
      <c r="Z120" s="9"/>
      <c r="AA120" s="9"/>
      <c r="AB120" s="9"/>
      <c r="AC120" s="9"/>
      <c r="AD120" s="9"/>
      <c r="AE120" s="9"/>
      <c r="AF120" s="9"/>
      <c r="AG120" s="9"/>
    </row>
    <row r="121" spans="1:33" ht="24" x14ac:dyDescent="0.2">
      <c r="A121" s="3" t="str">
        <f>HYPERLINK("https://docs.legis.wisconsin.gov/2019/proposals/reg/asm/bill/ab509","AB 0509")</f>
        <v>AB 0509</v>
      </c>
      <c r="B121" s="4" t="s">
        <v>196</v>
      </c>
      <c r="C121" s="19" t="s">
        <v>165</v>
      </c>
      <c r="D121" s="17">
        <v>43745</v>
      </c>
      <c r="E121" s="3" t="str">
        <f>HYPERLINK("https://docs.legis.wisconsin.gov/2019/proposals/sb480","SB 480")</f>
        <v>SB 480</v>
      </c>
      <c r="F121" s="13" t="str">
        <f>HYPERLINK("https://docs.legis.wisconsin.gov/2019/related/fe/ab509","Y")</f>
        <v>Y</v>
      </c>
      <c r="G121" s="14"/>
      <c r="H121" s="14"/>
      <c r="I121" s="17"/>
      <c r="J121" s="17"/>
      <c r="K121" s="14"/>
      <c r="L121" s="14"/>
      <c r="M121" s="14"/>
      <c r="N121" s="14"/>
      <c r="O121" s="14"/>
      <c r="P121" s="9"/>
      <c r="Q121" s="9"/>
      <c r="R121" s="9"/>
      <c r="S121" s="9"/>
      <c r="T121" s="9"/>
      <c r="U121" s="9"/>
      <c r="V121" s="9"/>
      <c r="W121" s="9"/>
      <c r="X121" s="9"/>
      <c r="Y121" s="9"/>
      <c r="Z121" s="9"/>
      <c r="AA121" s="9"/>
      <c r="AB121" s="9"/>
      <c r="AC121" s="9"/>
      <c r="AD121" s="9"/>
      <c r="AE121" s="9"/>
      <c r="AF121" s="9"/>
      <c r="AG121" s="9"/>
    </row>
    <row r="122" spans="1:33" ht="60" x14ac:dyDescent="0.2">
      <c r="A122" s="3" t="str">
        <f>HYPERLINK("https://docs.legis.wisconsin.gov/2019/proposals/reg/asm/bill/ab519","AB 0519")</f>
        <v>AB 0519</v>
      </c>
      <c r="B122" s="4" t="s">
        <v>197</v>
      </c>
      <c r="C122" s="19" t="s">
        <v>131</v>
      </c>
      <c r="D122" s="17">
        <v>43745</v>
      </c>
      <c r="E122" s="3" t="str">
        <f>HYPERLINK("https://docs.legis.wisconsin.gov/2019/proposals/sb472","SB 0472")</f>
        <v>SB 0472</v>
      </c>
      <c r="F122" s="19"/>
      <c r="G122" s="14"/>
      <c r="H122" s="14"/>
      <c r="I122" s="17"/>
      <c r="J122" s="17"/>
      <c r="K122" s="14"/>
      <c r="L122" s="14"/>
      <c r="M122" s="14"/>
      <c r="N122" s="14"/>
      <c r="O122" s="14"/>
      <c r="P122" s="9"/>
      <c r="Q122" s="9"/>
      <c r="R122" s="9"/>
      <c r="S122" s="9"/>
      <c r="T122" s="9"/>
      <c r="U122" s="9"/>
      <c r="V122" s="9"/>
      <c r="W122" s="9"/>
      <c r="X122" s="9"/>
      <c r="Y122" s="9"/>
      <c r="Z122" s="9"/>
      <c r="AA122" s="9"/>
      <c r="AB122" s="9"/>
      <c r="AC122" s="9"/>
      <c r="AD122" s="9"/>
      <c r="AE122" s="9"/>
      <c r="AF122" s="9"/>
      <c r="AG122" s="9"/>
    </row>
    <row r="123" spans="1:33" ht="24" x14ac:dyDescent="0.2">
      <c r="A123" s="3" t="str">
        <f>HYPERLINK("https://docs.legis.wisconsin.gov/2019/proposals/reg/asm/bill/ab525","AB 0525")</f>
        <v>AB 0525</v>
      </c>
      <c r="B123" s="4" t="s">
        <v>198</v>
      </c>
      <c r="C123" s="19" t="s">
        <v>25</v>
      </c>
      <c r="D123" s="17">
        <v>43749</v>
      </c>
      <c r="E123" s="3" t="str">
        <f>HYPERLINK("https://docs.legis.wisconsin.gov/2019/proposals/sb503","SB 0503")</f>
        <v>SB 0503</v>
      </c>
      <c r="F123" s="19"/>
      <c r="G123" s="14"/>
      <c r="H123" s="14"/>
      <c r="I123" s="17"/>
      <c r="J123" s="17"/>
      <c r="K123" s="14"/>
      <c r="L123" s="14"/>
      <c r="M123" s="14"/>
      <c r="N123" s="14"/>
      <c r="O123" s="14"/>
      <c r="P123" s="9"/>
      <c r="Q123" s="9"/>
      <c r="R123" s="9"/>
      <c r="S123" s="9"/>
      <c r="T123" s="9"/>
      <c r="U123" s="9"/>
      <c r="V123" s="9"/>
      <c r="W123" s="9"/>
      <c r="X123" s="9"/>
      <c r="Y123" s="9"/>
      <c r="Z123" s="9"/>
      <c r="AA123" s="9"/>
      <c r="AB123" s="9"/>
      <c r="AC123" s="9"/>
      <c r="AD123" s="9"/>
      <c r="AE123" s="9"/>
      <c r="AF123" s="9"/>
      <c r="AG123" s="9"/>
    </row>
    <row r="124" spans="1:33" ht="60" x14ac:dyDescent="0.2">
      <c r="A124" s="3" t="str">
        <f>HYPERLINK("https://docs.legis.wisconsin.gov/2019/proposals/reg/asm/bill/ab526","AB 0526")</f>
        <v>AB 0526</v>
      </c>
      <c r="B124" s="4" t="s">
        <v>199</v>
      </c>
      <c r="C124" s="19" t="s">
        <v>101</v>
      </c>
      <c r="D124" s="17">
        <v>43749</v>
      </c>
      <c r="E124" s="3" t="str">
        <f>HYPERLINK("https://docs.legis.wisconsin.gov/2019/proposals/sb520","SB 0520")</f>
        <v>SB 0520</v>
      </c>
      <c r="F124" s="19"/>
      <c r="G124" s="14"/>
      <c r="H124" s="14"/>
      <c r="I124" s="17"/>
      <c r="J124" s="17"/>
      <c r="K124" s="14"/>
      <c r="L124" s="14"/>
      <c r="M124" s="14"/>
      <c r="N124" s="14"/>
      <c r="O124" s="14"/>
      <c r="P124" s="9"/>
      <c r="Q124" s="9"/>
      <c r="R124" s="9"/>
      <c r="S124" s="9"/>
      <c r="T124" s="9"/>
      <c r="U124" s="9"/>
      <c r="V124" s="9"/>
      <c r="W124" s="9"/>
      <c r="X124" s="9"/>
      <c r="Y124" s="9"/>
      <c r="Z124" s="9"/>
      <c r="AA124" s="9"/>
      <c r="AB124" s="9"/>
      <c r="AC124" s="9"/>
      <c r="AD124" s="9"/>
      <c r="AE124" s="9"/>
      <c r="AF124" s="9"/>
      <c r="AG124" s="9"/>
    </row>
    <row r="125" spans="1:33" ht="24" x14ac:dyDescent="0.2">
      <c r="A125" s="3" t="str">
        <f>HYPERLINK("https://docs.legis.wisconsin.gov/2019/proposals/reg/asm/bill/ab527","AB 0527")</f>
        <v>AB 0527</v>
      </c>
      <c r="B125" s="4" t="s">
        <v>200</v>
      </c>
      <c r="C125" s="19" t="s">
        <v>77</v>
      </c>
      <c r="D125" s="17">
        <v>43752</v>
      </c>
      <c r="E125" s="3" t="str">
        <f>HYPERLINK("https://docs.legis.wisconsin.gov/2019/proposals/sb543","SB 0543")</f>
        <v>SB 0543</v>
      </c>
      <c r="F125" s="19"/>
      <c r="G125" s="14"/>
      <c r="H125" s="14"/>
      <c r="I125" s="17"/>
      <c r="J125" s="17"/>
      <c r="K125" s="14"/>
      <c r="L125" s="14"/>
      <c r="M125" s="14"/>
      <c r="N125" s="14"/>
      <c r="O125" s="14"/>
      <c r="P125" s="9"/>
      <c r="Q125" s="9"/>
      <c r="R125" s="9"/>
      <c r="S125" s="9"/>
      <c r="T125" s="9"/>
      <c r="U125" s="9"/>
      <c r="V125" s="9"/>
      <c r="W125" s="9"/>
      <c r="X125" s="9"/>
      <c r="Y125" s="9"/>
      <c r="Z125" s="9"/>
      <c r="AA125" s="9"/>
      <c r="AB125" s="9"/>
      <c r="AC125" s="9"/>
      <c r="AD125" s="9"/>
      <c r="AE125" s="9"/>
      <c r="AF125" s="9"/>
      <c r="AG125" s="9"/>
    </row>
    <row r="126" spans="1:33" ht="36" x14ac:dyDescent="0.2">
      <c r="A126" s="3" t="str">
        <f>HYPERLINK("https://docs.legis.wisconsin.gov/2019/proposals/reg/asm/bill/ab528","AB 0528")</f>
        <v>AB 0528</v>
      </c>
      <c r="B126" s="4" t="s">
        <v>201</v>
      </c>
      <c r="C126" s="19" t="s">
        <v>138</v>
      </c>
      <c r="D126" s="6">
        <v>43752</v>
      </c>
      <c r="E126" s="3" t="str">
        <f>HYPERLINK("https://docs.legis.wisconsin.gov/2019/proposals/sb498","SB 498")</f>
        <v>SB 498</v>
      </c>
      <c r="F126" s="13" t="str">
        <f>HYPERLINK("https://docs.legis.wisconsin.gov/2019/related/fe/ab528","Y")</f>
        <v>Y</v>
      </c>
      <c r="G126" s="14"/>
      <c r="H126" s="14"/>
      <c r="I126" s="83"/>
      <c r="J126" s="83"/>
      <c r="K126" s="85"/>
      <c r="L126" s="14"/>
      <c r="M126" s="3" t="str">
        <f>HYPERLINK("https://docs.legis.wisconsin.gov/misc/lc/hearing_testimony_and_materials/2019/ab528","Support")</f>
        <v>Support</v>
      </c>
      <c r="N126" s="3" t="str">
        <f>HYPERLINK("https://docs.legis.wisconsin.gov/2019/related/acts/83","83")</f>
        <v>83</v>
      </c>
      <c r="O126" s="3" t="str">
        <f>HYPERLINK("https://docs.legis.wisconsin.gov/misc/lc/hearing_testimony_and_materials/2019/sb578","Y")</f>
        <v>Y</v>
      </c>
      <c r="P126" s="9"/>
      <c r="Q126" s="9"/>
      <c r="R126" s="9"/>
      <c r="S126" s="9"/>
      <c r="T126" s="9"/>
      <c r="U126" s="9"/>
      <c r="V126" s="9"/>
      <c r="W126" s="9"/>
      <c r="X126" s="9"/>
      <c r="Y126" s="9"/>
      <c r="Z126" s="9"/>
      <c r="AA126" s="9"/>
      <c r="AB126" s="9"/>
      <c r="AC126" s="9"/>
      <c r="AD126" s="9"/>
      <c r="AE126" s="9"/>
      <c r="AF126" s="9"/>
      <c r="AG126" s="9"/>
    </row>
    <row r="127" spans="1:33" ht="24" x14ac:dyDescent="0.2">
      <c r="A127" s="3" t="str">
        <f>HYPERLINK("https://docs.legis.wisconsin.gov/2019/proposals/reg/asm/bill/ab529","AB 0529")</f>
        <v>AB 0529</v>
      </c>
      <c r="B127" s="4" t="s">
        <v>202</v>
      </c>
      <c r="C127" s="19" t="s">
        <v>203</v>
      </c>
      <c r="D127" s="6">
        <v>43752</v>
      </c>
      <c r="E127" s="3" t="str">
        <f>HYPERLINK("https://docs.legis.wisconsin.gov/2019/proposals/sb506","SB 506")</f>
        <v>SB 506</v>
      </c>
      <c r="F127" s="13" t="str">
        <f>HYPERLINK("https://docs.legis.wisconsin.gov/2019/related/fe/ab529","Y")</f>
        <v>Y</v>
      </c>
      <c r="G127" s="14"/>
      <c r="H127" s="14"/>
      <c r="I127" s="17"/>
      <c r="J127" s="17"/>
      <c r="K127" s="14"/>
      <c r="L127" s="14"/>
      <c r="M127" s="3" t="str">
        <f>HYPERLINK("https://docs.legis.wisconsin.gov/misc/lc/hearing_testimony_and_materials/2019/ab529","Support")</f>
        <v>Support</v>
      </c>
      <c r="N127" s="5"/>
      <c r="O127" s="5"/>
      <c r="P127" s="9"/>
      <c r="Q127" s="9"/>
      <c r="R127" s="9"/>
      <c r="S127" s="9"/>
      <c r="T127" s="9"/>
      <c r="U127" s="9"/>
      <c r="V127" s="9"/>
      <c r="W127" s="9"/>
      <c r="X127" s="9"/>
      <c r="Y127" s="9"/>
      <c r="Z127" s="9"/>
      <c r="AA127" s="9"/>
      <c r="AB127" s="9"/>
      <c r="AC127" s="9"/>
      <c r="AD127" s="9"/>
      <c r="AE127" s="9"/>
      <c r="AF127" s="9"/>
      <c r="AG127" s="9"/>
    </row>
    <row r="128" spans="1:33" ht="24" x14ac:dyDescent="0.2">
      <c r="A128" s="3" t="str">
        <f>HYPERLINK("https://docs.legis.wisconsin.gov/2019/proposals/reg/asm/bill/ab530","AB 0530")</f>
        <v>AB 0530</v>
      </c>
      <c r="B128" s="4" t="s">
        <v>204</v>
      </c>
      <c r="C128" s="19" t="s">
        <v>205</v>
      </c>
      <c r="D128" s="6">
        <v>43752</v>
      </c>
      <c r="E128" s="3" t="str">
        <f>HYPERLINK("https://docs.legis.wisconsin.gov/2019/proposals/sb504","SB 0504")</f>
        <v>SB 0504</v>
      </c>
      <c r="F128" s="19"/>
      <c r="G128" s="5"/>
      <c r="H128" s="5"/>
      <c r="I128" s="8"/>
      <c r="J128" s="8"/>
      <c r="K128" s="5"/>
      <c r="L128" s="14"/>
      <c r="M128" s="5"/>
      <c r="N128" s="5"/>
      <c r="O128" s="5"/>
      <c r="P128" s="9"/>
      <c r="Q128" s="9"/>
      <c r="R128" s="9"/>
      <c r="S128" s="9"/>
      <c r="T128" s="9"/>
      <c r="U128" s="9"/>
      <c r="V128" s="9"/>
      <c r="W128" s="9"/>
      <c r="X128" s="9"/>
      <c r="Y128" s="9"/>
      <c r="Z128" s="9"/>
      <c r="AA128" s="9"/>
      <c r="AB128" s="9"/>
      <c r="AC128" s="9"/>
      <c r="AD128" s="9"/>
      <c r="AE128" s="9"/>
      <c r="AF128" s="9"/>
      <c r="AG128" s="9"/>
    </row>
    <row r="129" spans="1:33" ht="24" x14ac:dyDescent="0.2">
      <c r="A129" s="3" t="str">
        <f>HYPERLINK("https://docs.legis.wisconsin.gov/2019/proposals/reg/asm/bill/ab531","AB 0531")</f>
        <v>AB 0531</v>
      </c>
      <c r="B129" s="4" t="s">
        <v>206</v>
      </c>
      <c r="C129" s="19" t="s">
        <v>207</v>
      </c>
      <c r="D129" s="6">
        <v>43752</v>
      </c>
      <c r="E129" s="3" t="str">
        <f>HYPERLINK("https://docs.legis.wisconsin.gov/2019/proposals/sb496","SB 496")</f>
        <v>SB 496</v>
      </c>
      <c r="F129" s="13" t="str">
        <f>HYPERLINK("https://docs.legis.wisconsin.gov/2019/related/fe/ab531","Y")</f>
        <v>Y</v>
      </c>
      <c r="G129" s="14"/>
      <c r="H129" s="5"/>
      <c r="I129" s="8"/>
      <c r="J129" s="8"/>
      <c r="K129" s="5"/>
      <c r="L129" s="14"/>
      <c r="M129" s="5"/>
      <c r="N129" s="3" t="str">
        <f>HYPERLINK("https://docs.legis.wisconsin.gov/2019/related/acts/116","116")</f>
        <v>116</v>
      </c>
      <c r="O129" s="3" t="str">
        <f>HYPERLINK("https://docs.legis.wisconsin.gov/2019/related/lcamendmemo/ab531.pdf","Y")</f>
        <v>Y</v>
      </c>
      <c r="P129" s="9"/>
      <c r="Q129" s="9"/>
      <c r="R129" s="9"/>
      <c r="S129" s="9"/>
      <c r="T129" s="9"/>
      <c r="U129" s="9"/>
      <c r="V129" s="9"/>
      <c r="W129" s="9"/>
      <c r="X129" s="9"/>
      <c r="Y129" s="9"/>
      <c r="Z129" s="9"/>
      <c r="AA129" s="9"/>
      <c r="AB129" s="9"/>
      <c r="AC129" s="9"/>
      <c r="AD129" s="9"/>
      <c r="AE129" s="9"/>
      <c r="AF129" s="9"/>
      <c r="AG129" s="9"/>
    </row>
    <row r="130" spans="1:33" ht="24" x14ac:dyDescent="0.2">
      <c r="A130" s="3" t="str">
        <f>HYPERLINK("https://docs.legis.wisconsin.gov/2019/proposals/reg/asm/bill/ab536","AB 0536")</f>
        <v>AB 0536</v>
      </c>
      <c r="B130" s="4" t="s">
        <v>208</v>
      </c>
      <c r="C130" s="19" t="s">
        <v>209</v>
      </c>
      <c r="D130" s="6">
        <v>43752</v>
      </c>
      <c r="E130" s="3" t="str">
        <f>HYPERLINK("https://docs.legis.wisconsin.gov/2019/proposals/sb481","SB 0481")</f>
        <v>SB 0481</v>
      </c>
      <c r="F130" s="7"/>
      <c r="G130" s="5"/>
      <c r="H130" s="5"/>
      <c r="I130" s="8"/>
      <c r="J130" s="8"/>
      <c r="K130" s="5"/>
      <c r="L130" s="14"/>
      <c r="M130" s="5"/>
      <c r="N130" s="5"/>
      <c r="O130" s="5"/>
      <c r="P130" s="9"/>
      <c r="Q130" s="9"/>
      <c r="R130" s="9"/>
      <c r="S130" s="9"/>
      <c r="T130" s="9"/>
      <c r="U130" s="9"/>
      <c r="V130" s="9"/>
      <c r="W130" s="9"/>
      <c r="X130" s="9"/>
      <c r="Y130" s="9"/>
      <c r="Z130" s="9"/>
      <c r="AA130" s="9"/>
      <c r="AB130" s="9"/>
      <c r="AC130" s="9"/>
      <c r="AD130" s="9"/>
      <c r="AE130" s="9"/>
      <c r="AF130" s="9"/>
      <c r="AG130" s="9"/>
    </row>
    <row r="131" spans="1:33" ht="24" x14ac:dyDescent="0.2">
      <c r="A131" s="3" t="str">
        <f>HYPERLINK("https://docs.legis.wisconsin.gov/2019/proposals/reg/asm/bill/ab553","AB 0553")</f>
        <v>AB 0553</v>
      </c>
      <c r="B131" s="4" t="s">
        <v>120</v>
      </c>
      <c r="C131" s="19" t="s">
        <v>210</v>
      </c>
      <c r="D131" s="6">
        <v>43756</v>
      </c>
      <c r="E131" s="3" t="str">
        <f>HYPERLINK("https://docs.legis.wisconsin.gov/2019/proposals/sb494","SB 0494")</f>
        <v>SB 0494</v>
      </c>
      <c r="F131" s="13" t="str">
        <f>HYPERLINK("https://docs.legis.wisconsin.gov/2019/related/fe/ab553","Y")</f>
        <v>Y</v>
      </c>
      <c r="G131" s="14"/>
      <c r="H131" s="14"/>
      <c r="I131" s="17"/>
      <c r="J131" s="17"/>
      <c r="K131" s="14"/>
      <c r="L131" s="14"/>
      <c r="M131" s="3" t="str">
        <f>HYPERLINK("https://docs.legis.wisconsin.gov/misc/lc/hearing_testimony_and_materials/2019/ab553","Information")</f>
        <v>Information</v>
      </c>
      <c r="N131" s="5"/>
      <c r="O131" s="5"/>
      <c r="P131" s="9"/>
      <c r="Q131" s="9"/>
      <c r="R131" s="9"/>
      <c r="S131" s="9"/>
      <c r="T131" s="9"/>
      <c r="U131" s="9"/>
      <c r="V131" s="9"/>
      <c r="W131" s="9"/>
      <c r="X131" s="9"/>
      <c r="Y131" s="9"/>
      <c r="Z131" s="9"/>
      <c r="AA131" s="9"/>
      <c r="AB131" s="9"/>
      <c r="AC131" s="9"/>
      <c r="AD131" s="9"/>
      <c r="AE131" s="9"/>
      <c r="AF131" s="9"/>
      <c r="AG131" s="9"/>
    </row>
    <row r="132" spans="1:33" ht="48" x14ac:dyDescent="0.2">
      <c r="A132" s="3" t="str">
        <f>HYPERLINK("https://docs.legis.wisconsin.gov/2019/proposals/reg/asm/bill/ab554","AB 0554")</f>
        <v>AB 0554</v>
      </c>
      <c r="B132" s="4" t="s">
        <v>211</v>
      </c>
      <c r="C132" s="19" t="s">
        <v>212</v>
      </c>
      <c r="D132" s="6">
        <v>43756</v>
      </c>
      <c r="E132" s="3" t="str">
        <f>HYPERLINK("https://docs.legis.wisconsin.gov/2019/proposals/sb495","SB 0495")</f>
        <v>SB 0495</v>
      </c>
      <c r="F132" s="13" t="str">
        <f>HYPERLINK("https://docs.legis.wisconsin.gov/2019/related/fe/ab554","Y")</f>
        <v>Y</v>
      </c>
      <c r="G132" s="14"/>
      <c r="H132" s="14"/>
      <c r="I132" s="17"/>
      <c r="J132" s="17"/>
      <c r="K132" s="14"/>
      <c r="L132" s="14"/>
      <c r="M132" s="3" t="str">
        <f>HYPERLINK("https://docs.legis.wisconsin.gov/misc/lc/hearing_testimony_and_materials/2019/ab554","Support")</f>
        <v>Support</v>
      </c>
      <c r="N132" s="20"/>
      <c r="O132" s="5"/>
      <c r="P132" s="9"/>
      <c r="Q132" s="9"/>
      <c r="R132" s="9"/>
      <c r="S132" s="9"/>
      <c r="T132" s="9"/>
      <c r="U132" s="9"/>
      <c r="V132" s="9"/>
      <c r="W132" s="9"/>
      <c r="X132" s="9"/>
      <c r="Y132" s="9"/>
      <c r="Z132" s="9"/>
      <c r="AA132" s="9"/>
      <c r="AB132" s="9"/>
      <c r="AC132" s="9"/>
      <c r="AD132" s="9"/>
      <c r="AE132" s="9"/>
      <c r="AF132" s="9"/>
      <c r="AG132" s="9"/>
    </row>
    <row r="133" spans="1:33" ht="24" x14ac:dyDescent="0.2">
      <c r="A133" s="3" t="str">
        <f>HYPERLINK("https://docs.legis.wisconsin.gov/2019/proposals/reg/asm/bill/ab556","AB 0556")</f>
        <v>AB 0556</v>
      </c>
      <c r="B133" s="4" t="s">
        <v>213</v>
      </c>
      <c r="C133" s="19" t="s">
        <v>37</v>
      </c>
      <c r="D133" s="6">
        <v>43759</v>
      </c>
      <c r="E133" s="3" t="str">
        <f>HYPERLINK("https://docs.legis.wisconsin.gov/2019/proposals/sb497","SB 0497")</f>
        <v>SB 0497</v>
      </c>
      <c r="F133" s="7"/>
      <c r="G133" s="5"/>
      <c r="H133" s="5"/>
      <c r="I133" s="8"/>
      <c r="J133" s="8"/>
      <c r="K133" s="5"/>
      <c r="L133" s="14"/>
      <c r="M133" s="5"/>
      <c r="N133" s="5"/>
      <c r="O133" s="5"/>
      <c r="P133" s="9"/>
      <c r="Q133" s="9"/>
      <c r="R133" s="9"/>
      <c r="S133" s="9"/>
      <c r="T133" s="9"/>
      <c r="U133" s="9"/>
      <c r="V133" s="9"/>
      <c r="W133" s="9"/>
      <c r="X133" s="9"/>
      <c r="Y133" s="9"/>
      <c r="Z133" s="9"/>
      <c r="AA133" s="9"/>
      <c r="AB133" s="9"/>
      <c r="AC133" s="9"/>
      <c r="AD133" s="9"/>
      <c r="AE133" s="9"/>
      <c r="AF133" s="9"/>
      <c r="AG133" s="9"/>
    </row>
    <row r="134" spans="1:33" ht="12.75" x14ac:dyDescent="0.2">
      <c r="A134" s="3" t="str">
        <f>HYPERLINK("https://docs.legis.wisconsin.gov/2019/proposals/reg/asm/bill/ab585","AB 0585")</f>
        <v>AB 0585</v>
      </c>
      <c r="B134" s="4" t="s">
        <v>214</v>
      </c>
      <c r="C134" s="19" t="s">
        <v>114</v>
      </c>
      <c r="D134" s="6">
        <v>43770</v>
      </c>
      <c r="E134" s="3" t="str">
        <f>HYPERLINK("https://docs.legis.wisconsin.gov/2019/proposals/sb527","SB 0527")</f>
        <v>SB 0527</v>
      </c>
      <c r="F134" s="7"/>
      <c r="G134" s="5"/>
      <c r="H134" s="14"/>
      <c r="I134" s="17"/>
      <c r="J134" s="17"/>
      <c r="K134" s="14"/>
      <c r="L134" s="14"/>
      <c r="M134" s="3" t="str">
        <f>HYPERLINK("https://docs.legis.wisconsin.gov/misc/lc/hearing_testimony_and_materials/2019/ab585","Information")</f>
        <v>Information</v>
      </c>
      <c r="N134" s="14"/>
      <c r="O134" s="14"/>
      <c r="P134" s="9"/>
      <c r="Q134" s="9"/>
      <c r="R134" s="9"/>
      <c r="S134" s="9"/>
      <c r="T134" s="9"/>
      <c r="U134" s="9"/>
      <c r="V134" s="9"/>
      <c r="W134" s="9"/>
      <c r="X134" s="9"/>
      <c r="Y134" s="9"/>
      <c r="Z134" s="9"/>
      <c r="AA134" s="9"/>
      <c r="AB134" s="9"/>
      <c r="AC134" s="9"/>
      <c r="AD134" s="9"/>
      <c r="AE134" s="9"/>
      <c r="AF134" s="9"/>
      <c r="AG134" s="9"/>
    </row>
    <row r="135" spans="1:33" ht="24" x14ac:dyDescent="0.2">
      <c r="A135" s="3" t="str">
        <f>HYPERLINK("https://docs.legis.wisconsin.gov/2019/proposals/reg/asm/bill/ab587","AB 0587")</f>
        <v>AB 0587</v>
      </c>
      <c r="B135" s="4" t="s">
        <v>215</v>
      </c>
      <c r="C135" s="19" t="s">
        <v>216</v>
      </c>
      <c r="D135" s="6">
        <v>43770</v>
      </c>
      <c r="E135" s="3" t="str">
        <f>HYPERLINK("https://docs.legis.wisconsin.gov/2019/proposals/sb459","SB 0459")</f>
        <v>SB 0459</v>
      </c>
      <c r="F135" s="13" t="str">
        <f>HYPERLINK("https://docs.legis.wisconsin.gov/2019/related/fe/ab587","Y")</f>
        <v>Y</v>
      </c>
      <c r="G135" s="14"/>
      <c r="H135" s="5"/>
      <c r="I135" s="8"/>
      <c r="J135" s="8"/>
      <c r="K135" s="5"/>
      <c r="L135" s="14"/>
      <c r="M135" s="5"/>
      <c r="N135" s="5"/>
      <c r="O135" s="5"/>
      <c r="P135" s="9"/>
      <c r="Q135" s="9"/>
      <c r="R135" s="9"/>
      <c r="S135" s="9"/>
      <c r="T135" s="9"/>
      <c r="U135" s="9"/>
      <c r="V135" s="9"/>
      <c r="W135" s="9"/>
      <c r="X135" s="9"/>
      <c r="Y135" s="9"/>
      <c r="Z135" s="9"/>
      <c r="AA135" s="9"/>
      <c r="AB135" s="9"/>
      <c r="AC135" s="9"/>
      <c r="AD135" s="9"/>
      <c r="AE135" s="9"/>
      <c r="AF135" s="9"/>
      <c r="AG135" s="9"/>
    </row>
    <row r="136" spans="1:33" ht="24" x14ac:dyDescent="0.2">
      <c r="A136" s="3" t="str">
        <f>HYPERLINK("https://docs.legis.wisconsin.gov/2019/proposals/reg/asm/bill/ab588","AB 0588")</f>
        <v>AB 0588</v>
      </c>
      <c r="B136" s="4" t="s">
        <v>217</v>
      </c>
      <c r="C136" s="19" t="s">
        <v>177</v>
      </c>
      <c r="D136" s="6">
        <v>43770</v>
      </c>
      <c r="E136" s="14"/>
      <c r="F136" s="7"/>
      <c r="G136" s="5"/>
      <c r="H136" s="5"/>
      <c r="I136" s="8"/>
      <c r="J136" s="8"/>
      <c r="K136" s="5"/>
      <c r="L136" s="14"/>
      <c r="M136" s="5"/>
      <c r="N136" s="5"/>
      <c r="O136" s="5"/>
      <c r="P136" s="9"/>
      <c r="Q136" s="9"/>
      <c r="R136" s="9"/>
      <c r="S136" s="9"/>
      <c r="T136" s="9"/>
      <c r="U136" s="9"/>
      <c r="V136" s="9"/>
      <c r="W136" s="9"/>
      <c r="X136" s="9"/>
      <c r="Y136" s="9"/>
      <c r="Z136" s="9"/>
      <c r="AA136" s="9"/>
      <c r="AB136" s="9"/>
      <c r="AC136" s="9"/>
      <c r="AD136" s="9"/>
      <c r="AE136" s="9"/>
      <c r="AF136" s="9"/>
      <c r="AG136" s="9"/>
    </row>
    <row r="137" spans="1:33" ht="48" x14ac:dyDescent="0.2">
      <c r="A137" s="3" t="str">
        <f>HYPERLINK("https://docs.legis.wisconsin.gov/2019/proposals/reg/asm/bill/ab594","AB 0594")</f>
        <v>AB 0594</v>
      </c>
      <c r="B137" s="4" t="s">
        <v>218</v>
      </c>
      <c r="C137" s="19" t="s">
        <v>219</v>
      </c>
      <c r="D137" s="6">
        <v>43776</v>
      </c>
      <c r="E137" s="3" t="str">
        <f>HYPERLINK("https://docs.legis.wisconsin.gov/2019/proposals/sb554","SB 0554")</f>
        <v>SB 0554</v>
      </c>
      <c r="F137" s="13" t="str">
        <f>HYPERLINK("https://docs.legis.wisconsin.gov/2019/related/fe/ab594","Y")</f>
        <v>Y</v>
      </c>
      <c r="G137" s="14"/>
      <c r="H137" s="5"/>
      <c r="I137" s="8"/>
      <c r="J137" s="8"/>
      <c r="K137" s="5"/>
      <c r="L137" s="14"/>
      <c r="M137" s="5"/>
      <c r="N137" s="14"/>
      <c r="O137" s="14"/>
      <c r="P137" s="9"/>
      <c r="Q137" s="9"/>
      <c r="R137" s="9"/>
      <c r="S137" s="9"/>
      <c r="T137" s="9"/>
      <c r="U137" s="9"/>
      <c r="V137" s="9"/>
      <c r="W137" s="9"/>
      <c r="X137" s="9"/>
      <c r="Y137" s="9"/>
      <c r="Z137" s="9"/>
      <c r="AA137" s="9"/>
      <c r="AB137" s="9"/>
      <c r="AC137" s="9"/>
      <c r="AD137" s="9"/>
      <c r="AE137" s="9"/>
      <c r="AF137" s="9"/>
      <c r="AG137" s="9"/>
    </row>
    <row r="138" spans="1:33" ht="36" x14ac:dyDescent="0.2">
      <c r="A138" s="3" t="str">
        <f>HYPERLINK("https://docs.legis.wisconsin.gov/2019/proposals/reg/asm/bill/ab595","AB 0595")</f>
        <v>AB 0595</v>
      </c>
      <c r="B138" s="4" t="s">
        <v>220</v>
      </c>
      <c r="C138" s="19" t="s">
        <v>219</v>
      </c>
      <c r="D138" s="6">
        <v>43776</v>
      </c>
      <c r="E138" s="3" t="str">
        <f>HYPERLINK("https://docs.legis.wisconsin.gov/2019/proposals/sb555","SB 0555")</f>
        <v>SB 0555</v>
      </c>
      <c r="F138" s="13" t="str">
        <f>HYPERLINK("https://docs.legis.wisconsin.gov/2019/related/fe/ab595","Y")</f>
        <v>Y</v>
      </c>
      <c r="G138" s="14"/>
      <c r="H138" s="5"/>
      <c r="I138" s="8"/>
      <c r="J138" s="8"/>
      <c r="K138" s="5"/>
      <c r="L138" s="14"/>
      <c r="M138" s="5"/>
      <c r="N138" s="14"/>
      <c r="O138" s="14"/>
      <c r="P138" s="9"/>
      <c r="Q138" s="9"/>
      <c r="R138" s="9"/>
      <c r="S138" s="9"/>
      <c r="T138" s="9"/>
      <c r="U138" s="9"/>
      <c r="V138" s="9"/>
      <c r="W138" s="9"/>
      <c r="X138" s="9"/>
      <c r="Y138" s="9"/>
      <c r="Z138" s="9"/>
      <c r="AA138" s="9"/>
      <c r="AB138" s="9"/>
      <c r="AC138" s="9"/>
      <c r="AD138" s="9"/>
      <c r="AE138" s="9"/>
      <c r="AF138" s="9"/>
      <c r="AG138" s="9"/>
    </row>
    <row r="139" spans="1:33" ht="24" x14ac:dyDescent="0.2">
      <c r="A139" s="3" t="str">
        <f>HYPERLINK("https://docs.legis.wisconsin.gov/2019/proposals/reg/asm/bill/ab597","AB 0597")</f>
        <v>AB 0597</v>
      </c>
      <c r="B139" s="4" t="s">
        <v>221</v>
      </c>
      <c r="C139" s="19" t="s">
        <v>222</v>
      </c>
      <c r="D139" s="6">
        <v>43776</v>
      </c>
      <c r="E139" s="3" t="str">
        <f>HYPERLINK("https://docs.legis.wisconsin.gov/2019/proposals/sb545","SB 0545")</f>
        <v>SB 0545</v>
      </c>
      <c r="F139" s="7"/>
      <c r="G139" s="5"/>
      <c r="H139" s="5"/>
      <c r="I139" s="8"/>
      <c r="J139" s="8"/>
      <c r="K139" s="5"/>
      <c r="L139" s="14"/>
      <c r="M139" s="5"/>
      <c r="N139" s="14"/>
      <c r="O139" s="5"/>
      <c r="P139" s="9"/>
      <c r="Q139" s="9"/>
      <c r="R139" s="9"/>
      <c r="S139" s="9"/>
      <c r="T139" s="9"/>
      <c r="U139" s="9"/>
      <c r="V139" s="9"/>
      <c r="W139" s="9"/>
      <c r="X139" s="9"/>
      <c r="Y139" s="9"/>
      <c r="Z139" s="9"/>
      <c r="AA139" s="9"/>
      <c r="AB139" s="9"/>
      <c r="AC139" s="9"/>
      <c r="AD139" s="9"/>
      <c r="AE139" s="9"/>
      <c r="AF139" s="9"/>
      <c r="AG139" s="9"/>
    </row>
    <row r="140" spans="1:33" ht="36" x14ac:dyDescent="0.2">
      <c r="A140" s="3" t="str">
        <f>HYPERLINK("https://docs.legis.wisconsin.gov/2019/proposals/reg/asm/bill/ab599","AB 0599")</f>
        <v>AB 0599</v>
      </c>
      <c r="B140" s="4" t="s">
        <v>223</v>
      </c>
      <c r="C140" s="19" t="s">
        <v>222</v>
      </c>
      <c r="D140" s="6">
        <v>43784</v>
      </c>
      <c r="E140" s="3" t="str">
        <f>HYPERLINK("https://docs.legis.wisconsin.gov/2019/proposals/sb529","SB 0529")</f>
        <v>SB 0529</v>
      </c>
      <c r="F140" s="7"/>
      <c r="G140" s="5"/>
      <c r="H140" s="5"/>
      <c r="I140" s="8"/>
      <c r="J140" s="8"/>
      <c r="K140" s="5"/>
      <c r="L140" s="14"/>
      <c r="M140" s="14"/>
      <c r="N140" s="14"/>
      <c r="O140" s="14"/>
      <c r="P140" s="9"/>
      <c r="Q140" s="9"/>
      <c r="R140" s="9"/>
      <c r="S140" s="9"/>
      <c r="T140" s="9"/>
      <c r="U140" s="9"/>
      <c r="V140" s="9"/>
      <c r="W140" s="9"/>
      <c r="X140" s="9"/>
      <c r="Y140" s="9"/>
      <c r="Z140" s="9"/>
      <c r="AA140" s="9"/>
      <c r="AB140" s="9"/>
      <c r="AC140" s="9"/>
      <c r="AD140" s="9"/>
      <c r="AE140" s="9"/>
      <c r="AF140" s="9"/>
      <c r="AG140" s="9"/>
    </row>
    <row r="141" spans="1:33" ht="24" x14ac:dyDescent="0.2">
      <c r="A141" s="3" t="str">
        <f>HYPERLINK("https://docs.legis.wisconsin.gov/2019/proposals/reg/asm/bill/ab601","AB 0601")</f>
        <v>AB 0601</v>
      </c>
      <c r="B141" s="4" t="s">
        <v>224</v>
      </c>
      <c r="C141" s="19" t="s">
        <v>219</v>
      </c>
      <c r="D141" s="6">
        <v>43784</v>
      </c>
      <c r="E141" s="3" t="str">
        <f>HYPERLINK("https://docs.legis.wisconsin.gov/2019/proposals/sb552","SB 0552")</f>
        <v>SB 0552</v>
      </c>
      <c r="F141" s="13" t="str">
        <f>HYPERLINK("https://docs.legis.wisconsin.gov/2019/related/fe/ab601","Y")</f>
        <v>Y</v>
      </c>
      <c r="G141" s="14"/>
      <c r="H141" s="5"/>
      <c r="I141" s="8"/>
      <c r="J141" s="8"/>
      <c r="K141" s="5"/>
      <c r="L141" s="14"/>
      <c r="M141" s="14"/>
      <c r="N141" s="14"/>
      <c r="O141" s="14"/>
      <c r="P141" s="9"/>
      <c r="Q141" s="9"/>
      <c r="R141" s="9"/>
      <c r="S141" s="9"/>
      <c r="T141" s="9"/>
      <c r="U141" s="9"/>
      <c r="V141" s="9"/>
      <c r="W141" s="9"/>
      <c r="X141" s="9"/>
      <c r="Y141" s="9"/>
      <c r="Z141" s="9"/>
      <c r="AA141" s="9"/>
      <c r="AB141" s="9"/>
      <c r="AC141" s="9"/>
      <c r="AD141" s="9"/>
      <c r="AE141" s="9"/>
      <c r="AF141" s="9"/>
      <c r="AG141" s="9"/>
    </row>
    <row r="142" spans="1:33" ht="12.75" x14ac:dyDescent="0.2">
      <c r="A142" s="3" t="str">
        <f>HYPERLINK("https://docs.legis.wisconsin.gov/2019/proposals/reg/asm/bill/ab602","AB 0602")</f>
        <v>AB 0602</v>
      </c>
      <c r="B142" s="4" t="s">
        <v>225</v>
      </c>
      <c r="C142" s="19" t="s">
        <v>226</v>
      </c>
      <c r="D142" s="6">
        <v>43777</v>
      </c>
      <c r="E142" s="3" t="str">
        <f>HYPERLINK("https://docs.legis.wisconsin.gov/2019/proposals/sb553","SB 0553")</f>
        <v>SB 0553</v>
      </c>
      <c r="F142" s="19"/>
      <c r="G142" s="5"/>
      <c r="H142" s="5"/>
      <c r="I142" s="8"/>
      <c r="J142" s="8"/>
      <c r="K142" s="5"/>
      <c r="L142" s="14"/>
      <c r="M142" s="5"/>
      <c r="N142" s="5"/>
      <c r="O142" s="5"/>
      <c r="P142" s="9"/>
      <c r="Q142" s="9"/>
      <c r="R142" s="9"/>
      <c r="S142" s="9"/>
      <c r="T142" s="9"/>
      <c r="U142" s="9"/>
      <c r="V142" s="9"/>
      <c r="W142" s="9"/>
      <c r="X142" s="9"/>
      <c r="Y142" s="9"/>
      <c r="Z142" s="9"/>
      <c r="AA142" s="9"/>
      <c r="AB142" s="9"/>
      <c r="AC142" s="9"/>
      <c r="AD142" s="9"/>
      <c r="AE142" s="9"/>
      <c r="AF142" s="9"/>
      <c r="AG142" s="9"/>
    </row>
    <row r="143" spans="1:33" ht="12.75" x14ac:dyDescent="0.2">
      <c r="A143" s="3" t="str">
        <f>HYPERLINK("https://docs.legis.wisconsin.gov/2019/proposals/reg/asm/bill/ab603","AB 0603")</f>
        <v>AB 0603</v>
      </c>
      <c r="B143" s="4" t="s">
        <v>227</v>
      </c>
      <c r="C143" s="19" t="s">
        <v>219</v>
      </c>
      <c r="D143" s="6">
        <v>43784</v>
      </c>
      <c r="E143" s="3" t="str">
        <f>HYPERLINK("https://docs.legis.wisconsin.gov/2019/proposals/sb569","SB 0569")</f>
        <v>SB 0569</v>
      </c>
      <c r="F143" s="7"/>
      <c r="G143" s="5"/>
      <c r="H143" s="5"/>
      <c r="I143" s="8"/>
      <c r="J143" s="8"/>
      <c r="K143" s="5"/>
      <c r="L143" s="14"/>
      <c r="M143" s="5" t="s">
        <v>60</v>
      </c>
      <c r="N143" s="5"/>
      <c r="O143" s="5"/>
      <c r="P143" s="9"/>
      <c r="Q143" s="9"/>
      <c r="R143" s="9"/>
      <c r="S143" s="9"/>
      <c r="T143" s="9"/>
      <c r="U143" s="9"/>
      <c r="V143" s="9"/>
      <c r="W143" s="9"/>
      <c r="X143" s="9"/>
      <c r="Y143" s="9"/>
      <c r="Z143" s="9"/>
      <c r="AA143" s="9"/>
      <c r="AB143" s="9"/>
      <c r="AC143" s="9"/>
      <c r="AD143" s="9"/>
      <c r="AE143" s="9"/>
      <c r="AF143" s="9"/>
      <c r="AG143" s="9"/>
    </row>
    <row r="144" spans="1:33" ht="24" x14ac:dyDescent="0.2">
      <c r="A144" s="3" t="str">
        <f>HYPERLINK("https://docs.legis.wisconsin.gov/2019/proposals/reg/asm/bill/ab604","AB 0604")</f>
        <v>AB 0604</v>
      </c>
      <c r="B144" s="4" t="s">
        <v>228</v>
      </c>
      <c r="C144" s="19" t="s">
        <v>219</v>
      </c>
      <c r="D144" s="6">
        <v>43784</v>
      </c>
      <c r="E144" s="3" t="str">
        <f>HYPERLINK("https://docs.legis.wisconsin.gov/2019/proposals/sb571","SB 0571")</f>
        <v>SB 0571</v>
      </c>
      <c r="F144" s="13" t="str">
        <f>HYPERLINK("https://docs.legis.wisconsin.gov/2019/related/fe/ab604","Y")</f>
        <v>Y</v>
      </c>
      <c r="G144" s="14"/>
      <c r="H144" s="5"/>
      <c r="I144" s="8"/>
      <c r="J144" s="8"/>
      <c r="K144" s="5"/>
      <c r="L144" s="14"/>
      <c r="M144" s="5" t="s">
        <v>229</v>
      </c>
      <c r="N144" s="5"/>
      <c r="O144" s="5"/>
      <c r="P144" s="9"/>
      <c r="Q144" s="9"/>
      <c r="R144" s="9"/>
      <c r="S144" s="9"/>
      <c r="T144" s="9"/>
      <c r="U144" s="9"/>
      <c r="V144" s="9"/>
      <c r="W144" s="9"/>
      <c r="X144" s="9"/>
      <c r="Y144" s="9"/>
      <c r="Z144" s="9"/>
      <c r="AA144" s="9"/>
      <c r="AB144" s="9"/>
      <c r="AC144" s="9"/>
      <c r="AD144" s="9"/>
      <c r="AE144" s="9"/>
      <c r="AF144" s="9"/>
      <c r="AG144" s="9"/>
    </row>
    <row r="145" spans="1:33" ht="24" x14ac:dyDescent="0.2">
      <c r="A145" s="3" t="str">
        <f>HYPERLINK("https://docs.legis.wisconsin.gov/2019/proposals/reg/asm/bill/ab621","AB 0621")</f>
        <v>AB 0621</v>
      </c>
      <c r="B145" s="4" t="s">
        <v>230</v>
      </c>
      <c r="C145" s="19" t="s">
        <v>23</v>
      </c>
      <c r="D145" s="6">
        <v>43789</v>
      </c>
      <c r="E145" s="14"/>
      <c r="F145" s="19"/>
      <c r="G145" s="5"/>
      <c r="H145" s="5"/>
      <c r="I145" s="8"/>
      <c r="J145" s="8"/>
      <c r="K145" s="5"/>
      <c r="L145" s="14"/>
      <c r="M145" s="5"/>
      <c r="N145" s="5"/>
      <c r="O145" s="5"/>
      <c r="P145" s="9"/>
      <c r="Q145" s="9"/>
      <c r="R145" s="9"/>
      <c r="S145" s="9"/>
      <c r="T145" s="9"/>
      <c r="U145" s="9"/>
      <c r="V145" s="9"/>
      <c r="W145" s="9"/>
      <c r="X145" s="9"/>
      <c r="Y145" s="9"/>
      <c r="Z145" s="9"/>
      <c r="AA145" s="9"/>
      <c r="AB145" s="9"/>
      <c r="AC145" s="9"/>
      <c r="AD145" s="9"/>
      <c r="AE145" s="9"/>
      <c r="AF145" s="9"/>
      <c r="AG145" s="9"/>
    </row>
    <row r="146" spans="1:33" ht="24" x14ac:dyDescent="0.2">
      <c r="A146" s="3" t="str">
        <f>HYPERLINK("https://docs.legis.wisconsin.gov/2019/proposals/reg/asm/bill/ab624","AB 0624")</f>
        <v>AB 0624</v>
      </c>
      <c r="B146" s="4" t="s">
        <v>231</v>
      </c>
      <c r="C146" s="19" t="s">
        <v>133</v>
      </c>
      <c r="D146" s="6">
        <v>43790</v>
      </c>
      <c r="E146" s="14"/>
      <c r="F146" s="7"/>
      <c r="G146" s="5"/>
      <c r="H146" s="5"/>
      <c r="I146" s="8"/>
      <c r="J146" s="8"/>
      <c r="K146" s="5"/>
      <c r="L146" s="14"/>
      <c r="M146" s="14"/>
      <c r="N146" s="14"/>
      <c r="O146" s="14"/>
      <c r="P146" s="9"/>
      <c r="Q146" s="9"/>
      <c r="R146" s="9"/>
      <c r="S146" s="9"/>
      <c r="T146" s="9"/>
      <c r="U146" s="9"/>
      <c r="V146" s="9"/>
      <c r="W146" s="9"/>
      <c r="X146" s="9"/>
      <c r="Y146" s="9"/>
      <c r="Z146" s="9"/>
      <c r="AA146" s="9"/>
      <c r="AB146" s="9"/>
      <c r="AC146" s="9"/>
      <c r="AD146" s="9"/>
      <c r="AE146" s="9"/>
      <c r="AF146" s="9"/>
      <c r="AG146" s="9"/>
    </row>
    <row r="147" spans="1:33" ht="24" x14ac:dyDescent="0.2">
      <c r="A147" s="3" t="str">
        <f>HYPERLINK("https://docs.legis.wisconsin.gov/2019/proposals/reg/asm/bill/ab627","AB 0627")</f>
        <v>AB 0627</v>
      </c>
      <c r="B147" s="4" t="s">
        <v>232</v>
      </c>
      <c r="C147" s="19" t="s">
        <v>233</v>
      </c>
      <c r="D147" s="6">
        <v>43790</v>
      </c>
      <c r="E147" s="3" t="str">
        <f>HYPERLINK("https://docs.legis.wisconsin.gov/2019/proposals/sb563","SB 0563")</f>
        <v>SB 0563</v>
      </c>
      <c r="F147" s="7"/>
      <c r="G147" s="5"/>
      <c r="H147" s="5"/>
      <c r="I147" s="8"/>
      <c r="J147" s="8"/>
      <c r="K147" s="5"/>
      <c r="L147" s="14"/>
      <c r="M147" s="5"/>
      <c r="N147" s="5"/>
      <c r="O147" s="5"/>
      <c r="P147" s="9"/>
      <c r="Q147" s="9"/>
      <c r="R147" s="9"/>
      <c r="S147" s="9"/>
      <c r="T147" s="9"/>
      <c r="U147" s="9"/>
      <c r="V147" s="9"/>
      <c r="W147" s="9"/>
      <c r="X147" s="9"/>
      <c r="Y147" s="9"/>
      <c r="Z147" s="9"/>
      <c r="AA147" s="9"/>
      <c r="AB147" s="9"/>
      <c r="AC147" s="9"/>
      <c r="AD147" s="9"/>
      <c r="AE147" s="9"/>
      <c r="AF147" s="9"/>
      <c r="AG147" s="9"/>
    </row>
    <row r="148" spans="1:33" ht="24" x14ac:dyDescent="0.2">
      <c r="A148" s="3" t="str">
        <f>HYPERLINK("https://docs.legis.wisconsin.gov/2019/proposals/reg/asm/bill/ab629","AB 0629")</f>
        <v>AB 0629</v>
      </c>
      <c r="B148" s="4" t="s">
        <v>234</v>
      </c>
      <c r="C148" s="19" t="s">
        <v>235</v>
      </c>
      <c r="D148" s="6">
        <v>43790</v>
      </c>
      <c r="E148" s="14"/>
      <c r="F148" s="7"/>
      <c r="G148" s="5"/>
      <c r="H148" s="5"/>
      <c r="I148" s="8"/>
      <c r="J148" s="8"/>
      <c r="K148" s="5"/>
      <c r="L148" s="14"/>
      <c r="M148" s="5"/>
      <c r="N148" s="5"/>
      <c r="O148" s="5"/>
      <c r="P148" s="9"/>
      <c r="Q148" s="9"/>
      <c r="R148" s="9"/>
      <c r="S148" s="9"/>
      <c r="T148" s="9"/>
      <c r="U148" s="9"/>
      <c r="V148" s="9"/>
      <c r="W148" s="9"/>
      <c r="X148" s="9"/>
      <c r="Y148" s="9"/>
      <c r="Z148" s="9"/>
      <c r="AA148" s="9"/>
      <c r="AB148" s="9"/>
      <c r="AC148" s="9"/>
      <c r="AD148" s="9"/>
      <c r="AE148" s="9"/>
      <c r="AF148" s="9"/>
      <c r="AG148" s="9"/>
    </row>
    <row r="149" spans="1:33" ht="12.75" x14ac:dyDescent="0.2">
      <c r="A149" s="3" t="str">
        <f>HYPERLINK("https://docs.legis.wisconsin.gov/2019/proposals/reg/asm/bill/ab632","AB 0632")</f>
        <v>AB 0632</v>
      </c>
      <c r="B149" s="4" t="s">
        <v>236</v>
      </c>
      <c r="C149" s="19" t="s">
        <v>237</v>
      </c>
      <c r="D149" s="6">
        <v>43791</v>
      </c>
      <c r="E149" s="3" t="str">
        <f>HYPERLINK("https://docs.legis.wisconsin.gov/2019/proposals/sb578","SB 578")</f>
        <v>SB 578</v>
      </c>
      <c r="F149" s="13" t="str">
        <f>HYPERLINK("https://docs.legis.wisconsin.gov/2019/related/fe/ab632","Y")</f>
        <v>Y</v>
      </c>
      <c r="G149" s="14"/>
      <c r="H149" s="5"/>
      <c r="I149" s="8"/>
      <c r="J149" s="8"/>
      <c r="K149" s="5"/>
      <c r="L149" s="14"/>
      <c r="M149" s="5" t="s">
        <v>229</v>
      </c>
      <c r="N149" s="5"/>
      <c r="O149" s="5"/>
      <c r="P149" s="9"/>
      <c r="Q149" s="9"/>
      <c r="R149" s="9"/>
      <c r="S149" s="9"/>
      <c r="T149" s="9"/>
      <c r="U149" s="9"/>
      <c r="V149" s="9"/>
      <c r="W149" s="9"/>
      <c r="X149" s="9"/>
      <c r="Y149" s="9"/>
      <c r="Z149" s="9"/>
      <c r="AA149" s="9"/>
      <c r="AB149" s="9"/>
      <c r="AC149" s="9"/>
      <c r="AD149" s="9"/>
      <c r="AE149" s="9"/>
      <c r="AF149" s="9"/>
      <c r="AG149" s="9"/>
    </row>
    <row r="150" spans="1:33" ht="24" x14ac:dyDescent="0.2">
      <c r="A150" s="3" t="str">
        <f>HYPERLINK("https://docs.legis.wisconsin.gov/2019/proposals/reg/asm/bill/ab635","AB 0635")</f>
        <v>AB 0635</v>
      </c>
      <c r="B150" s="4" t="s">
        <v>238</v>
      </c>
      <c r="C150" s="19" t="s">
        <v>219</v>
      </c>
      <c r="D150" s="6">
        <v>43801</v>
      </c>
      <c r="E150" s="3" t="str">
        <f>HYPERLINK("https://docs.legis.wisconsin.gov/2019/proposals/sb579","SB 597")</f>
        <v>SB 597</v>
      </c>
      <c r="F150" s="13" t="str">
        <f>HYPERLINK("https://docs.legis.wisconsin.gov/2019/related/fe/ab635","Y")</f>
        <v>Y</v>
      </c>
      <c r="G150" s="14"/>
      <c r="H150" s="5"/>
      <c r="I150" s="8"/>
      <c r="J150" s="8"/>
      <c r="K150" s="5"/>
      <c r="L150" s="14"/>
      <c r="M150" s="5"/>
      <c r="N150" s="5"/>
      <c r="O150" s="5"/>
      <c r="P150" s="9"/>
      <c r="Q150" s="9"/>
      <c r="R150" s="9"/>
      <c r="S150" s="9"/>
      <c r="T150" s="9"/>
      <c r="U150" s="9"/>
      <c r="V150" s="9"/>
      <c r="W150" s="9"/>
      <c r="X150" s="9"/>
      <c r="Y150" s="9"/>
      <c r="Z150" s="9"/>
      <c r="AA150" s="9"/>
      <c r="AB150" s="9"/>
      <c r="AC150" s="9"/>
      <c r="AD150" s="9"/>
      <c r="AE150" s="9"/>
      <c r="AF150" s="9"/>
      <c r="AG150" s="9"/>
    </row>
    <row r="151" spans="1:33" ht="24" x14ac:dyDescent="0.2">
      <c r="A151" s="3" t="str">
        <f>HYPERLINK("https://docs.legis.wisconsin.gov/2019/proposals/reg/asm/bill/ab644","AB 0644")</f>
        <v>AB 0644</v>
      </c>
      <c r="B151" s="4" t="s">
        <v>239</v>
      </c>
      <c r="C151" s="19" t="s">
        <v>184</v>
      </c>
      <c r="D151" s="6">
        <v>43802</v>
      </c>
      <c r="E151" s="3" t="str">
        <f>HYPERLINK("https://docs.legis.wisconsin.gov/2019/proposals/sb608","SB 0608")</f>
        <v>SB 0608</v>
      </c>
      <c r="F151" s="19"/>
      <c r="G151" s="5"/>
      <c r="H151" s="5"/>
      <c r="I151" s="17"/>
      <c r="J151" s="17"/>
      <c r="K151" s="14"/>
      <c r="L151" s="14"/>
      <c r="M151" s="5"/>
      <c r="N151" s="3" t="str">
        <f>HYPERLINK("https://docs.legis.wisconsin.gov/2019/related/acts/117","117")</f>
        <v>117</v>
      </c>
      <c r="O151" s="3" t="str">
        <f>HYPERLINK("https://docs.legis.wisconsin.gov/2019/related/lcactmemo/act117.pdf","Y")</f>
        <v>Y</v>
      </c>
      <c r="P151" s="9"/>
      <c r="Q151" s="9"/>
      <c r="R151" s="9"/>
      <c r="S151" s="9"/>
      <c r="T151" s="9"/>
      <c r="U151" s="9"/>
      <c r="V151" s="9"/>
      <c r="W151" s="9"/>
      <c r="X151" s="9"/>
      <c r="Y151" s="9"/>
      <c r="Z151" s="9"/>
      <c r="AA151" s="9"/>
      <c r="AB151" s="9"/>
      <c r="AC151" s="9"/>
      <c r="AD151" s="9"/>
      <c r="AE151" s="9"/>
      <c r="AF151" s="9"/>
      <c r="AG151" s="9"/>
    </row>
    <row r="152" spans="1:33" ht="24" x14ac:dyDescent="0.2">
      <c r="A152" s="3" t="str">
        <f>HYPERLINK("https://docs.legis.wisconsin.gov/2019/proposals/reg/asm/bill/ab662","AB 0662")</f>
        <v>AB 0662</v>
      </c>
      <c r="B152" s="4" t="s">
        <v>240</v>
      </c>
      <c r="C152" s="19" t="s">
        <v>241</v>
      </c>
      <c r="D152" s="6">
        <v>43804</v>
      </c>
      <c r="E152" s="3" t="str">
        <f>HYPERLINK("https://docs.legis.wisconsin.gov/2019/proposals/sb595","SB 595")</f>
        <v>SB 595</v>
      </c>
      <c r="F152" s="13" t="str">
        <f>HYPERLINK("https://docs.legis.wisconsin.gov/2019/related/fe/ab662","Y")</f>
        <v>Y</v>
      </c>
      <c r="G152" s="14"/>
      <c r="H152" s="14"/>
      <c r="I152" s="82"/>
      <c r="J152" s="82"/>
      <c r="K152" s="84"/>
      <c r="L152" s="14"/>
      <c r="M152" s="3" t="str">
        <f>HYPERLINK("https://docs.legis.wisconsin.gov/misc/lc/hearing_testimony_and_materials/2019/ab662","Information")</f>
        <v>Information</v>
      </c>
      <c r="N152" s="5"/>
      <c r="O152" s="5"/>
      <c r="P152" s="9"/>
      <c r="Q152" s="9"/>
      <c r="R152" s="9"/>
      <c r="S152" s="9"/>
      <c r="T152" s="9"/>
      <c r="U152" s="9"/>
      <c r="V152" s="9"/>
      <c r="W152" s="9"/>
      <c r="X152" s="9"/>
      <c r="Y152" s="9"/>
      <c r="Z152" s="9"/>
      <c r="AA152" s="9"/>
      <c r="AB152" s="9"/>
      <c r="AC152" s="9"/>
      <c r="AD152" s="9"/>
      <c r="AE152" s="9"/>
      <c r="AF152" s="9"/>
      <c r="AG152" s="9"/>
    </row>
    <row r="153" spans="1:33" ht="24" x14ac:dyDescent="0.2">
      <c r="A153" s="3" t="str">
        <f>HYPERLINK("https://docs.legis.wisconsin.gov/2019/proposals/reg/asm/bill/ab667","AB 0667")</f>
        <v>AB 0667</v>
      </c>
      <c r="B153" s="4" t="s">
        <v>242</v>
      </c>
      <c r="C153" s="19" t="s">
        <v>77</v>
      </c>
      <c r="D153" s="6">
        <v>43804</v>
      </c>
      <c r="E153" s="3" t="str">
        <f>HYPERLINK("https://docs.legis.wisconsin.gov/2019/proposals/sb606","SB 606")</f>
        <v>SB 606</v>
      </c>
      <c r="F153" s="7"/>
      <c r="G153" s="5"/>
      <c r="H153" s="5" t="s">
        <v>243</v>
      </c>
      <c r="I153" s="8"/>
      <c r="J153" s="8"/>
      <c r="K153" s="5"/>
      <c r="L153" s="14"/>
      <c r="M153" s="5"/>
      <c r="N153" s="5"/>
      <c r="O153" s="5"/>
      <c r="P153" s="9"/>
      <c r="Q153" s="9"/>
      <c r="R153" s="9"/>
      <c r="S153" s="9"/>
      <c r="T153" s="9"/>
      <c r="U153" s="9"/>
      <c r="V153" s="9"/>
      <c r="W153" s="9"/>
      <c r="X153" s="9"/>
      <c r="Y153" s="9"/>
      <c r="Z153" s="9"/>
      <c r="AA153" s="9"/>
      <c r="AB153" s="9"/>
      <c r="AC153" s="9"/>
      <c r="AD153" s="9"/>
      <c r="AE153" s="9"/>
      <c r="AF153" s="9"/>
      <c r="AG153" s="9"/>
    </row>
    <row r="154" spans="1:33" ht="24" x14ac:dyDescent="0.2">
      <c r="A154" s="21" t="str">
        <f>HYPERLINK("https://docs.legis.wisconsin.gov/2019/proposals/ab675","AB 0675")</f>
        <v>AB 0675</v>
      </c>
      <c r="B154" s="4" t="s">
        <v>244</v>
      </c>
      <c r="C154" s="19" t="s">
        <v>245</v>
      </c>
      <c r="D154" s="6">
        <v>43812</v>
      </c>
      <c r="E154" s="3" t="str">
        <f>HYPERLINK("https://docs.legis.wisconsin.gov/2019/proposals/sb831","SB 0831")</f>
        <v>SB 0831</v>
      </c>
      <c r="F154" s="13" t="str">
        <f>HYPERLINK("https://docs.legis.wisconsin.gov/2019/related/fe/ab675","Y")</f>
        <v>Y</v>
      </c>
      <c r="G154" s="5"/>
      <c r="H154" s="5"/>
      <c r="I154" s="8"/>
      <c r="J154" s="8"/>
      <c r="K154" s="5"/>
      <c r="L154" s="14"/>
      <c r="M154" s="5"/>
      <c r="N154" s="5"/>
      <c r="O154" s="5"/>
      <c r="P154" s="9"/>
      <c r="Q154" s="9"/>
      <c r="R154" s="9"/>
      <c r="S154" s="9"/>
      <c r="T154" s="9"/>
      <c r="U154" s="9"/>
      <c r="V154" s="9"/>
      <c r="W154" s="9"/>
      <c r="X154" s="9"/>
      <c r="Y154" s="9"/>
      <c r="Z154" s="9"/>
      <c r="AA154" s="9"/>
      <c r="AB154" s="9"/>
      <c r="AC154" s="9"/>
      <c r="AD154" s="9"/>
      <c r="AE154" s="9"/>
      <c r="AF154" s="9"/>
      <c r="AG154" s="9"/>
    </row>
    <row r="155" spans="1:33" ht="24" x14ac:dyDescent="0.2">
      <c r="A155" s="86" t="s">
        <v>390</v>
      </c>
      <c r="B155" s="87" t="s">
        <v>392</v>
      </c>
      <c r="C155" s="19" t="s">
        <v>177</v>
      </c>
      <c r="D155" s="17">
        <v>43839</v>
      </c>
      <c r="E155" s="3" t="s">
        <v>391</v>
      </c>
      <c r="F155" s="13"/>
      <c r="G155" s="14"/>
      <c r="H155" s="14"/>
      <c r="I155" s="17"/>
      <c r="J155" s="17"/>
      <c r="K155" s="14"/>
      <c r="L155" s="14"/>
      <c r="M155" s="14"/>
      <c r="N155" s="14"/>
      <c r="O155" s="14"/>
      <c r="P155" s="9"/>
      <c r="Q155" s="9"/>
      <c r="R155" s="9"/>
      <c r="S155" s="9"/>
      <c r="T155" s="9"/>
      <c r="U155" s="9"/>
      <c r="V155" s="9"/>
      <c r="W155" s="9"/>
      <c r="X155" s="9"/>
      <c r="Y155" s="9"/>
      <c r="Z155" s="9"/>
      <c r="AA155" s="9"/>
      <c r="AB155" s="9"/>
      <c r="AC155" s="9"/>
      <c r="AD155" s="9"/>
      <c r="AE155" s="9"/>
      <c r="AF155" s="9"/>
      <c r="AG155" s="9"/>
    </row>
    <row r="156" spans="1:33" ht="24" x14ac:dyDescent="0.2">
      <c r="A156" s="3" t="str">
        <f>HYPERLINK("https://docs.legis.wisconsin.gov/2019/proposals/ab737","AB 0737")</f>
        <v>AB 0737</v>
      </c>
      <c r="B156" s="4" t="s">
        <v>246</v>
      </c>
      <c r="C156" s="19" t="s">
        <v>37</v>
      </c>
      <c r="D156" s="6">
        <v>43846</v>
      </c>
      <c r="E156" s="3" t="str">
        <f>HYPERLINK("https://docs.legis.wisconsin.gov/2019/proposals/sb688","SB 0688")</f>
        <v>SB 0688</v>
      </c>
      <c r="F156" s="19"/>
      <c r="G156" s="14"/>
      <c r="H156" s="5"/>
      <c r="I156" s="8"/>
      <c r="J156" s="8"/>
      <c r="K156" s="5"/>
      <c r="L156" s="14"/>
      <c r="M156" s="5"/>
      <c r="N156" s="5"/>
      <c r="O156" s="5"/>
      <c r="P156" s="9"/>
      <c r="Q156" s="9"/>
      <c r="R156" s="9"/>
      <c r="S156" s="9"/>
      <c r="T156" s="9"/>
      <c r="U156" s="9"/>
      <c r="V156" s="9"/>
      <c r="W156" s="9"/>
      <c r="X156" s="9"/>
      <c r="Y156" s="9"/>
      <c r="Z156" s="9"/>
      <c r="AA156" s="9"/>
      <c r="AB156" s="9"/>
      <c r="AC156" s="9"/>
      <c r="AD156" s="9"/>
      <c r="AE156" s="9"/>
      <c r="AF156" s="9"/>
      <c r="AG156" s="9"/>
    </row>
    <row r="157" spans="1:33" ht="24" x14ac:dyDescent="0.2">
      <c r="A157" s="3" t="str">
        <f>HYPERLINK("https://docs.legis.wisconsin.gov/2019/proposals/ab738","AB 0738")</f>
        <v>AB 0738</v>
      </c>
      <c r="B157" s="4" t="s">
        <v>247</v>
      </c>
      <c r="C157" s="19" t="s">
        <v>154</v>
      </c>
      <c r="D157" s="6">
        <v>43846</v>
      </c>
      <c r="E157" s="3" t="str">
        <f>HYPERLINK("https://docs.legis.wisconsin.gov/2019/proposals/reg/sen/bill/sb713","SB 0713")</f>
        <v>SB 0713</v>
      </c>
      <c r="F157" s="19"/>
      <c r="G157" s="14"/>
      <c r="H157" s="5"/>
      <c r="I157" s="8"/>
      <c r="J157" s="8"/>
      <c r="K157" s="5"/>
      <c r="L157" s="14"/>
      <c r="M157" s="5"/>
      <c r="N157" s="5"/>
      <c r="O157" s="5"/>
      <c r="P157" s="9"/>
      <c r="Q157" s="9"/>
      <c r="R157" s="9"/>
      <c r="S157" s="9"/>
      <c r="T157" s="9"/>
      <c r="U157" s="9"/>
      <c r="V157" s="9"/>
      <c r="W157" s="9"/>
      <c r="X157" s="9"/>
      <c r="Y157" s="9"/>
      <c r="Z157" s="9"/>
      <c r="AA157" s="9"/>
      <c r="AB157" s="9"/>
      <c r="AC157" s="9"/>
      <c r="AD157" s="9"/>
      <c r="AE157" s="9"/>
      <c r="AF157" s="9"/>
      <c r="AG157" s="9"/>
    </row>
    <row r="158" spans="1:33" ht="36" x14ac:dyDescent="0.2">
      <c r="A158" s="3" t="str">
        <f>HYPERLINK("https://docs.legis.wisconsin.gov/2019/proposals/reg/asm/bill/ab759","AB 0759")</f>
        <v>AB 0759</v>
      </c>
      <c r="B158" s="4" t="s">
        <v>248</v>
      </c>
      <c r="C158" s="19" t="s">
        <v>249</v>
      </c>
      <c r="D158" s="6">
        <v>43851</v>
      </c>
      <c r="E158" s="3" t="str">
        <f>HYPERLINK("https://docs.legis.wisconsin.gov/2019/proposals/sb693","SB 0693")</f>
        <v>SB 0693</v>
      </c>
      <c r="F158" s="13" t="str">
        <f>HYPERLINK("https://docs.legis.wisconsin.gov/2019/related/fe/ab759","Y (other agencies)")</f>
        <v>Y (other agencies)</v>
      </c>
      <c r="G158" s="14"/>
      <c r="H158" s="5" t="s">
        <v>243</v>
      </c>
      <c r="I158" s="17"/>
      <c r="J158" s="17"/>
      <c r="K158" s="14"/>
      <c r="L158" s="14"/>
      <c r="M158" s="5"/>
      <c r="N158" s="14"/>
      <c r="O158" s="14"/>
      <c r="P158" s="9"/>
      <c r="Q158" s="9"/>
      <c r="R158" s="9"/>
      <c r="S158" s="9"/>
      <c r="T158" s="9"/>
      <c r="U158" s="9"/>
      <c r="V158" s="9"/>
      <c r="W158" s="9"/>
      <c r="X158" s="9"/>
      <c r="Y158" s="9"/>
      <c r="Z158" s="9"/>
      <c r="AA158" s="9"/>
      <c r="AB158" s="9"/>
      <c r="AC158" s="9"/>
      <c r="AD158" s="9"/>
      <c r="AE158" s="9"/>
      <c r="AF158" s="9"/>
      <c r="AG158" s="9"/>
    </row>
    <row r="159" spans="1:33" ht="24" x14ac:dyDescent="0.2">
      <c r="A159" s="3" t="str">
        <f>HYPERLINK("https://docs.legis.wisconsin.gov/2019/proposals/reg/asm/bill/ab761","AB 0761")</f>
        <v>AB 0761</v>
      </c>
      <c r="B159" s="4" t="s">
        <v>250</v>
      </c>
      <c r="C159" s="19" t="s">
        <v>222</v>
      </c>
      <c r="D159" s="6">
        <v>43851</v>
      </c>
      <c r="E159" s="3" t="str">
        <f>HYPERLINK("https://docs.legis.wisconsin.gov/2019/proposals/sb692","SB 0692")</f>
        <v>SB 0692</v>
      </c>
      <c r="F159" s="13" t="str">
        <f>HYPERLINK("https://docs.legis.wisconsin.gov/2019/related/fe/ab761","Y")</f>
        <v>Y</v>
      </c>
      <c r="G159" s="14"/>
      <c r="H159" s="5" t="s">
        <v>251</v>
      </c>
      <c r="I159" s="8"/>
      <c r="J159" s="8"/>
      <c r="K159" s="5"/>
      <c r="L159" s="14"/>
      <c r="M159" s="5"/>
      <c r="N159" s="14"/>
      <c r="O159" s="14"/>
      <c r="P159" s="9"/>
      <c r="Q159" s="9"/>
      <c r="R159" s="9"/>
      <c r="S159" s="9"/>
      <c r="T159" s="9"/>
      <c r="U159" s="9"/>
      <c r="V159" s="9"/>
      <c r="W159" s="9"/>
      <c r="X159" s="9"/>
      <c r="Y159" s="9"/>
      <c r="Z159" s="9"/>
      <c r="AA159" s="9"/>
      <c r="AB159" s="9"/>
      <c r="AC159" s="9"/>
      <c r="AD159" s="9"/>
      <c r="AE159" s="9"/>
      <c r="AF159" s="9"/>
      <c r="AG159" s="9"/>
    </row>
    <row r="160" spans="1:33" ht="36" x14ac:dyDescent="0.2">
      <c r="A160" s="3" t="str">
        <f>HYPERLINK("https://docs.legis.wisconsin.gov/2019/proposals/reg/asm/bill/ab767","AB 0767")</f>
        <v>AB 0767</v>
      </c>
      <c r="B160" s="4" t="s">
        <v>252</v>
      </c>
      <c r="C160" s="19" t="s">
        <v>253</v>
      </c>
      <c r="D160" s="6">
        <v>43851</v>
      </c>
      <c r="E160" s="3" t="str">
        <f>HYPERLINK("https://docs.legis.wisconsin.gov/2019/proposals/sb653","SB 0653")</f>
        <v>SB 0653</v>
      </c>
      <c r="F160" s="13" t="str">
        <f>HYPERLINK("https://docs.legis.wisconsin.gov/2019/related/fe/ab767","Y")</f>
        <v>Y</v>
      </c>
      <c r="G160" s="14"/>
      <c r="H160" s="5"/>
      <c r="I160" s="17"/>
      <c r="J160" s="17"/>
      <c r="K160" s="14"/>
      <c r="L160" s="14"/>
      <c r="M160" s="5"/>
      <c r="N160" s="5"/>
      <c r="O160" s="5"/>
      <c r="P160" s="9"/>
      <c r="Q160" s="9"/>
      <c r="R160" s="9"/>
      <c r="S160" s="9"/>
      <c r="T160" s="9"/>
      <c r="U160" s="9"/>
      <c r="V160" s="9"/>
      <c r="W160" s="9"/>
      <c r="X160" s="9"/>
      <c r="Y160" s="9"/>
      <c r="Z160" s="9"/>
      <c r="AA160" s="9"/>
      <c r="AB160" s="9"/>
      <c r="AC160" s="9"/>
      <c r="AD160" s="9"/>
      <c r="AE160" s="9"/>
      <c r="AF160" s="9"/>
      <c r="AG160" s="9"/>
    </row>
    <row r="161" spans="1:33" ht="36" x14ac:dyDescent="0.2">
      <c r="A161" s="3" t="str">
        <f>HYPERLINK("https://docs.legis.wisconsin.gov/2019/proposals/ab768","AB 0768")</f>
        <v>AB 0768</v>
      </c>
      <c r="B161" s="4" t="s">
        <v>254</v>
      </c>
      <c r="C161" s="19" t="s">
        <v>216</v>
      </c>
      <c r="D161" s="6">
        <v>43851</v>
      </c>
      <c r="E161" s="3" t="str">
        <f>HYPERLINK("https://docs.legis.wisconsin.gov/2019/proposals/sb814","SB 0814")</f>
        <v>SB 0814</v>
      </c>
      <c r="F161" s="19"/>
      <c r="G161" s="14"/>
      <c r="H161" s="5"/>
      <c r="I161" s="8"/>
      <c r="J161" s="8"/>
      <c r="K161" s="5"/>
      <c r="L161" s="14"/>
      <c r="M161" s="14"/>
      <c r="N161" s="14"/>
      <c r="O161" s="14"/>
      <c r="P161" s="9"/>
      <c r="Q161" s="9"/>
      <c r="R161" s="9"/>
      <c r="S161" s="9"/>
      <c r="T161" s="9"/>
      <c r="U161" s="9"/>
      <c r="V161" s="9"/>
      <c r="W161" s="9"/>
      <c r="X161" s="9"/>
      <c r="Y161" s="9"/>
      <c r="Z161" s="9"/>
      <c r="AA161" s="9"/>
      <c r="AB161" s="9"/>
      <c r="AC161" s="9"/>
      <c r="AD161" s="9"/>
      <c r="AE161" s="9"/>
      <c r="AF161" s="9"/>
      <c r="AG161" s="9"/>
    </row>
    <row r="162" spans="1:33" ht="24" x14ac:dyDescent="0.2">
      <c r="A162" s="3" t="str">
        <f>HYPERLINK("https://docs.legis.wisconsin.gov/2019/proposals/reg/asm/bill/ab779","AB 0779")</f>
        <v>AB 0779</v>
      </c>
      <c r="B162" s="4" t="s">
        <v>255</v>
      </c>
      <c r="C162" s="19" t="s">
        <v>235</v>
      </c>
      <c r="D162" s="6">
        <v>43852</v>
      </c>
      <c r="E162" s="3" t="str">
        <f>HYPERLINK("https://docs.legis.wisconsin.gov/2019/proposals/sb705","SB 0705")</f>
        <v>SB 0705</v>
      </c>
      <c r="F162" s="13" t="str">
        <f>HYPERLINK("https://docs.legis.wisconsin.gov/2019/related/fe/ab779","Y")</f>
        <v>Y</v>
      </c>
      <c r="G162" s="14"/>
      <c r="H162" s="5" t="s">
        <v>243</v>
      </c>
      <c r="I162" s="8"/>
      <c r="J162" s="8"/>
      <c r="K162" s="5"/>
      <c r="L162" s="14" t="s">
        <v>256</v>
      </c>
      <c r="M162" s="5"/>
      <c r="N162" s="5"/>
      <c r="O162" s="5"/>
      <c r="P162" s="9"/>
      <c r="Q162" s="9"/>
      <c r="R162" s="9"/>
      <c r="S162" s="9"/>
      <c r="T162" s="9"/>
      <c r="U162" s="9"/>
      <c r="V162" s="9"/>
      <c r="W162" s="9"/>
      <c r="X162" s="9"/>
      <c r="Y162" s="9"/>
      <c r="Z162" s="9"/>
      <c r="AA162" s="9"/>
      <c r="AB162" s="9"/>
      <c r="AC162" s="9"/>
      <c r="AD162" s="9"/>
      <c r="AE162" s="9"/>
      <c r="AF162" s="9"/>
      <c r="AG162" s="9"/>
    </row>
    <row r="163" spans="1:33" ht="72" x14ac:dyDescent="0.2">
      <c r="A163" s="3" t="str">
        <f>HYPERLINK("https://docs.legis.wisconsin.gov/2019/proposals/reg/asm/bill/ab800","AB 0800")</f>
        <v>AB 0800</v>
      </c>
      <c r="B163" s="4" t="s">
        <v>257</v>
      </c>
      <c r="C163" s="19" t="s">
        <v>154</v>
      </c>
      <c r="D163" s="6">
        <v>43854</v>
      </c>
      <c r="E163" s="3" t="str">
        <f>HYPERLINK("https://docs.legis.wisconsin.gov/2019/proposals/sb722","SB 0722")</f>
        <v>SB 0722</v>
      </c>
      <c r="F163" s="19"/>
      <c r="G163" s="14"/>
      <c r="H163" s="5"/>
      <c r="I163" s="8"/>
      <c r="J163" s="8"/>
      <c r="K163" s="5"/>
      <c r="L163" s="14"/>
      <c r="M163" s="5"/>
      <c r="N163" s="5"/>
      <c r="O163" s="5"/>
      <c r="P163" s="79"/>
      <c r="Q163" s="79"/>
      <c r="R163" s="79"/>
      <c r="S163" s="79"/>
      <c r="T163" s="79"/>
      <c r="U163" s="79"/>
      <c r="V163" s="79"/>
      <c r="W163" s="79"/>
      <c r="X163" s="79"/>
      <c r="Y163" s="79"/>
      <c r="Z163" s="79"/>
      <c r="AA163" s="79"/>
      <c r="AB163" s="79"/>
      <c r="AC163" s="79"/>
      <c r="AD163" s="79"/>
      <c r="AE163" s="79"/>
      <c r="AF163" s="79"/>
      <c r="AG163" s="79"/>
    </row>
    <row r="164" spans="1:33" ht="24" x14ac:dyDescent="0.2">
      <c r="A164" s="3" t="str">
        <f>HYPERLINK("https://docs.legis.wisconsin.gov/2019/proposals/reg/asm/bill/ab801","AB 0801")</f>
        <v>AB 0801</v>
      </c>
      <c r="B164" s="4" t="s">
        <v>258</v>
      </c>
      <c r="C164" s="19" t="s">
        <v>126</v>
      </c>
      <c r="D164" s="6">
        <v>43854</v>
      </c>
      <c r="E164" s="3" t="str">
        <f>HYPERLINK("https://docs.legis.wisconsin.gov/2019/proposals/reg/sen/bill/sb712","SB 0712")</f>
        <v>SB 0712</v>
      </c>
      <c r="F164" s="19"/>
      <c r="G164" s="14"/>
      <c r="H164" s="5"/>
      <c r="I164" s="8"/>
      <c r="J164" s="8"/>
      <c r="K164" s="5"/>
      <c r="L164" s="14"/>
      <c r="M164" s="5"/>
      <c r="N164" s="5"/>
      <c r="O164" s="5"/>
      <c r="P164" s="9"/>
      <c r="Q164" s="9"/>
      <c r="R164" s="9"/>
      <c r="S164" s="9"/>
      <c r="T164" s="9"/>
      <c r="U164" s="9"/>
      <c r="V164" s="9"/>
      <c r="W164" s="9"/>
      <c r="X164" s="9"/>
      <c r="Y164" s="9"/>
      <c r="Z164" s="9"/>
      <c r="AA164" s="9"/>
      <c r="AB164" s="9"/>
      <c r="AC164" s="9"/>
      <c r="AD164" s="9"/>
      <c r="AE164" s="9"/>
      <c r="AF164" s="9"/>
      <c r="AG164" s="9"/>
    </row>
    <row r="165" spans="1:33" ht="24" x14ac:dyDescent="0.2">
      <c r="A165" s="3" t="str">
        <f>HYPERLINK("https://docs.legis.wisconsin.gov/2019/proposals/reg/asm/bill/ab810","AB 0810")</f>
        <v>AB 0810</v>
      </c>
      <c r="B165" s="4" t="s">
        <v>259</v>
      </c>
      <c r="C165" s="19" t="s">
        <v>260</v>
      </c>
      <c r="D165" s="6">
        <v>43857</v>
      </c>
      <c r="E165" s="14"/>
      <c r="F165" s="13" t="str">
        <f>HYPERLINK("https://docs.legis.wisconsin.gov/2019/related/fe/ab810","Y")</f>
        <v>Y</v>
      </c>
      <c r="G165" s="14"/>
      <c r="H165" s="5"/>
      <c r="I165" s="8"/>
      <c r="J165" s="8"/>
      <c r="K165" s="5"/>
      <c r="L165" s="14"/>
      <c r="M165" s="3" t="str">
        <f>HYPERLINK("https://docs.legis.wisconsin.gov/misc/lc/hearing_testimony_and_materials/2019/ab810","Information")</f>
        <v>Information</v>
      </c>
      <c r="N165" s="14"/>
      <c r="O165" s="5"/>
      <c r="P165" s="9"/>
      <c r="Q165" s="9"/>
      <c r="R165" s="9"/>
      <c r="S165" s="9"/>
      <c r="T165" s="9"/>
      <c r="U165" s="9"/>
      <c r="V165" s="9"/>
      <c r="W165" s="9"/>
      <c r="X165" s="9"/>
      <c r="Y165" s="9"/>
      <c r="Z165" s="9"/>
      <c r="AA165" s="9"/>
      <c r="AB165" s="9"/>
      <c r="AC165" s="9"/>
      <c r="AD165" s="9"/>
      <c r="AE165" s="9"/>
      <c r="AF165" s="9"/>
      <c r="AG165" s="9"/>
    </row>
    <row r="166" spans="1:33" ht="36" x14ac:dyDescent="0.2">
      <c r="A166" s="3" t="str">
        <f>HYPERLINK("https://docs.legis.wisconsin.gov/2019/proposals/reg/asm/bill/ab816","AB 0816")</f>
        <v>AB 0816</v>
      </c>
      <c r="B166" s="4" t="s">
        <v>261</v>
      </c>
      <c r="C166" s="19" t="s">
        <v>116</v>
      </c>
      <c r="D166" s="6">
        <v>43858</v>
      </c>
      <c r="E166" s="3" t="str">
        <f>HYPERLINK("https://docs.legis.wisconsin.gov/2019/proposals/reg/sen/bill/sb744","SB 0744")</f>
        <v>SB 0744</v>
      </c>
      <c r="F166" s="13" t="str">
        <f>HYPERLINK("https://docs.legis.wisconsin.gov/2019/related/fe/ab816","Y")</f>
        <v>Y</v>
      </c>
      <c r="G166" s="14"/>
      <c r="H166" s="5"/>
      <c r="I166" s="8"/>
      <c r="J166" s="8"/>
      <c r="K166" s="5"/>
      <c r="L166" s="14"/>
      <c r="M166" s="5" t="s">
        <v>60</v>
      </c>
      <c r="N166" s="5"/>
      <c r="O166" s="5"/>
      <c r="P166" s="9"/>
      <c r="Q166" s="9"/>
      <c r="R166" s="9"/>
      <c r="S166" s="9"/>
      <c r="T166" s="9"/>
      <c r="U166" s="9"/>
      <c r="V166" s="9"/>
      <c r="W166" s="9"/>
      <c r="X166" s="9"/>
      <c r="Y166" s="9"/>
      <c r="Z166" s="9"/>
      <c r="AA166" s="9"/>
      <c r="AB166" s="9"/>
      <c r="AC166" s="9"/>
      <c r="AD166" s="9"/>
      <c r="AE166" s="9"/>
      <c r="AF166" s="9"/>
      <c r="AG166" s="9"/>
    </row>
    <row r="167" spans="1:33" ht="24" x14ac:dyDescent="0.2">
      <c r="A167" s="3" t="str">
        <f>HYPERLINK("https://docs.legis.wisconsin.gov/2019/proposals/ab835","AB 0835")</f>
        <v>AB 0835</v>
      </c>
      <c r="B167" s="4" t="s">
        <v>262</v>
      </c>
      <c r="C167" s="19" t="s">
        <v>263</v>
      </c>
      <c r="D167" s="6">
        <v>43860</v>
      </c>
      <c r="E167" s="3" t="str">
        <f>HYPERLINK("https://docs.legis.wisconsin.gov/2019/proposals/sb742","SB 0742")</f>
        <v>SB 0742</v>
      </c>
      <c r="F167" s="19"/>
      <c r="G167" s="5"/>
      <c r="H167" s="5"/>
      <c r="I167" s="8"/>
      <c r="J167" s="8"/>
      <c r="K167" s="5"/>
      <c r="L167" s="14"/>
      <c r="M167" s="14"/>
      <c r="N167" s="14"/>
      <c r="O167" s="14"/>
      <c r="P167" s="9"/>
      <c r="Q167" s="9"/>
      <c r="R167" s="9"/>
      <c r="S167" s="9"/>
      <c r="T167" s="9"/>
      <c r="U167" s="9"/>
      <c r="V167" s="9"/>
      <c r="W167" s="9"/>
      <c r="X167" s="9"/>
      <c r="Y167" s="9"/>
      <c r="Z167" s="9"/>
      <c r="AA167" s="9"/>
      <c r="AB167" s="9"/>
      <c r="AC167" s="9"/>
      <c r="AD167" s="9"/>
      <c r="AE167" s="9"/>
      <c r="AF167" s="9"/>
      <c r="AG167" s="9"/>
    </row>
    <row r="168" spans="1:33" ht="12.75" x14ac:dyDescent="0.2">
      <c r="A168" s="3" t="str">
        <f>HYPERLINK("https://docs.legis.wisconsin.gov/2019/proposals/ab849","AB 0849")</f>
        <v>AB 0849</v>
      </c>
      <c r="B168" s="4" t="s">
        <v>264</v>
      </c>
      <c r="C168" s="19" t="s">
        <v>23</v>
      </c>
      <c r="D168" s="6">
        <v>43864</v>
      </c>
      <c r="E168" s="3" t="str">
        <f>HYPERLINK("https://docs.legis.wisconsin.gov/2019/proposals/sb789","SB 0789")</f>
        <v>SB 0789</v>
      </c>
      <c r="F168" s="13" t="str">
        <f>HYPERLINK("https://docs.legis.wisconsin.gov/2019/related/fe/ab849","Y")</f>
        <v>Y</v>
      </c>
      <c r="G168" s="5"/>
      <c r="H168" s="5"/>
      <c r="I168" s="8"/>
      <c r="J168" s="8"/>
      <c r="K168" s="5"/>
      <c r="L168" s="14"/>
      <c r="M168" s="3" t="str">
        <f>HYPERLINK("https://docs.legis.wisconsin.gov/misc/lc/hearing_testimony_and_materials/2019/ab849","Information")</f>
        <v>Information</v>
      </c>
      <c r="N168" s="14"/>
      <c r="O168" s="14"/>
      <c r="P168" s="9"/>
      <c r="Q168" s="9"/>
      <c r="R168" s="9"/>
      <c r="S168" s="9"/>
      <c r="T168" s="9"/>
      <c r="U168" s="9"/>
      <c r="V168" s="9"/>
      <c r="W168" s="9"/>
      <c r="X168" s="9"/>
      <c r="Y168" s="9"/>
      <c r="Z168" s="9"/>
      <c r="AA168" s="9"/>
      <c r="AB168" s="9"/>
      <c r="AC168" s="9"/>
      <c r="AD168" s="9"/>
      <c r="AE168" s="9"/>
      <c r="AF168" s="9"/>
      <c r="AG168" s="9"/>
    </row>
    <row r="169" spans="1:33" ht="12.75" x14ac:dyDescent="0.2">
      <c r="A169" s="3" t="str">
        <f>HYPERLINK("https://docs.legis.wisconsin.gov/2019/proposals/ab851","AB 0851")</f>
        <v>AB 0851</v>
      </c>
      <c r="B169" s="4" t="s">
        <v>265</v>
      </c>
      <c r="C169" s="19" t="s">
        <v>266</v>
      </c>
      <c r="D169" s="17">
        <v>43864</v>
      </c>
      <c r="E169" s="3" t="str">
        <f>HYPERLINK("https://docs.legis.wisconsin.gov/2019/proposals/sb796","AB 0796")</f>
        <v>AB 0796</v>
      </c>
      <c r="F169" s="7"/>
      <c r="G169" s="5"/>
      <c r="H169" s="5"/>
      <c r="I169" s="8"/>
      <c r="J169" s="8"/>
      <c r="K169" s="5"/>
      <c r="L169" s="14"/>
      <c r="M169" s="5"/>
      <c r="N169" s="14"/>
      <c r="O169" s="14"/>
      <c r="P169" s="22"/>
      <c r="Q169" s="22"/>
      <c r="R169" s="22"/>
      <c r="S169" s="22"/>
      <c r="T169" s="22"/>
      <c r="U169" s="22"/>
      <c r="V169" s="22"/>
      <c r="W169" s="22"/>
      <c r="X169" s="22"/>
      <c r="Y169" s="22"/>
      <c r="Z169" s="22"/>
      <c r="AA169" s="22"/>
      <c r="AB169" s="22"/>
      <c r="AC169" s="22"/>
      <c r="AD169" s="22"/>
      <c r="AE169" s="22"/>
      <c r="AF169" s="22"/>
      <c r="AG169" s="22"/>
    </row>
    <row r="170" spans="1:33" ht="12.75" x14ac:dyDescent="0.2">
      <c r="A170" s="3" t="str">
        <f>HYPERLINK("https://docs.legis.wisconsin.gov/2019/proposals/ab868","AB 0868")</f>
        <v>AB 0868</v>
      </c>
      <c r="B170" s="4" t="s">
        <v>267</v>
      </c>
      <c r="C170" s="19" t="s">
        <v>177</v>
      </c>
      <c r="D170" s="6">
        <v>43868</v>
      </c>
      <c r="E170" s="3" t="str">
        <f>HYPERLINK("https://docs.legis.wisconsin.gov/2019/proposals/sb790","SB 0790")</f>
        <v>SB 0790</v>
      </c>
      <c r="F170" s="7"/>
      <c r="G170" s="5"/>
      <c r="H170" s="5"/>
      <c r="I170" s="8"/>
      <c r="J170" s="8"/>
      <c r="K170" s="5"/>
      <c r="L170" s="14"/>
      <c r="M170" s="5"/>
      <c r="N170" s="14"/>
      <c r="O170" s="14"/>
      <c r="P170" s="9"/>
      <c r="Q170" s="9"/>
      <c r="R170" s="9"/>
      <c r="S170" s="9"/>
      <c r="T170" s="9"/>
      <c r="U170" s="9"/>
      <c r="V170" s="9"/>
      <c r="W170" s="9"/>
      <c r="X170" s="9"/>
      <c r="Y170" s="9"/>
      <c r="Z170" s="9"/>
      <c r="AA170" s="9"/>
      <c r="AB170" s="9"/>
      <c r="AC170" s="9"/>
      <c r="AD170" s="9"/>
      <c r="AE170" s="9"/>
      <c r="AF170" s="9"/>
      <c r="AG170" s="9"/>
    </row>
    <row r="171" spans="1:33" ht="36" x14ac:dyDescent="0.2">
      <c r="A171" s="13" t="str">
        <f>HYPERLINK("https://docs.legis.wisconsin.gov/2019/proposals/ab876","AB 0876")</f>
        <v>AB 0876</v>
      </c>
      <c r="B171" s="4" t="s">
        <v>268</v>
      </c>
      <c r="C171" s="19" t="s">
        <v>37</v>
      </c>
      <c r="D171" s="6">
        <v>43871</v>
      </c>
      <c r="E171" s="19"/>
      <c r="F171" s="7"/>
      <c r="G171" s="19"/>
      <c r="H171" s="19"/>
      <c r="I171" s="47"/>
      <c r="J171" s="47"/>
      <c r="K171" s="4"/>
      <c r="L171" s="70"/>
      <c r="M171" s="4"/>
      <c r="N171" s="4"/>
      <c r="O171" s="4"/>
      <c r="P171" s="23"/>
      <c r="Q171" s="23"/>
      <c r="R171" s="23"/>
      <c r="S171" s="23"/>
      <c r="T171" s="23"/>
      <c r="U171" s="23"/>
      <c r="V171" s="23"/>
      <c r="W171" s="23"/>
      <c r="X171" s="23"/>
      <c r="Y171" s="23"/>
      <c r="Z171" s="23"/>
      <c r="AA171" s="23"/>
      <c r="AB171" s="23"/>
      <c r="AC171" s="23"/>
      <c r="AD171" s="23"/>
      <c r="AE171" s="23"/>
      <c r="AF171" s="23"/>
      <c r="AG171" s="23"/>
    </row>
    <row r="172" spans="1:33" ht="48" x14ac:dyDescent="0.2">
      <c r="A172" s="13" t="str">
        <f>HYPERLINK("https://docs.legis.wisconsin.gov/2019/proposals/ab888","AB 0888")</f>
        <v>AB 0888</v>
      </c>
      <c r="B172" s="4" t="s">
        <v>269</v>
      </c>
      <c r="C172" s="19" t="s">
        <v>270</v>
      </c>
      <c r="D172" s="6">
        <v>43872</v>
      </c>
      <c r="E172" s="13" t="str">
        <f>HYPERLINK("https://docs.legis.wisconsin.gov/2019/proposals/sb750","SB 0750")</f>
        <v>SB 0750</v>
      </c>
      <c r="F172" s="7"/>
      <c r="G172" s="19"/>
      <c r="H172" s="19"/>
      <c r="I172" s="47"/>
      <c r="J172" s="47"/>
      <c r="K172" s="4"/>
      <c r="L172" s="70"/>
      <c r="M172" s="4"/>
      <c r="N172" s="4"/>
      <c r="O172" s="4"/>
      <c r="P172" s="23"/>
      <c r="Q172" s="23"/>
      <c r="R172" s="23"/>
      <c r="S172" s="23"/>
      <c r="T172" s="23"/>
      <c r="U172" s="23"/>
      <c r="V172" s="23"/>
      <c r="W172" s="23"/>
      <c r="X172" s="23"/>
      <c r="Y172" s="23"/>
      <c r="Z172" s="23"/>
      <c r="AA172" s="23"/>
      <c r="AB172" s="23"/>
      <c r="AC172" s="23"/>
      <c r="AD172" s="23"/>
      <c r="AE172" s="23"/>
      <c r="AF172" s="23"/>
      <c r="AG172" s="23"/>
    </row>
    <row r="173" spans="1:33" ht="24" x14ac:dyDescent="0.2">
      <c r="A173" s="13" t="str">
        <f>HYPERLINK("https://docs.legis.wisconsin.gov/2019/proposals/ab889","AB 0889")</f>
        <v>AB 0889</v>
      </c>
      <c r="B173" s="4" t="s">
        <v>271</v>
      </c>
      <c r="C173" s="19" t="s">
        <v>249</v>
      </c>
      <c r="D173" s="6">
        <v>43872</v>
      </c>
      <c r="E173" s="13" t="str">
        <f>HYPERLINK("https://docs.legis.wisconsin.gov/2019/proposals/sb757","SB 0757")</f>
        <v>SB 0757</v>
      </c>
      <c r="F173" s="19"/>
      <c r="G173" s="19"/>
      <c r="H173" s="19"/>
      <c r="I173" s="47"/>
      <c r="J173" s="47"/>
      <c r="K173" s="4"/>
      <c r="L173" s="70"/>
      <c r="M173" s="4"/>
      <c r="N173" s="4"/>
      <c r="O173" s="4"/>
      <c r="P173" s="23"/>
      <c r="Q173" s="23"/>
      <c r="R173" s="23"/>
      <c r="S173" s="23"/>
      <c r="T173" s="23"/>
      <c r="U173" s="23"/>
      <c r="V173" s="23"/>
      <c r="W173" s="23"/>
      <c r="X173" s="23"/>
      <c r="Y173" s="23"/>
      <c r="Z173" s="23"/>
      <c r="AA173" s="23"/>
      <c r="AB173" s="23"/>
      <c r="AC173" s="23"/>
      <c r="AD173" s="23"/>
      <c r="AE173" s="23"/>
      <c r="AF173" s="23"/>
      <c r="AG173" s="23"/>
    </row>
    <row r="174" spans="1:33" ht="24" x14ac:dyDescent="0.2">
      <c r="A174" s="13" t="str">
        <f>HYPERLINK("https://docs.legis.wisconsin.gov/2019/proposals/ab908","AB 0908")</f>
        <v>AB 0908</v>
      </c>
      <c r="B174" s="4" t="s">
        <v>272</v>
      </c>
      <c r="C174" s="19" t="s">
        <v>109</v>
      </c>
      <c r="D174" s="6">
        <v>43873</v>
      </c>
      <c r="E174" s="24" t="str">
        <f>HYPERLINK("https://docs.legis.wisconsin.gov/2019/proposals/sb823","SB 0823")</f>
        <v>SB 0823</v>
      </c>
      <c r="F174" s="80" t="s">
        <v>273</v>
      </c>
      <c r="G174" s="19"/>
      <c r="H174" s="19"/>
      <c r="I174" s="47"/>
      <c r="J174" s="47"/>
      <c r="K174" s="4"/>
      <c r="L174" s="70"/>
      <c r="M174" s="4"/>
      <c r="N174" s="4"/>
      <c r="O174" s="4"/>
      <c r="P174" s="23"/>
      <c r="Q174" s="23"/>
      <c r="R174" s="23"/>
      <c r="S174" s="23"/>
      <c r="T174" s="23"/>
      <c r="U174" s="23"/>
      <c r="V174" s="23"/>
      <c r="W174" s="23"/>
      <c r="X174" s="23"/>
      <c r="Y174" s="23"/>
      <c r="Z174" s="23"/>
      <c r="AA174" s="23"/>
      <c r="AB174" s="23"/>
      <c r="AC174" s="23"/>
      <c r="AD174" s="23"/>
      <c r="AE174" s="23"/>
      <c r="AF174" s="23"/>
      <c r="AG174" s="23"/>
    </row>
    <row r="175" spans="1:33" ht="60" x14ac:dyDescent="0.2">
      <c r="A175" s="13" t="str">
        <f>HYPERLINK("https://docs.legis.wisconsin.gov/2019/proposals/ab910","AB 0910")</f>
        <v>AB 0910</v>
      </c>
      <c r="B175" s="4" t="s">
        <v>274</v>
      </c>
      <c r="C175" s="19" t="s">
        <v>275</v>
      </c>
      <c r="D175" s="6">
        <v>43875</v>
      </c>
      <c r="E175" s="13" t="str">
        <f>HYPERLINK("https://docs.legis.wisconsin.gov/2019/proposals/sb821","SB 0821")</f>
        <v>SB 0821</v>
      </c>
      <c r="F175" s="7"/>
      <c r="G175" s="19"/>
      <c r="H175" s="19"/>
      <c r="I175" s="47"/>
      <c r="J175" s="47"/>
      <c r="K175" s="4"/>
      <c r="L175" s="70"/>
      <c r="M175" s="4"/>
      <c r="N175" s="4"/>
      <c r="O175" s="4"/>
      <c r="P175" s="23"/>
      <c r="Q175" s="23"/>
      <c r="R175" s="23"/>
      <c r="S175" s="23"/>
      <c r="T175" s="23"/>
      <c r="U175" s="23"/>
      <c r="V175" s="23"/>
      <c r="W175" s="23"/>
      <c r="X175" s="23"/>
      <c r="Y175" s="23"/>
      <c r="Z175" s="23"/>
      <c r="AA175" s="23"/>
      <c r="AB175" s="23"/>
      <c r="AC175" s="23"/>
      <c r="AD175" s="23"/>
      <c r="AE175" s="23"/>
      <c r="AF175" s="23"/>
      <c r="AG175" s="23"/>
    </row>
    <row r="176" spans="1:33" ht="12.75" x14ac:dyDescent="0.2">
      <c r="A176" s="13" t="str">
        <f>HYPERLINK("https://docs.legis.wisconsin.gov/2019/proposals/ab934","AB 0934")</f>
        <v>AB 0934</v>
      </c>
      <c r="B176" s="4" t="s">
        <v>276</v>
      </c>
      <c r="C176" s="19" t="s">
        <v>105</v>
      </c>
      <c r="D176" s="6">
        <v>43881</v>
      </c>
      <c r="E176" s="13" t="str">
        <f>HYPERLINK("https://docs.legis.wisconsin.gov/2019/proposals/sb797","SB 0797")</f>
        <v>SB 0797</v>
      </c>
      <c r="F176" s="19"/>
      <c r="G176" s="19"/>
      <c r="H176" s="19"/>
      <c r="I176" s="47"/>
      <c r="J176" s="47"/>
      <c r="K176" s="4"/>
      <c r="L176" s="70"/>
      <c r="M176" s="4"/>
      <c r="N176" s="4"/>
      <c r="O176" s="4"/>
      <c r="P176" s="23"/>
      <c r="Q176" s="23"/>
      <c r="R176" s="23"/>
      <c r="S176" s="23"/>
      <c r="T176" s="23"/>
      <c r="U176" s="23"/>
      <c r="V176" s="23"/>
      <c r="W176" s="23"/>
      <c r="X176" s="23"/>
      <c r="Y176" s="23"/>
      <c r="Z176" s="23"/>
      <c r="AA176" s="23"/>
      <c r="AB176" s="23"/>
      <c r="AC176" s="23"/>
      <c r="AD176" s="23"/>
      <c r="AE176" s="23"/>
      <c r="AF176" s="23"/>
      <c r="AG176" s="23"/>
    </row>
    <row r="177" spans="1:33" ht="72" x14ac:dyDescent="0.2">
      <c r="A177" s="13" t="str">
        <f>HYPERLINK("https://docs.legis.wisconsin.gov/2019/proposals/ab935","AB 0935")</f>
        <v>AB 0935</v>
      </c>
      <c r="B177" s="4" t="s">
        <v>277</v>
      </c>
      <c r="C177" s="19" t="s">
        <v>111</v>
      </c>
      <c r="D177" s="6">
        <v>43881</v>
      </c>
      <c r="E177" s="13" t="str">
        <f>HYPERLINK("https://docs.legis.wisconsin.gov/2019/proposals/sb816","SB 0816")</f>
        <v>SB 0816</v>
      </c>
      <c r="F177" s="19"/>
      <c r="G177" s="19"/>
      <c r="H177" s="19"/>
      <c r="I177" s="47"/>
      <c r="J177" s="47"/>
      <c r="K177" s="4"/>
      <c r="L177" s="70"/>
      <c r="M177" s="4"/>
      <c r="N177" s="4"/>
      <c r="O177" s="4"/>
      <c r="P177" s="23"/>
      <c r="Q177" s="23"/>
      <c r="R177" s="23"/>
      <c r="S177" s="23"/>
      <c r="T177" s="23"/>
      <c r="U177" s="23"/>
      <c r="V177" s="23"/>
      <c r="W177" s="23"/>
      <c r="X177" s="23"/>
      <c r="Y177" s="23"/>
      <c r="Z177" s="23"/>
      <c r="AA177" s="23"/>
      <c r="AB177" s="23"/>
      <c r="AC177" s="23"/>
      <c r="AD177" s="23"/>
      <c r="AE177" s="23"/>
      <c r="AF177" s="23"/>
      <c r="AG177" s="23"/>
    </row>
    <row r="178" spans="1:33" ht="36" x14ac:dyDescent="0.2">
      <c r="A178" s="13" t="str">
        <f>HYPERLINK("https://docs.legis.wisconsin.gov/2019/proposals/ab936","AB 0936")</f>
        <v>AB 0936</v>
      </c>
      <c r="B178" s="4" t="s">
        <v>278</v>
      </c>
      <c r="C178" s="19" t="s">
        <v>172</v>
      </c>
      <c r="D178" s="6">
        <v>43881</v>
      </c>
      <c r="E178" s="19"/>
      <c r="F178" s="80" t="s">
        <v>273</v>
      </c>
      <c r="G178" s="19"/>
      <c r="H178" s="19"/>
      <c r="I178" s="47"/>
      <c r="J178" s="47"/>
      <c r="K178" s="4"/>
      <c r="L178" s="70"/>
      <c r="M178" s="4"/>
      <c r="N178" s="4"/>
      <c r="O178" s="4"/>
      <c r="P178" s="23"/>
      <c r="Q178" s="23"/>
      <c r="R178" s="23"/>
      <c r="S178" s="23"/>
      <c r="T178" s="23"/>
      <c r="U178" s="23"/>
      <c r="V178" s="23"/>
      <c r="W178" s="23"/>
      <c r="X178" s="23"/>
      <c r="Y178" s="23"/>
      <c r="Z178" s="23"/>
      <c r="AA178" s="23"/>
      <c r="AB178" s="23"/>
      <c r="AC178" s="23"/>
      <c r="AD178" s="23"/>
      <c r="AE178" s="23"/>
      <c r="AF178" s="23"/>
      <c r="AG178" s="23"/>
    </row>
    <row r="179" spans="1:33" ht="24" x14ac:dyDescent="0.2">
      <c r="A179" s="13" t="str">
        <f>HYPERLINK("https://docs.legis.wisconsin.gov/2019/proposals/ab938","AB 0938")</f>
        <v>AB 0938</v>
      </c>
      <c r="B179" s="4" t="s">
        <v>279</v>
      </c>
      <c r="C179" s="19" t="s">
        <v>270</v>
      </c>
      <c r="D179" s="6">
        <v>43881</v>
      </c>
      <c r="E179" s="13" t="str">
        <f>HYPERLINK("https://docs.legis.wisconsin.gov/2019/proposals/sb826","SB 0826")</f>
        <v>SB 0826</v>
      </c>
      <c r="F179" s="7"/>
      <c r="G179" s="19"/>
      <c r="H179" s="19"/>
      <c r="I179" s="47"/>
      <c r="J179" s="47"/>
      <c r="K179" s="4"/>
      <c r="L179" s="70"/>
      <c r="M179" s="4"/>
      <c r="N179" s="4"/>
      <c r="O179" s="4"/>
      <c r="P179" s="23"/>
      <c r="Q179" s="23"/>
      <c r="R179" s="23"/>
      <c r="S179" s="23"/>
      <c r="T179" s="23"/>
      <c r="U179" s="23"/>
      <c r="V179" s="23"/>
      <c r="W179" s="23"/>
      <c r="X179" s="23"/>
      <c r="Y179" s="23"/>
      <c r="Z179" s="23"/>
      <c r="AA179" s="23"/>
      <c r="AB179" s="23"/>
      <c r="AC179" s="23"/>
      <c r="AD179" s="23"/>
      <c r="AE179" s="23"/>
      <c r="AF179" s="23"/>
      <c r="AG179" s="23"/>
    </row>
    <row r="180" spans="1:33" ht="24" x14ac:dyDescent="0.2">
      <c r="A180" s="13" t="str">
        <f>HYPERLINK("https://docs.legis.wisconsin.gov/2019/proposals/ab945","AB 0945")</f>
        <v>AB 0945</v>
      </c>
      <c r="B180" s="4" t="s">
        <v>280</v>
      </c>
      <c r="C180" s="19" t="s">
        <v>152</v>
      </c>
      <c r="D180" s="6">
        <v>43885</v>
      </c>
      <c r="E180" s="13" t="str">
        <f>HYPERLINK("https://docs.legis.wisconsin.gov/2019/proposals/sb854","SB0854")</f>
        <v>SB0854</v>
      </c>
      <c r="F180" s="19"/>
      <c r="G180" s="19"/>
      <c r="H180" s="19"/>
      <c r="I180" s="47"/>
      <c r="J180" s="47"/>
      <c r="K180" s="4"/>
      <c r="L180" s="70"/>
      <c r="M180" s="4"/>
      <c r="N180" s="4"/>
      <c r="O180" s="4"/>
      <c r="P180" s="23"/>
      <c r="Q180" s="23"/>
      <c r="R180" s="23"/>
      <c r="S180" s="23"/>
      <c r="T180" s="23"/>
      <c r="U180" s="23"/>
      <c r="V180" s="23"/>
      <c r="W180" s="23"/>
      <c r="X180" s="23"/>
      <c r="Y180" s="23"/>
      <c r="Z180" s="23"/>
      <c r="AA180" s="23"/>
      <c r="AB180" s="23"/>
      <c r="AC180" s="23"/>
      <c r="AD180" s="23"/>
      <c r="AE180" s="23"/>
      <c r="AF180" s="23"/>
      <c r="AG180" s="23"/>
    </row>
    <row r="181" spans="1:33" ht="12.75" x14ac:dyDescent="0.2">
      <c r="A181" s="13" t="str">
        <f>HYPERLINK("https://docs.legis.wisconsin.gov/2019/proposals/reg/asm/bill/ab946","AB 0946")</f>
        <v>AB 0946</v>
      </c>
      <c r="B181" s="4" t="s">
        <v>281</v>
      </c>
      <c r="C181" s="19" t="s">
        <v>163</v>
      </c>
      <c r="D181" s="6">
        <v>43885</v>
      </c>
      <c r="E181" s="13" t="str">
        <f>HYPERLINK("https://docs.legis.wisconsin.gov/2019/proposals/sb855","SB 0855")</f>
        <v>SB 0855</v>
      </c>
      <c r="F181" s="19"/>
      <c r="G181" s="19"/>
      <c r="H181" s="19"/>
      <c r="I181" s="47"/>
      <c r="J181" s="47"/>
      <c r="K181" s="4"/>
      <c r="L181" s="70"/>
      <c r="M181" s="4"/>
      <c r="N181" s="4"/>
      <c r="O181" s="4"/>
      <c r="P181" s="23"/>
      <c r="Q181" s="23"/>
      <c r="R181" s="23"/>
      <c r="S181" s="23"/>
      <c r="T181" s="23"/>
      <c r="U181" s="23"/>
      <c r="V181" s="23"/>
      <c r="W181" s="23"/>
      <c r="X181" s="23"/>
      <c r="Y181" s="23"/>
      <c r="Z181" s="23"/>
      <c r="AA181" s="23"/>
      <c r="AB181" s="23"/>
      <c r="AC181" s="23"/>
      <c r="AD181" s="23"/>
      <c r="AE181" s="23"/>
      <c r="AF181" s="23"/>
      <c r="AG181" s="23"/>
    </row>
    <row r="182" spans="1:33" ht="24" x14ac:dyDescent="0.2">
      <c r="A182" s="13" t="str">
        <f>HYPERLINK("https://docs.legis.wisconsin.gov/2019/proposals/reg/asm/bill/ab956","AB 0956")</f>
        <v>AB 0956</v>
      </c>
      <c r="B182" s="4" t="s">
        <v>282</v>
      </c>
      <c r="C182" s="19" t="s">
        <v>283</v>
      </c>
      <c r="D182" s="6">
        <v>43885</v>
      </c>
      <c r="E182" s="19"/>
      <c r="F182" s="19"/>
      <c r="G182" s="19"/>
      <c r="H182" s="19"/>
      <c r="I182" s="47"/>
      <c r="J182" s="47"/>
      <c r="K182" s="4"/>
      <c r="L182" s="70"/>
      <c r="M182" s="4"/>
      <c r="N182" s="4"/>
      <c r="O182" s="4"/>
      <c r="P182" s="23"/>
      <c r="Q182" s="23"/>
      <c r="R182" s="23"/>
      <c r="S182" s="23"/>
      <c r="T182" s="23"/>
      <c r="U182" s="23"/>
      <c r="V182" s="23"/>
      <c r="W182" s="23"/>
      <c r="X182" s="23"/>
      <c r="Y182" s="23"/>
      <c r="Z182" s="23"/>
      <c r="AA182" s="23"/>
      <c r="AB182" s="23"/>
      <c r="AC182" s="23"/>
      <c r="AD182" s="23"/>
      <c r="AE182" s="23"/>
      <c r="AF182" s="23"/>
      <c r="AG182" s="23"/>
    </row>
    <row r="183" spans="1:33" ht="48" x14ac:dyDescent="0.2">
      <c r="A183" s="13" t="str">
        <f>HYPERLINK("https://docs.legis.wisconsin.gov/2019/proposals/reg/asm/bill/ab958","AB 0958")</f>
        <v>AB 0958</v>
      </c>
      <c r="B183" s="4" t="s">
        <v>284</v>
      </c>
      <c r="C183" s="19" t="s">
        <v>172</v>
      </c>
      <c r="D183" s="6">
        <v>43885</v>
      </c>
      <c r="E183" s="13" t="str">
        <f>HYPERLINK("https://docs.legis.wisconsin.gov/2019/proposals/sb840","SB 0840")</f>
        <v>SB 0840</v>
      </c>
      <c r="F183" s="7"/>
      <c r="G183" s="19"/>
      <c r="H183" s="19"/>
      <c r="I183" s="47"/>
      <c r="J183" s="47"/>
      <c r="K183" s="4"/>
      <c r="L183" s="70"/>
      <c r="M183" s="4"/>
      <c r="N183" s="4"/>
      <c r="O183" s="4"/>
      <c r="P183" s="23"/>
      <c r="Q183" s="23"/>
      <c r="R183" s="23"/>
      <c r="S183" s="23"/>
      <c r="T183" s="23"/>
      <c r="U183" s="23"/>
      <c r="V183" s="23"/>
      <c r="W183" s="23"/>
      <c r="X183" s="23"/>
      <c r="Y183" s="23"/>
      <c r="Z183" s="23"/>
      <c r="AA183" s="23"/>
      <c r="AB183" s="23"/>
      <c r="AC183" s="23"/>
      <c r="AD183" s="23"/>
      <c r="AE183" s="23"/>
      <c r="AF183" s="23"/>
      <c r="AG183" s="23"/>
    </row>
    <row r="184" spans="1:33" ht="12.75" x14ac:dyDescent="0.2">
      <c r="A184" s="81" t="s">
        <v>389</v>
      </c>
      <c r="B184" s="26" t="s">
        <v>285</v>
      </c>
      <c r="C184" s="73" t="s">
        <v>286</v>
      </c>
      <c r="D184" s="28">
        <v>43889</v>
      </c>
      <c r="E184" s="36"/>
      <c r="F184" s="80" t="s">
        <v>273</v>
      </c>
      <c r="G184" s="35"/>
      <c r="H184" s="36"/>
      <c r="I184" s="28"/>
      <c r="J184" s="28"/>
      <c r="K184" s="29"/>
      <c r="L184" s="71"/>
      <c r="M184" s="29"/>
      <c r="N184" s="29"/>
      <c r="O184" s="29"/>
      <c r="P184" s="30"/>
      <c r="Q184" s="30"/>
      <c r="R184" s="30"/>
      <c r="S184" s="30"/>
      <c r="T184" s="30"/>
      <c r="U184" s="30"/>
      <c r="V184" s="30"/>
      <c r="W184" s="30"/>
      <c r="X184" s="30"/>
      <c r="Y184" s="30"/>
      <c r="Z184" s="30"/>
      <c r="AA184" s="30"/>
      <c r="AB184" s="30"/>
      <c r="AC184" s="30"/>
      <c r="AD184" s="30"/>
      <c r="AE184" s="30"/>
      <c r="AF184" s="30"/>
      <c r="AG184" s="30"/>
    </row>
    <row r="185" spans="1:33" ht="24" x14ac:dyDescent="0.2">
      <c r="A185" s="13" t="str">
        <f>HYPERLINK("https://docs.legis.wisconsin.gov/2019/related/proposals/ab971","AB 0971")</f>
        <v>AB 0971</v>
      </c>
      <c r="B185" s="4" t="s">
        <v>287</v>
      </c>
      <c r="C185" s="19" t="s">
        <v>111</v>
      </c>
      <c r="D185" s="6">
        <v>43889</v>
      </c>
      <c r="E185" s="19"/>
      <c r="F185" s="7"/>
      <c r="G185" s="19"/>
      <c r="H185" s="19"/>
      <c r="I185" s="47"/>
      <c r="J185" s="47"/>
      <c r="K185" s="4"/>
      <c r="L185" s="70"/>
      <c r="M185" s="4"/>
      <c r="N185" s="4"/>
      <c r="O185" s="4"/>
      <c r="P185" s="4"/>
      <c r="Q185" s="4"/>
      <c r="R185" s="4"/>
      <c r="S185" s="4"/>
      <c r="T185" s="4"/>
      <c r="U185" s="4"/>
      <c r="V185" s="4"/>
      <c r="W185" s="4"/>
      <c r="X185" s="4"/>
      <c r="Y185" s="4"/>
      <c r="Z185" s="4"/>
      <c r="AA185" s="4"/>
      <c r="AB185" s="4"/>
      <c r="AC185" s="4"/>
      <c r="AD185" s="4"/>
      <c r="AE185" s="4"/>
      <c r="AF185" s="4"/>
      <c r="AG185" s="4"/>
    </row>
    <row r="186" spans="1:33" ht="36" x14ac:dyDescent="0.2">
      <c r="A186" s="13" t="str">
        <f>HYPERLINK("https://docs.legis.wisconsin.gov/2019/proposals/ab973","AB 0973")</f>
        <v>AB 0973</v>
      </c>
      <c r="B186" s="4" t="s">
        <v>288</v>
      </c>
      <c r="C186" s="19" t="s">
        <v>82</v>
      </c>
      <c r="D186" s="6">
        <v>43892</v>
      </c>
      <c r="E186" s="13" t="str">
        <f>HYPERLINK("https://docs.legis.wisconsin.gov/2019/proposals/sb866","SB 0866")</f>
        <v>SB 0866</v>
      </c>
      <c r="F186" s="80" t="s">
        <v>273</v>
      </c>
      <c r="G186" s="19"/>
      <c r="H186" s="19"/>
      <c r="I186" s="47"/>
      <c r="J186" s="47"/>
      <c r="K186" s="4"/>
      <c r="L186" s="70"/>
      <c r="M186" s="4"/>
      <c r="N186" s="4"/>
      <c r="O186" s="4"/>
      <c r="P186" s="31"/>
      <c r="Q186" s="23"/>
      <c r="R186" s="23"/>
      <c r="S186" s="23"/>
      <c r="T186" s="23"/>
      <c r="U186" s="23"/>
      <c r="V186" s="23"/>
      <c r="W186" s="23"/>
      <c r="X186" s="23"/>
      <c r="Y186" s="23"/>
      <c r="Z186" s="23"/>
      <c r="AA186" s="23"/>
      <c r="AB186" s="23"/>
      <c r="AC186" s="23"/>
      <c r="AD186" s="23"/>
      <c r="AE186" s="23"/>
      <c r="AF186" s="23"/>
      <c r="AG186" s="23"/>
    </row>
    <row r="187" spans="1:33" ht="36" x14ac:dyDescent="0.2">
      <c r="A187" s="13" t="str">
        <f>HYPERLINK("https://docs.legis.wisconsin.gov/2019/proposals/ab1000","AB 1000")</f>
        <v>AB 1000</v>
      </c>
      <c r="B187" s="4" t="s">
        <v>289</v>
      </c>
      <c r="C187" s="19" t="s">
        <v>23</v>
      </c>
      <c r="D187" s="6">
        <v>43901</v>
      </c>
      <c r="E187" s="13" t="str">
        <f>HYPERLINK("https://docs.legis.wisconsin.gov/2019/proposals/sb882","SB 0882")</f>
        <v>SB 0882</v>
      </c>
      <c r="F187" s="7"/>
      <c r="G187" s="19"/>
      <c r="H187" s="19"/>
      <c r="I187" s="47"/>
      <c r="J187" s="47"/>
      <c r="K187" s="4"/>
      <c r="L187" s="70"/>
      <c r="M187" s="4"/>
      <c r="N187" s="4"/>
      <c r="O187" s="4"/>
      <c r="P187" s="23"/>
      <c r="Q187" s="23"/>
      <c r="R187" s="23"/>
      <c r="S187" s="23"/>
      <c r="T187" s="23"/>
      <c r="U187" s="23"/>
      <c r="V187" s="23"/>
      <c r="W187" s="23"/>
      <c r="X187" s="23"/>
      <c r="Y187" s="23"/>
      <c r="Z187" s="23"/>
      <c r="AA187" s="23"/>
      <c r="AB187" s="23"/>
      <c r="AC187" s="23"/>
      <c r="AD187" s="23"/>
      <c r="AE187" s="23"/>
      <c r="AF187" s="23"/>
      <c r="AG187" s="23"/>
    </row>
    <row r="188" spans="1:33" ht="24" x14ac:dyDescent="0.2">
      <c r="A188" s="13" t="str">
        <f>HYPERLINK("https://docs.legis.wisconsin.gov/2019/proposals/reg/asm/bill/ab1001","AB 1001")</f>
        <v>AB 1001</v>
      </c>
      <c r="B188" s="4" t="s">
        <v>290</v>
      </c>
      <c r="C188" s="19" t="s">
        <v>291</v>
      </c>
      <c r="D188" s="6">
        <v>43901</v>
      </c>
      <c r="E188" s="19"/>
      <c r="F188" s="80" t="s">
        <v>273</v>
      </c>
      <c r="G188" s="19"/>
      <c r="H188" s="19"/>
      <c r="I188" s="47"/>
      <c r="J188" s="47"/>
      <c r="K188" s="4"/>
      <c r="L188" s="70"/>
      <c r="M188" s="4"/>
      <c r="N188" s="4"/>
      <c r="O188" s="4"/>
      <c r="P188" s="23"/>
      <c r="Q188" s="23"/>
      <c r="R188" s="23"/>
      <c r="S188" s="23"/>
      <c r="T188" s="23"/>
      <c r="U188" s="23"/>
      <c r="V188" s="23"/>
      <c r="W188" s="23"/>
      <c r="X188" s="23"/>
      <c r="Y188" s="23"/>
      <c r="Z188" s="23"/>
      <c r="AA188" s="23"/>
      <c r="AB188" s="23"/>
      <c r="AC188" s="23"/>
      <c r="AD188" s="23"/>
      <c r="AE188" s="23"/>
      <c r="AF188" s="23"/>
      <c r="AG188" s="23"/>
    </row>
    <row r="189" spans="1:33" ht="48" x14ac:dyDescent="0.2">
      <c r="A189" s="13" t="str">
        <f>HYPERLINK("https://docs.legis.wisconsin.gov/2019/proposals/ab1003","AB 1003")</f>
        <v>AB 1003</v>
      </c>
      <c r="B189" s="4" t="s">
        <v>292</v>
      </c>
      <c r="C189" s="19" t="s">
        <v>129</v>
      </c>
      <c r="D189" s="6">
        <v>43901</v>
      </c>
      <c r="E189" s="13" t="str">
        <f>HYPERLINK("https://docs.legis.wisconsin.gov/2019/proposals/sb885","SB 0885")</f>
        <v>SB 0885</v>
      </c>
      <c r="F189" s="7"/>
      <c r="G189" s="19"/>
      <c r="H189" s="19"/>
      <c r="I189" s="47"/>
      <c r="J189" s="47"/>
      <c r="K189" s="4"/>
      <c r="L189" s="70"/>
      <c r="M189" s="4"/>
      <c r="N189" s="4"/>
      <c r="O189" s="4"/>
      <c r="P189" s="23"/>
      <c r="Q189" s="23"/>
      <c r="R189" s="23"/>
      <c r="S189" s="23"/>
      <c r="T189" s="23"/>
      <c r="U189" s="23"/>
      <c r="V189" s="23"/>
      <c r="W189" s="23"/>
      <c r="X189" s="23"/>
      <c r="Y189" s="23"/>
      <c r="Z189" s="23"/>
      <c r="AA189" s="23"/>
      <c r="AB189" s="23"/>
      <c r="AC189" s="23"/>
      <c r="AD189" s="23"/>
      <c r="AE189" s="23"/>
      <c r="AF189" s="23"/>
      <c r="AG189" s="23"/>
    </row>
    <row r="190" spans="1:33" ht="108" x14ac:dyDescent="0.2">
      <c r="A190" s="13" t="str">
        <f>HYPERLINK("https://docs.legis.wisconsin.gov/2019/proposals/ab1037","AB 1037")</f>
        <v>AB 1037</v>
      </c>
      <c r="B190" s="4" t="s">
        <v>293</v>
      </c>
      <c r="C190" s="19" t="s">
        <v>146</v>
      </c>
      <c r="D190" s="6">
        <v>43916</v>
      </c>
      <c r="E190" s="13" t="str">
        <f>HYPERLINK("https://docs.legis.wisconsin.gov/2019/proposals/sb923","SB 0923")</f>
        <v>SB 0923</v>
      </c>
      <c r="F190" s="7"/>
      <c r="G190" s="19"/>
      <c r="H190" s="19"/>
      <c r="I190" s="47"/>
      <c r="J190" s="47"/>
      <c r="K190" s="4"/>
      <c r="L190" s="70"/>
      <c r="M190" s="4"/>
      <c r="N190" s="4"/>
      <c r="O190" s="4"/>
      <c r="P190" s="23"/>
      <c r="Q190" s="23"/>
      <c r="R190" s="23"/>
      <c r="S190" s="23"/>
      <c r="T190" s="23"/>
      <c r="U190" s="23"/>
      <c r="V190" s="23"/>
      <c r="W190" s="23"/>
      <c r="X190" s="23"/>
      <c r="Y190" s="23"/>
      <c r="Z190" s="23"/>
      <c r="AA190" s="23"/>
      <c r="AB190" s="23"/>
      <c r="AC190" s="23"/>
      <c r="AD190" s="23"/>
      <c r="AE190" s="23"/>
      <c r="AF190" s="23"/>
      <c r="AG190" s="23"/>
    </row>
    <row r="191" spans="1:33" ht="12.75" x14ac:dyDescent="0.2">
      <c r="A191" s="13" t="str">
        <f>HYPERLINK("https://docs.legis.wisconsin.gov/2019/proposals/ab1038","AB 1038")</f>
        <v>AB 1038</v>
      </c>
      <c r="B191" s="4" t="s">
        <v>294</v>
      </c>
      <c r="C191" s="19" t="s">
        <v>275</v>
      </c>
      <c r="D191" s="6">
        <v>43934</v>
      </c>
      <c r="E191" s="13" t="str">
        <f>HYPERLINK("https://docs.legis.wisconsin.gov/2019/proposals/sb932","SB 0932")</f>
        <v>SB 0932</v>
      </c>
      <c r="F191" s="7"/>
      <c r="G191" s="19"/>
      <c r="H191" s="19"/>
      <c r="I191" s="47"/>
      <c r="J191" s="47"/>
      <c r="K191" s="4"/>
      <c r="L191" s="70"/>
      <c r="M191" s="4"/>
      <c r="N191" s="32">
        <v>185</v>
      </c>
      <c r="O191" s="13" t="str">
        <f>HYPERLINK("https://docs.legis.wisconsin.gov/2019/related/lcactmemo/act185.pdf","Y")</f>
        <v>Y</v>
      </c>
      <c r="P191" s="23"/>
      <c r="Q191" s="23"/>
      <c r="R191" s="23"/>
      <c r="S191" s="23"/>
      <c r="T191" s="23"/>
      <c r="U191" s="23"/>
      <c r="V191" s="23"/>
      <c r="W191" s="23"/>
      <c r="X191" s="23"/>
      <c r="Y191" s="23"/>
      <c r="Z191" s="23"/>
      <c r="AA191" s="23"/>
      <c r="AB191" s="23"/>
      <c r="AC191" s="23"/>
      <c r="AD191" s="23"/>
      <c r="AE191" s="23"/>
      <c r="AF191" s="23"/>
      <c r="AG191" s="23"/>
    </row>
    <row r="192" spans="1:33" ht="36" x14ac:dyDescent="0.2">
      <c r="A192" s="3" t="str">
        <f>HYPERLINK("https://docs.legis.wisconsin.gov/2019/proposals/ab702","AB 702")</f>
        <v>AB 702</v>
      </c>
      <c r="B192" s="4" t="s">
        <v>295</v>
      </c>
      <c r="C192" s="19" t="s">
        <v>263</v>
      </c>
      <c r="D192" s="6">
        <v>44188</v>
      </c>
      <c r="E192" s="3" t="str">
        <f>HYPERLINK("https://docs.legis.wisconsin.gov/2019/proposals/sb639","SB 639")</f>
        <v>SB 639</v>
      </c>
      <c r="F192" s="19"/>
      <c r="G192" s="14"/>
      <c r="H192" s="14"/>
      <c r="I192" s="17"/>
      <c r="J192" s="17"/>
      <c r="K192" s="14"/>
      <c r="L192" s="14"/>
      <c r="M192" s="14"/>
      <c r="N192" s="14"/>
      <c r="O192" s="14"/>
      <c r="P192" s="9"/>
      <c r="Q192" s="9"/>
      <c r="R192" s="9"/>
      <c r="S192" s="9"/>
      <c r="T192" s="9"/>
      <c r="U192" s="9"/>
      <c r="V192" s="9"/>
      <c r="W192" s="9"/>
      <c r="X192" s="9"/>
      <c r="Y192" s="9"/>
      <c r="Z192" s="9"/>
      <c r="AA192" s="9"/>
      <c r="AB192" s="9"/>
      <c r="AC192" s="9"/>
      <c r="AD192" s="9"/>
      <c r="AE192" s="9"/>
      <c r="AF192" s="9"/>
      <c r="AG192" s="9"/>
    </row>
    <row r="193" spans="1:33" ht="12.75" x14ac:dyDescent="0.2">
      <c r="A193" s="13" t="str">
        <f>HYPERLINK("https://docs.legis.wisconsin.gov/2019/proposals/ajr123","AJR 0123")</f>
        <v>AJR 0123</v>
      </c>
      <c r="B193" s="4" t="s">
        <v>296</v>
      </c>
      <c r="C193" s="19" t="s">
        <v>23</v>
      </c>
      <c r="D193" s="6">
        <v>43858</v>
      </c>
      <c r="E193" s="13" t="str">
        <f>HYPERLINK("https://docs.legis.wisconsin.gov/2019/proposals/sjr89","SJR 0089")</f>
        <v>SJR 0089</v>
      </c>
      <c r="F193" s="19"/>
      <c r="G193" s="19"/>
      <c r="H193" s="19"/>
      <c r="I193" s="47"/>
      <c r="J193" s="47"/>
      <c r="K193" s="4"/>
      <c r="L193" s="70"/>
      <c r="M193" s="4"/>
      <c r="N193" s="4"/>
      <c r="O193" s="4"/>
      <c r="P193" s="23"/>
      <c r="Q193" s="23"/>
      <c r="R193" s="23"/>
      <c r="S193" s="23"/>
      <c r="T193" s="23"/>
      <c r="U193" s="23"/>
      <c r="V193" s="23"/>
      <c r="W193" s="23"/>
      <c r="X193" s="23"/>
      <c r="Y193" s="23"/>
      <c r="Z193" s="23"/>
      <c r="AA193" s="23"/>
      <c r="AB193" s="23"/>
      <c r="AC193" s="23"/>
      <c r="AD193" s="23"/>
      <c r="AE193" s="23"/>
      <c r="AF193" s="23"/>
      <c r="AG193" s="23"/>
    </row>
    <row r="194" spans="1:33" ht="48" x14ac:dyDescent="0.2">
      <c r="A194" s="13" t="str">
        <f>HYPERLINK("https://docs.legis.wisconsin.gov/2019/proposals/ajr147","AJR 0147")</f>
        <v>AJR 0147</v>
      </c>
      <c r="B194" s="4" t="s">
        <v>297</v>
      </c>
      <c r="C194" s="19" t="s">
        <v>27</v>
      </c>
      <c r="D194" s="6">
        <v>43881</v>
      </c>
      <c r="E194" s="4"/>
      <c r="F194" s="7"/>
      <c r="G194" s="19"/>
      <c r="H194" s="19"/>
      <c r="I194" s="47"/>
      <c r="J194" s="47"/>
      <c r="K194" s="4"/>
      <c r="L194" s="70"/>
      <c r="M194" s="4"/>
      <c r="N194" s="4"/>
      <c r="O194" s="4"/>
      <c r="P194" s="23"/>
      <c r="Q194" s="23"/>
      <c r="R194" s="23"/>
      <c r="S194" s="23"/>
      <c r="T194" s="23"/>
      <c r="U194" s="23"/>
      <c r="V194" s="23"/>
      <c r="W194" s="23"/>
      <c r="X194" s="23"/>
      <c r="Y194" s="23"/>
      <c r="Z194" s="23"/>
      <c r="AA194" s="23"/>
      <c r="AB194" s="23"/>
      <c r="AC194" s="23"/>
      <c r="AD194" s="23"/>
      <c r="AE194" s="23"/>
      <c r="AF194" s="23"/>
      <c r="AG194" s="23"/>
    </row>
    <row r="195" spans="1:33" ht="24" x14ac:dyDescent="0.2">
      <c r="A195" s="13" t="str">
        <f>HYPERLINK("https://docs.legis.wisconsin.gov/2019/proposals/ar19","AR 0019")</f>
        <v>AR 0019</v>
      </c>
      <c r="B195" s="4" t="s">
        <v>298</v>
      </c>
      <c r="C195" s="19" t="s">
        <v>46</v>
      </c>
      <c r="D195" s="6">
        <v>43864</v>
      </c>
      <c r="E195" s="4"/>
      <c r="F195" s="7"/>
      <c r="G195" s="19"/>
      <c r="H195" s="19"/>
      <c r="I195" s="47"/>
      <c r="J195" s="47"/>
      <c r="K195" s="4"/>
      <c r="L195" s="70"/>
      <c r="M195" s="4"/>
      <c r="N195" s="4"/>
      <c r="O195" s="4"/>
      <c r="P195" s="23"/>
      <c r="Q195" s="23"/>
      <c r="R195" s="23"/>
      <c r="S195" s="23"/>
      <c r="T195" s="23"/>
      <c r="U195" s="23"/>
      <c r="V195" s="23"/>
      <c r="W195" s="23"/>
      <c r="X195" s="23"/>
      <c r="Y195" s="23"/>
      <c r="Z195" s="23"/>
      <c r="AA195" s="23"/>
      <c r="AB195" s="23"/>
      <c r="AC195" s="23"/>
      <c r="AD195" s="23"/>
      <c r="AE195" s="23"/>
      <c r="AF195" s="23"/>
      <c r="AG195" s="23"/>
    </row>
    <row r="196" spans="1:33" ht="36" x14ac:dyDescent="0.2">
      <c r="A196" s="24" t="str">
        <f>HYPERLINK("https://docs.legis.wisconsin.gov/2019/proposals/jr0/ab4","JR0 AB 0004")</f>
        <v>JR0 AB 0004</v>
      </c>
      <c r="B196" s="33" t="s">
        <v>299</v>
      </c>
      <c r="C196" s="73" t="s">
        <v>300</v>
      </c>
      <c r="D196" s="28">
        <v>43868</v>
      </c>
      <c r="E196" s="24" t="str">
        <f>HYPERLINK("https://docs.legis.wisconsin.gov/2019/proposals/jr0/sb4","JR0 SB 0004")</f>
        <v>JR0 SB 0004</v>
      </c>
      <c r="F196" s="34"/>
      <c r="G196" s="35"/>
      <c r="H196" s="36"/>
      <c r="I196" s="28"/>
      <c r="J196" s="28"/>
      <c r="K196" s="29"/>
      <c r="L196" s="71"/>
      <c r="M196" s="29"/>
      <c r="N196" s="29"/>
      <c r="O196" s="29"/>
      <c r="P196" s="37"/>
      <c r="Q196" s="37"/>
      <c r="R196" s="37"/>
      <c r="S196" s="37"/>
      <c r="T196" s="37"/>
      <c r="U196" s="37"/>
      <c r="V196" s="37"/>
      <c r="W196" s="37"/>
      <c r="X196" s="37"/>
      <c r="Y196" s="37"/>
      <c r="Z196" s="37"/>
      <c r="AA196" s="37"/>
      <c r="AB196" s="37"/>
      <c r="AC196" s="37"/>
      <c r="AD196" s="37"/>
      <c r="AE196" s="37"/>
      <c r="AF196" s="37"/>
      <c r="AG196" s="37"/>
    </row>
    <row r="197" spans="1:33" ht="24" x14ac:dyDescent="0.2">
      <c r="A197" s="24" t="str">
        <f>HYPERLINK("https://docs.legis.wisconsin.gov/2019/proposals/jr0/ab5","JR0 AB 0005")</f>
        <v>JR0 AB 0005</v>
      </c>
      <c r="B197" s="38" t="s">
        <v>301</v>
      </c>
      <c r="C197" s="73" t="s">
        <v>300</v>
      </c>
      <c r="D197" s="28">
        <v>43868</v>
      </c>
      <c r="E197" s="24" t="str">
        <f>HYPERLINK("https://docs.legis.wisconsin.gov/2019/proposals/jr0/sb5","JR0 SB 0005")</f>
        <v>JR0 SB 0005</v>
      </c>
      <c r="F197" s="34"/>
      <c r="G197" s="35"/>
      <c r="H197" s="36"/>
      <c r="I197" s="28"/>
      <c r="J197" s="28"/>
      <c r="K197" s="29"/>
      <c r="L197" s="71"/>
      <c r="M197" s="29"/>
      <c r="N197" s="29"/>
      <c r="O197" s="29"/>
      <c r="P197" s="37"/>
      <c r="Q197" s="37"/>
      <c r="R197" s="37"/>
      <c r="S197" s="37"/>
      <c r="T197" s="37"/>
      <c r="U197" s="37"/>
      <c r="V197" s="37"/>
      <c r="W197" s="37"/>
      <c r="X197" s="37"/>
      <c r="Y197" s="37"/>
      <c r="Z197" s="37"/>
      <c r="AA197" s="37"/>
      <c r="AB197" s="37"/>
      <c r="AC197" s="37"/>
      <c r="AD197" s="37"/>
      <c r="AE197" s="37"/>
      <c r="AF197" s="37"/>
      <c r="AG197" s="37"/>
    </row>
    <row r="198" spans="1:33" ht="38.25" x14ac:dyDescent="0.2">
      <c r="A198" s="39" t="str">
        <f>HYPERLINK("https://docs.legis.wisconsin.gov/2019/proposals/jr0/sb4","JR0 SB 0004")</f>
        <v>JR0 SB 0004</v>
      </c>
      <c r="B198" s="40" t="s">
        <v>299</v>
      </c>
      <c r="C198" s="74" t="s">
        <v>302</v>
      </c>
      <c r="D198" s="44">
        <v>43866</v>
      </c>
      <c r="E198" s="39" t="str">
        <f>HYPERLINK("https://docs.legis.wisconsin.gov/2019/proposals/jr0/ab4","JR0 AB 0004")</f>
        <v>JR0 AB 0004</v>
      </c>
      <c r="F198" s="41"/>
      <c r="G198" s="42"/>
      <c r="H198" s="43"/>
      <c r="I198" s="44"/>
      <c r="J198" s="44"/>
      <c r="K198" s="45"/>
      <c r="L198" s="72"/>
      <c r="M198" s="45"/>
      <c r="N198" s="45"/>
      <c r="O198" s="45"/>
      <c r="P198" s="46"/>
      <c r="Q198" s="46"/>
      <c r="R198" s="46"/>
      <c r="S198" s="46"/>
      <c r="T198" s="46"/>
      <c r="U198" s="46"/>
      <c r="V198" s="46"/>
      <c r="W198" s="46"/>
      <c r="X198" s="46"/>
      <c r="Y198" s="46"/>
      <c r="Z198" s="46"/>
      <c r="AA198" s="46"/>
      <c r="AB198" s="46"/>
      <c r="AC198" s="46"/>
      <c r="AD198" s="46"/>
      <c r="AE198" s="46"/>
      <c r="AF198" s="46"/>
      <c r="AG198" s="46"/>
    </row>
    <row r="199" spans="1:33" ht="36" x14ac:dyDescent="0.2">
      <c r="A199" s="13" t="str">
        <f>HYPERLINK("https://docs.legis.wisconsin.gov/2019/proposals/jr0/sb5","JR0 SB 0005")</f>
        <v>JR0 SB 0005</v>
      </c>
      <c r="B199" s="4" t="s">
        <v>301</v>
      </c>
      <c r="C199" s="19" t="s">
        <v>302</v>
      </c>
      <c r="D199" s="47">
        <v>43866</v>
      </c>
      <c r="E199" s="13" t="str">
        <f>HYPERLINK("https://docs.legis.wisconsin.gov/2019/proposals/jr0/ab5","JR0 AB 0005")</f>
        <v>JR0 AB 0005</v>
      </c>
      <c r="F199" s="7"/>
      <c r="G199" s="19"/>
      <c r="H199" s="19"/>
      <c r="I199" s="47"/>
      <c r="J199" s="47"/>
      <c r="K199" s="4"/>
      <c r="L199" s="70"/>
      <c r="M199" s="4"/>
      <c r="N199" s="4"/>
      <c r="O199" s="4"/>
      <c r="P199" s="23"/>
      <c r="Q199" s="23"/>
      <c r="R199" s="23"/>
      <c r="S199" s="23"/>
      <c r="T199" s="23"/>
      <c r="U199" s="23"/>
      <c r="V199" s="23"/>
      <c r="W199" s="23"/>
      <c r="X199" s="23"/>
      <c r="Y199" s="23"/>
      <c r="Z199" s="23"/>
      <c r="AA199" s="23"/>
      <c r="AB199" s="23"/>
      <c r="AC199" s="23"/>
      <c r="AD199" s="23"/>
      <c r="AE199" s="23"/>
      <c r="AF199" s="23"/>
      <c r="AG199" s="23"/>
    </row>
    <row r="200" spans="1:33" ht="12.75" x14ac:dyDescent="0.2">
      <c r="A200" s="3" t="str">
        <f>HYPERLINK("https://docs.legis.wisconsin.gov/2019/proposals/reg/sen/bill/sb2","SB 0002")</f>
        <v>SB 0002</v>
      </c>
      <c r="B200" s="4" t="s">
        <v>15</v>
      </c>
      <c r="C200" s="19" t="s">
        <v>303</v>
      </c>
      <c r="D200" s="6">
        <v>43488</v>
      </c>
      <c r="E200" s="3" t="str">
        <f>HYPERLINK("https://docs.legis.wisconsin.gov/2019/proposals/ab1","AB 0001")</f>
        <v>AB 0001</v>
      </c>
      <c r="F200" s="7"/>
      <c r="G200" s="14"/>
      <c r="H200" s="14"/>
      <c r="I200" s="17"/>
      <c r="J200" s="17"/>
      <c r="K200" s="14"/>
      <c r="L200" s="14"/>
      <c r="M200" s="14"/>
      <c r="N200" s="3" t="str">
        <f>HYPERLINK("https://docs.legis.wisconsin.gov/2019/related/acts/1","1")</f>
        <v>1</v>
      </c>
      <c r="O200" s="3" t="str">
        <f>HYPERLINK("https://docs.legis.wisconsin.gov/2019/related/lcactmemo/act001.pdf","Y")</f>
        <v>Y</v>
      </c>
      <c r="P200" s="9"/>
      <c r="Q200" s="9"/>
      <c r="R200" s="9"/>
      <c r="S200" s="9"/>
      <c r="T200" s="9"/>
      <c r="U200" s="9"/>
      <c r="V200" s="9"/>
      <c r="W200" s="9"/>
      <c r="X200" s="9"/>
      <c r="Y200" s="9"/>
      <c r="Z200" s="9"/>
      <c r="AA200" s="9"/>
      <c r="AB200" s="9"/>
      <c r="AC200" s="9"/>
      <c r="AD200" s="9"/>
      <c r="AE200" s="9"/>
      <c r="AF200" s="9"/>
      <c r="AG200" s="9"/>
    </row>
    <row r="201" spans="1:33" ht="24" x14ac:dyDescent="0.2">
      <c r="A201" s="3" t="str">
        <f>HYPERLINK("https://docs.legis.wisconsin.gov/2019/proposals/reg/sen/bill/sb14","SB 0014")</f>
        <v>SB 0014</v>
      </c>
      <c r="B201" s="4" t="s">
        <v>304</v>
      </c>
      <c r="C201" s="19" t="s">
        <v>305</v>
      </c>
      <c r="D201" s="6">
        <v>43494</v>
      </c>
      <c r="E201" s="3" t="str">
        <f>HYPERLINK("https://docs.legis.wisconsin.gov/2019/proposals/ab14","AB 0014")</f>
        <v>AB 0014</v>
      </c>
      <c r="F201" s="7"/>
      <c r="G201" s="14"/>
      <c r="H201" s="14"/>
      <c r="I201" s="17"/>
      <c r="J201" s="17"/>
      <c r="K201" s="14"/>
      <c r="L201" s="14"/>
      <c r="M201" s="14"/>
      <c r="N201" s="14"/>
      <c r="O201" s="14"/>
      <c r="P201" s="9"/>
      <c r="Q201" s="9"/>
      <c r="R201" s="9"/>
      <c r="S201" s="9"/>
      <c r="T201" s="9"/>
      <c r="U201" s="9"/>
      <c r="V201" s="9"/>
      <c r="W201" s="9"/>
      <c r="X201" s="9"/>
      <c r="Y201" s="9"/>
      <c r="Z201" s="9"/>
      <c r="AA201" s="9"/>
      <c r="AB201" s="9"/>
      <c r="AC201" s="9"/>
      <c r="AD201" s="9"/>
      <c r="AE201" s="9"/>
      <c r="AF201" s="9"/>
      <c r="AG201" s="9"/>
    </row>
    <row r="202" spans="1:33" ht="12.75" x14ac:dyDescent="0.2">
      <c r="A202" s="3" t="str">
        <f>HYPERLINK("https://docs.legis.wisconsin.gov/2019/proposals/reg/sen/bill/sb15","SB 0015")</f>
        <v>SB 0015</v>
      </c>
      <c r="B202" s="4" t="s">
        <v>17</v>
      </c>
      <c r="C202" s="19" t="s">
        <v>305</v>
      </c>
      <c r="D202" s="6">
        <v>43494</v>
      </c>
      <c r="E202" s="3" t="str">
        <f>HYPERLINK("https://docs.legis.wisconsin.gov/2019/proposals/ab12","AB 0012")</f>
        <v>AB 0012</v>
      </c>
      <c r="F202" s="7"/>
      <c r="G202" s="14"/>
      <c r="H202" s="14"/>
      <c r="I202" s="17"/>
      <c r="J202" s="17"/>
      <c r="K202" s="14"/>
      <c r="L202" s="14"/>
      <c r="M202" s="14"/>
      <c r="N202" s="14"/>
      <c r="O202" s="14"/>
      <c r="P202" s="9"/>
      <c r="Q202" s="9"/>
      <c r="R202" s="9"/>
      <c r="S202" s="9"/>
      <c r="T202" s="9"/>
      <c r="U202" s="9"/>
      <c r="V202" s="9"/>
      <c r="W202" s="9"/>
      <c r="X202" s="9"/>
      <c r="Y202" s="9"/>
      <c r="Z202" s="9"/>
      <c r="AA202" s="9"/>
      <c r="AB202" s="9"/>
      <c r="AC202" s="9"/>
      <c r="AD202" s="9"/>
      <c r="AE202" s="9"/>
      <c r="AF202" s="9"/>
      <c r="AG202" s="9"/>
    </row>
    <row r="203" spans="1:33" ht="24" x14ac:dyDescent="0.2">
      <c r="A203" s="3" t="str">
        <f>HYPERLINK("https://docs.legis.wisconsin.gov/2019/proposals/reg/sen/bill/sb16","SB 0016")</f>
        <v>SB 0016</v>
      </c>
      <c r="B203" s="4" t="s">
        <v>24</v>
      </c>
      <c r="C203" s="19" t="s">
        <v>305</v>
      </c>
      <c r="D203" s="17">
        <v>43494</v>
      </c>
      <c r="E203" s="3" t="str">
        <f>HYPERLINK("https://docs.legis.wisconsin.gov/2019/proposals/ab23","AB 0023")</f>
        <v>AB 0023</v>
      </c>
      <c r="F203" s="13" t="str">
        <f>HYPERLINK("https://docs.legis.wisconsin.gov/2019/related/fe/sb16","Y")</f>
        <v>Y</v>
      </c>
      <c r="G203" s="14"/>
      <c r="H203" s="14"/>
      <c r="I203" s="17"/>
      <c r="J203" s="17"/>
      <c r="K203" s="14"/>
      <c r="L203" s="14"/>
      <c r="M203" s="14"/>
      <c r="N203" s="14"/>
      <c r="O203" s="14"/>
      <c r="P203" s="9"/>
      <c r="Q203" s="9"/>
      <c r="R203" s="9"/>
      <c r="S203" s="9"/>
      <c r="T203" s="9"/>
      <c r="U203" s="9"/>
      <c r="V203" s="9"/>
      <c r="W203" s="9"/>
      <c r="X203" s="9"/>
      <c r="Y203" s="9"/>
      <c r="Z203" s="9"/>
      <c r="AA203" s="9"/>
      <c r="AB203" s="9"/>
      <c r="AC203" s="9"/>
      <c r="AD203" s="9"/>
      <c r="AE203" s="9"/>
      <c r="AF203" s="9"/>
      <c r="AG203" s="9"/>
    </row>
    <row r="204" spans="1:33" ht="36" x14ac:dyDescent="0.2">
      <c r="A204" s="3" t="str">
        <f>HYPERLINK("https://docs.legis.wisconsin.gov/2019/proposals/reg/sen/bill/sb17","SB 0017")</f>
        <v>SB 0017</v>
      </c>
      <c r="B204" s="4" t="s">
        <v>306</v>
      </c>
      <c r="C204" s="19" t="s">
        <v>305</v>
      </c>
      <c r="D204" s="6">
        <v>43494</v>
      </c>
      <c r="E204" s="3" t="str">
        <f>HYPERLINK("https://docs.legis.wisconsin.gov/2019/proposals/ab13","AB 0013")</f>
        <v>AB 0013</v>
      </c>
      <c r="F204" s="7"/>
      <c r="G204" s="14"/>
      <c r="H204" s="14"/>
      <c r="I204" s="17"/>
      <c r="J204" s="17"/>
      <c r="K204" s="14"/>
      <c r="L204" s="14"/>
      <c r="M204" s="14"/>
      <c r="N204" s="14"/>
      <c r="O204" s="14"/>
      <c r="P204" s="9"/>
      <c r="Q204" s="9"/>
      <c r="R204" s="9"/>
      <c r="S204" s="9"/>
      <c r="T204" s="9"/>
      <c r="U204" s="9"/>
      <c r="V204" s="9"/>
      <c r="W204" s="9"/>
      <c r="X204" s="9"/>
      <c r="Y204" s="9"/>
      <c r="Z204" s="9"/>
      <c r="AA204" s="9"/>
      <c r="AB204" s="9"/>
      <c r="AC204" s="9"/>
      <c r="AD204" s="9"/>
      <c r="AE204" s="9"/>
      <c r="AF204" s="9"/>
      <c r="AG204" s="9"/>
    </row>
    <row r="205" spans="1:33" ht="24" x14ac:dyDescent="0.2">
      <c r="A205" s="3" t="str">
        <f>HYPERLINK("https://docs.legis.wisconsin.gov/2019/proposals/reg/sen/bill/sb19","SB 0019")</f>
        <v>SB 0019</v>
      </c>
      <c r="B205" s="4" t="s">
        <v>20</v>
      </c>
      <c r="C205" s="19" t="s">
        <v>307</v>
      </c>
      <c r="D205" s="6">
        <v>43504</v>
      </c>
      <c r="E205" s="3" t="str">
        <f>HYPERLINK("https://docs.legis.wisconsin.gov/2019/proposals/ab20","AB 0020")</f>
        <v>AB 0020</v>
      </c>
      <c r="F205" s="19"/>
      <c r="G205" s="14"/>
      <c r="H205" s="14"/>
      <c r="I205" s="17"/>
      <c r="J205" s="17"/>
      <c r="K205" s="14"/>
      <c r="L205" s="14"/>
      <c r="M205" s="14"/>
      <c r="N205" s="14"/>
      <c r="O205" s="14"/>
      <c r="P205" s="9"/>
      <c r="Q205" s="9"/>
      <c r="R205" s="9"/>
      <c r="S205" s="9"/>
      <c r="T205" s="9"/>
      <c r="U205" s="9"/>
      <c r="V205" s="9"/>
      <c r="W205" s="9"/>
      <c r="X205" s="9"/>
      <c r="Y205" s="9"/>
      <c r="Z205" s="9"/>
      <c r="AA205" s="9"/>
      <c r="AB205" s="9"/>
      <c r="AC205" s="9"/>
      <c r="AD205" s="9"/>
      <c r="AE205" s="9"/>
      <c r="AF205" s="9"/>
      <c r="AG205" s="9"/>
    </row>
    <row r="206" spans="1:33" ht="36" x14ac:dyDescent="0.2">
      <c r="A206" s="3" t="str">
        <f>HYPERLINK("https://docs.legis.wisconsin.gov/2019/proposals/reg/sen/bill/sb24","SB 0023")</f>
        <v>SB 0023</v>
      </c>
      <c r="B206" s="4" t="s">
        <v>308</v>
      </c>
      <c r="C206" s="19" t="s">
        <v>309</v>
      </c>
      <c r="D206" s="6">
        <v>43504</v>
      </c>
      <c r="E206" s="14"/>
      <c r="F206" s="7"/>
      <c r="G206" s="14"/>
      <c r="H206" s="14"/>
      <c r="I206" s="17"/>
      <c r="J206" s="17"/>
      <c r="K206" s="14"/>
      <c r="L206" s="14"/>
      <c r="M206" s="14"/>
      <c r="N206" s="14"/>
      <c r="O206" s="14"/>
      <c r="P206" s="9"/>
      <c r="Q206" s="9"/>
      <c r="R206" s="9"/>
      <c r="S206" s="9"/>
      <c r="T206" s="9"/>
      <c r="U206" s="9"/>
      <c r="V206" s="9"/>
      <c r="W206" s="9"/>
      <c r="X206" s="9"/>
      <c r="Y206" s="9"/>
      <c r="Z206" s="9"/>
      <c r="AA206" s="9"/>
      <c r="AB206" s="9"/>
      <c r="AC206" s="9"/>
      <c r="AD206" s="9"/>
      <c r="AE206" s="9"/>
      <c r="AF206" s="9"/>
      <c r="AG206" s="9"/>
    </row>
    <row r="207" spans="1:33" ht="12.75" x14ac:dyDescent="0.2">
      <c r="A207" s="3" t="str">
        <f>HYPERLINK("https://docs.legis.wisconsin.gov/2019/proposals/reg/sen/bill/sb42","SB 0042")</f>
        <v>SB 0042</v>
      </c>
      <c r="B207" s="4" t="s">
        <v>310</v>
      </c>
      <c r="C207" s="19" t="s">
        <v>305</v>
      </c>
      <c r="D207" s="6">
        <v>43521</v>
      </c>
      <c r="E207" s="3" t="str">
        <f>HYPERLINK("https://docs.legis.wisconsin.gov/2019/proposals/ab38","AB 0038")</f>
        <v>AB 0038</v>
      </c>
      <c r="F207" s="19"/>
      <c r="G207" s="14"/>
      <c r="H207" s="14"/>
      <c r="I207" s="17"/>
      <c r="J207" s="17"/>
      <c r="K207" s="14"/>
      <c r="L207" s="14"/>
      <c r="M207" s="14"/>
      <c r="N207" s="14"/>
      <c r="O207" s="14"/>
      <c r="P207" s="9"/>
      <c r="Q207" s="9"/>
      <c r="R207" s="9"/>
      <c r="S207" s="9"/>
      <c r="T207" s="9"/>
      <c r="U207" s="9"/>
      <c r="V207" s="9"/>
      <c r="W207" s="9"/>
      <c r="X207" s="9"/>
      <c r="Y207" s="9"/>
      <c r="Z207" s="9"/>
      <c r="AA207" s="9"/>
      <c r="AB207" s="9"/>
      <c r="AC207" s="9"/>
      <c r="AD207" s="9"/>
      <c r="AE207" s="9"/>
      <c r="AF207" s="9"/>
      <c r="AG207" s="9"/>
    </row>
    <row r="208" spans="1:33" ht="24" x14ac:dyDescent="0.2">
      <c r="A208" s="3" t="str">
        <f>HYPERLINK("https://docs.legis.wisconsin.gov/2019/proposals/reg/sen/bill/sb44","SB 0044")</f>
        <v>SB 0044</v>
      </c>
      <c r="B208" s="4" t="s">
        <v>26</v>
      </c>
      <c r="C208" s="19" t="s">
        <v>303</v>
      </c>
      <c r="D208" s="6">
        <v>43521</v>
      </c>
      <c r="E208" s="3" t="str">
        <f>HYPERLINK("https://docs.legis.wisconsin.gov/2019/proposals/ab36","AB 0036")</f>
        <v>AB 0036</v>
      </c>
      <c r="F208" s="7"/>
      <c r="G208" s="14"/>
      <c r="H208" s="14"/>
      <c r="I208" s="17"/>
      <c r="J208" s="17"/>
      <c r="K208" s="14"/>
      <c r="L208" s="14"/>
      <c r="M208" s="14"/>
      <c r="N208" s="14"/>
      <c r="O208" s="14"/>
      <c r="P208" s="9"/>
      <c r="Q208" s="9"/>
      <c r="R208" s="9"/>
      <c r="S208" s="9"/>
      <c r="T208" s="9"/>
      <c r="U208" s="9"/>
      <c r="V208" s="9"/>
      <c r="W208" s="9"/>
      <c r="X208" s="9"/>
      <c r="Y208" s="9"/>
      <c r="Z208" s="9"/>
      <c r="AA208" s="9"/>
      <c r="AB208" s="9"/>
      <c r="AC208" s="9"/>
      <c r="AD208" s="9"/>
      <c r="AE208" s="9"/>
      <c r="AF208" s="9"/>
      <c r="AG208" s="9"/>
    </row>
    <row r="209" spans="1:33" ht="24" x14ac:dyDescent="0.2">
      <c r="A209" s="3" t="str">
        <f>HYPERLINK("https://docs.legis.wisconsin.gov/2019/proposals/reg/sen/bill/sb53","SB 0053")</f>
        <v>SB 0053</v>
      </c>
      <c r="B209" s="4" t="s">
        <v>29</v>
      </c>
      <c r="C209" s="19" t="s">
        <v>311</v>
      </c>
      <c r="D209" s="6">
        <v>43521</v>
      </c>
      <c r="E209" s="3" t="str">
        <f>HYPERLINK("https://docs.legis.wisconsin.gov/2019/proposals/ab44","AB 0044")</f>
        <v>AB 0044</v>
      </c>
      <c r="F209" s="13" t="str">
        <f>HYPERLINK("https://docs.legis.wisconsin.gov/2019/related/fe/sb53","Y")</f>
        <v>Y</v>
      </c>
      <c r="G209" s="14"/>
      <c r="H209" s="14"/>
      <c r="I209" s="17"/>
      <c r="J209" s="17"/>
      <c r="K209" s="14"/>
      <c r="L209" s="14"/>
      <c r="M209" s="14"/>
      <c r="N209" s="14"/>
      <c r="O209" s="14"/>
      <c r="P209" s="9"/>
      <c r="Q209" s="9"/>
      <c r="R209" s="9"/>
      <c r="S209" s="9"/>
      <c r="T209" s="9"/>
      <c r="U209" s="9"/>
      <c r="V209" s="9"/>
      <c r="W209" s="9"/>
      <c r="X209" s="9"/>
      <c r="Y209" s="9"/>
      <c r="Z209" s="9"/>
      <c r="AA209" s="9"/>
      <c r="AB209" s="9"/>
      <c r="AC209" s="9"/>
      <c r="AD209" s="9"/>
      <c r="AE209" s="9"/>
      <c r="AF209" s="9"/>
      <c r="AG209" s="9"/>
    </row>
    <row r="210" spans="1:33" ht="12.75" x14ac:dyDescent="0.2">
      <c r="A210" s="3" t="str">
        <f>HYPERLINK("https://docs.legis.wisconsin.gov/2019/proposals/reg/sen/bill/sb55","SB 0055")</f>
        <v>SB 0055</v>
      </c>
      <c r="B210" s="4" t="s">
        <v>36</v>
      </c>
      <c r="C210" s="19" t="s">
        <v>312</v>
      </c>
      <c r="D210" s="6">
        <v>43521</v>
      </c>
      <c r="E210" s="3" t="str">
        <f>HYPERLINK("https://docs.legis.wisconsin.gov/2019/proposals/ab51","AB 0051")</f>
        <v>AB 0051</v>
      </c>
      <c r="F210" s="7"/>
      <c r="G210" s="14"/>
      <c r="H210" s="14"/>
      <c r="I210" s="17"/>
      <c r="J210" s="17"/>
      <c r="K210" s="14"/>
      <c r="L210" s="14"/>
      <c r="M210" s="14"/>
      <c r="N210" s="14"/>
      <c r="O210" s="14"/>
      <c r="P210" s="9"/>
      <c r="Q210" s="9"/>
      <c r="R210" s="9"/>
      <c r="S210" s="9"/>
      <c r="T210" s="9"/>
      <c r="U210" s="9"/>
      <c r="V210" s="9"/>
      <c r="W210" s="9"/>
      <c r="X210" s="9"/>
      <c r="Y210" s="9"/>
      <c r="Z210" s="9"/>
      <c r="AA210" s="9"/>
      <c r="AB210" s="9"/>
      <c r="AC210" s="9"/>
      <c r="AD210" s="9"/>
      <c r="AE210" s="9"/>
      <c r="AF210" s="9"/>
      <c r="AG210" s="9"/>
    </row>
    <row r="211" spans="1:33" ht="24" x14ac:dyDescent="0.2">
      <c r="A211" s="3" t="str">
        <f>HYPERLINK("https://docs.legis.wisconsin.gov/2019/proposals/reg/sen/bill/sb56","SB 0056")</f>
        <v>SB 0056</v>
      </c>
      <c r="B211" s="4" t="s">
        <v>41</v>
      </c>
      <c r="C211" s="19" t="s">
        <v>313</v>
      </c>
      <c r="D211" s="6">
        <v>43521</v>
      </c>
      <c r="E211" s="3" t="str">
        <f>HYPERLINK("https://docs.legis.wisconsin.gov/2019/proposals/ab54","AB 0054")</f>
        <v>AB 0054</v>
      </c>
      <c r="F211" s="7"/>
      <c r="G211" s="5"/>
      <c r="H211" s="5"/>
      <c r="I211" s="8"/>
      <c r="J211" s="8"/>
      <c r="K211" s="5"/>
      <c r="L211" s="14"/>
      <c r="M211" s="5"/>
      <c r="N211" s="5"/>
      <c r="O211" s="5"/>
      <c r="P211" s="9"/>
      <c r="Q211" s="9"/>
      <c r="R211" s="9"/>
      <c r="S211" s="9"/>
      <c r="T211" s="9"/>
      <c r="U211" s="9"/>
      <c r="V211" s="9"/>
      <c r="W211" s="9"/>
      <c r="X211" s="9"/>
      <c r="Y211" s="9"/>
      <c r="Z211" s="9"/>
      <c r="AA211" s="9"/>
      <c r="AB211" s="9"/>
      <c r="AC211" s="9"/>
      <c r="AD211" s="9"/>
      <c r="AE211" s="9"/>
      <c r="AF211" s="9"/>
      <c r="AG211" s="9"/>
    </row>
    <row r="212" spans="1:33" ht="12.75" x14ac:dyDescent="0.2">
      <c r="A212" s="3" t="str">
        <f>HYPERLINK("https://docs.legis.wisconsin.gov/2019/proposals/reg/sen/bill/sb57","SB 0057")</f>
        <v>SB 0057</v>
      </c>
      <c r="B212" s="4" t="s">
        <v>39</v>
      </c>
      <c r="C212" s="19" t="s">
        <v>313</v>
      </c>
      <c r="D212" s="6">
        <v>43521</v>
      </c>
      <c r="E212" s="3" t="str">
        <f>HYPERLINK("https://docs.legis.wisconsin.gov/2019/proposals/ab53","AB 0053")</f>
        <v>AB 0053</v>
      </c>
      <c r="F212" s="7"/>
      <c r="G212" s="14"/>
      <c r="H212" s="14"/>
      <c r="I212" s="17"/>
      <c r="J212" s="17"/>
      <c r="K212" s="14"/>
      <c r="L212" s="14"/>
      <c r="M212" s="14"/>
      <c r="N212" s="14"/>
      <c r="O212" s="14"/>
      <c r="P212" s="9"/>
      <c r="Q212" s="9"/>
      <c r="R212" s="9"/>
      <c r="S212" s="9"/>
      <c r="T212" s="9"/>
      <c r="U212" s="9"/>
      <c r="V212" s="9"/>
      <c r="W212" s="9"/>
      <c r="X212" s="9"/>
      <c r="Y212" s="9"/>
      <c r="Z212" s="9"/>
      <c r="AA212" s="9"/>
      <c r="AB212" s="9"/>
      <c r="AC212" s="9"/>
      <c r="AD212" s="9"/>
      <c r="AE212" s="9"/>
      <c r="AF212" s="9"/>
      <c r="AG212" s="9"/>
    </row>
    <row r="213" spans="1:33" ht="36" x14ac:dyDescent="0.2">
      <c r="A213" s="3" t="str">
        <f>HYPERLINK("https://docs.legis.wisconsin.gov/2019/proposals/reg/sen/bill/sb59","SB 0059")</f>
        <v>SB 0059</v>
      </c>
      <c r="B213" s="4" t="s">
        <v>314</v>
      </c>
      <c r="C213" s="19" t="s">
        <v>44</v>
      </c>
      <c r="D213" s="6">
        <v>43524</v>
      </c>
      <c r="E213" s="3" t="str">
        <f>HYPERLINK("https://docs.legis.wisconsin.gov/2019/proposals/ab56","AB 0056")</f>
        <v>AB 0056</v>
      </c>
      <c r="F213" s="7"/>
      <c r="G213" s="14"/>
      <c r="H213" s="14"/>
      <c r="I213" s="17"/>
      <c r="J213" s="17"/>
      <c r="K213" s="14"/>
      <c r="L213" s="14"/>
      <c r="M213" s="14"/>
      <c r="N213" s="14"/>
      <c r="O213" s="14"/>
      <c r="P213" s="9"/>
      <c r="Q213" s="9"/>
      <c r="R213" s="9"/>
      <c r="S213" s="9"/>
      <c r="T213" s="9"/>
      <c r="U213" s="9"/>
      <c r="V213" s="9"/>
      <c r="W213" s="9"/>
      <c r="X213" s="9"/>
      <c r="Y213" s="9"/>
      <c r="Z213" s="9"/>
      <c r="AA213" s="9"/>
      <c r="AB213" s="9"/>
      <c r="AC213" s="9"/>
      <c r="AD213" s="9"/>
      <c r="AE213" s="9"/>
      <c r="AF213" s="9"/>
      <c r="AG213" s="9"/>
    </row>
    <row r="214" spans="1:33" ht="24" x14ac:dyDescent="0.2">
      <c r="A214" s="3" t="str">
        <f>HYPERLINK("https://docs.legis.wisconsin.gov/2019/proposals/reg/sen/bill/sb61","SB 0061")</f>
        <v>SB 0061</v>
      </c>
      <c r="B214" s="4" t="s">
        <v>38</v>
      </c>
      <c r="C214" s="19" t="s">
        <v>315</v>
      </c>
      <c r="D214" s="6">
        <v>43525</v>
      </c>
      <c r="E214" s="3" t="str">
        <f>HYPERLINK("https://docs.legis.wisconsin.gov/2019/proposals/ab52","AB 0052")</f>
        <v>AB 0052</v>
      </c>
      <c r="F214" s="7"/>
      <c r="G214" s="14"/>
      <c r="H214" s="14"/>
      <c r="I214" s="17"/>
      <c r="J214" s="17"/>
      <c r="K214" s="14"/>
      <c r="L214" s="14"/>
      <c r="M214" s="14"/>
      <c r="N214" s="14"/>
      <c r="O214" s="14"/>
      <c r="P214" s="9"/>
      <c r="Q214" s="9"/>
      <c r="R214" s="9"/>
      <c r="S214" s="9"/>
      <c r="T214" s="9"/>
      <c r="U214" s="9"/>
      <c r="V214" s="9"/>
      <c r="W214" s="9"/>
      <c r="X214" s="9"/>
      <c r="Y214" s="9"/>
      <c r="Z214" s="9"/>
      <c r="AA214" s="9"/>
      <c r="AB214" s="9"/>
      <c r="AC214" s="9"/>
      <c r="AD214" s="9"/>
      <c r="AE214" s="9"/>
      <c r="AF214" s="9"/>
      <c r="AG214" s="9"/>
    </row>
    <row r="215" spans="1:33" ht="24" x14ac:dyDescent="0.2">
      <c r="A215" s="3" t="str">
        <f>HYPERLINK("https://docs.legis.wisconsin.gov/2019/proposals/reg/sen/bill/sb64","SB 0064")</f>
        <v>SB 0064</v>
      </c>
      <c r="B215" s="4" t="s">
        <v>53</v>
      </c>
      <c r="C215" s="19" t="s">
        <v>312</v>
      </c>
      <c r="D215" s="17">
        <v>43525</v>
      </c>
      <c r="E215" s="3" t="str">
        <f>HYPERLINK("https://docs.legis.wisconsin.gov/2019/proposals/ab67","AB 0067")</f>
        <v>AB 0067</v>
      </c>
      <c r="F215" s="19"/>
      <c r="G215" s="14"/>
      <c r="H215" s="14"/>
      <c r="I215" s="17"/>
      <c r="J215" s="17"/>
      <c r="K215" s="14"/>
      <c r="L215" s="14"/>
      <c r="M215" s="14"/>
      <c r="N215" s="14"/>
      <c r="O215" s="14"/>
      <c r="P215" s="9"/>
      <c r="Q215" s="9"/>
      <c r="R215" s="9"/>
      <c r="S215" s="9"/>
      <c r="T215" s="9"/>
      <c r="U215" s="9"/>
      <c r="V215" s="9"/>
      <c r="W215" s="9"/>
      <c r="X215" s="9"/>
      <c r="Y215" s="9"/>
      <c r="Z215" s="9"/>
      <c r="AA215" s="9"/>
      <c r="AB215" s="9"/>
      <c r="AC215" s="9"/>
      <c r="AD215" s="9"/>
      <c r="AE215" s="9"/>
      <c r="AF215" s="9"/>
      <c r="AG215" s="9"/>
    </row>
    <row r="216" spans="1:33" ht="24" x14ac:dyDescent="0.2">
      <c r="A216" s="3" t="str">
        <f>HYPERLINK("https://docs.legis.wisconsin.gov/2019/proposals/reg/sen/bill/sb72","SB 0072")</f>
        <v>SB 0072</v>
      </c>
      <c r="B216" s="4" t="s">
        <v>54</v>
      </c>
      <c r="C216" s="19" t="s">
        <v>303</v>
      </c>
      <c r="D216" s="17">
        <v>43525</v>
      </c>
      <c r="E216" s="3" t="str">
        <f>HYPERLINK("https://docs.legis.wisconsin.gov/2019/proposals/ab72","AB 0072")</f>
        <v>AB 0072</v>
      </c>
      <c r="F216" s="19"/>
      <c r="G216" s="14"/>
      <c r="H216" s="14"/>
      <c r="I216" s="17"/>
      <c r="J216" s="17"/>
      <c r="K216" s="14"/>
      <c r="L216" s="14"/>
      <c r="M216" s="14"/>
      <c r="N216" s="3" t="str">
        <f>HYPERLINK("https://docs.legis.wisconsin.gov/2019/related/acts/171","171")</f>
        <v>171</v>
      </c>
      <c r="O216" s="14" t="s">
        <v>273</v>
      </c>
      <c r="P216" s="9"/>
      <c r="Q216" s="9"/>
      <c r="R216" s="9"/>
      <c r="S216" s="9"/>
      <c r="T216" s="9"/>
      <c r="U216" s="9"/>
      <c r="V216" s="9"/>
      <c r="W216" s="9"/>
      <c r="X216" s="9"/>
      <c r="Y216" s="9"/>
      <c r="Z216" s="9"/>
      <c r="AA216" s="9"/>
      <c r="AB216" s="9"/>
      <c r="AC216" s="9"/>
      <c r="AD216" s="9"/>
      <c r="AE216" s="9"/>
      <c r="AF216" s="9"/>
      <c r="AG216" s="9"/>
    </row>
    <row r="217" spans="1:33" ht="24" x14ac:dyDescent="0.2">
      <c r="A217" s="3" t="str">
        <f>HYPERLINK("https://docs.legis.wisconsin.gov/2019/proposals/reg/sen/bill/sb73","SB 0073")</f>
        <v>SB 0073</v>
      </c>
      <c r="B217" s="4" t="s">
        <v>49</v>
      </c>
      <c r="C217" s="19" t="s">
        <v>303</v>
      </c>
      <c r="D217" s="17">
        <v>43525</v>
      </c>
      <c r="E217" s="3" t="str">
        <f>HYPERLINK("https://docs.legis.wisconsin.gov/2019/proposals/ab65","AB 0065")</f>
        <v>AB 0065</v>
      </c>
      <c r="F217" s="19"/>
      <c r="G217" s="14"/>
      <c r="H217" s="14"/>
      <c r="I217" s="17"/>
      <c r="J217" s="17"/>
      <c r="K217" s="14"/>
      <c r="L217" s="14"/>
      <c r="M217" s="14"/>
      <c r="N217" s="14"/>
      <c r="O217" s="14"/>
      <c r="P217" s="9"/>
      <c r="Q217" s="9"/>
      <c r="R217" s="9"/>
      <c r="S217" s="9"/>
      <c r="T217" s="9"/>
      <c r="U217" s="9"/>
      <c r="V217" s="9"/>
      <c r="W217" s="9"/>
      <c r="X217" s="9"/>
      <c r="Y217" s="9"/>
      <c r="Z217" s="9"/>
      <c r="AA217" s="9"/>
      <c r="AB217" s="9"/>
      <c r="AC217" s="9"/>
      <c r="AD217" s="9"/>
      <c r="AE217" s="9"/>
      <c r="AF217" s="9"/>
      <c r="AG217" s="9"/>
    </row>
    <row r="218" spans="1:33" ht="24" x14ac:dyDescent="0.2">
      <c r="A218" s="3" t="str">
        <f>HYPERLINK("https://docs.legis.wisconsin.gov/2019/proposals/reg/sen/bill/sb88","SB 0088")</f>
        <v>SB 0088</v>
      </c>
      <c r="B218" s="4" t="s">
        <v>45</v>
      </c>
      <c r="C218" s="19" t="s">
        <v>316</v>
      </c>
      <c r="D218" s="17">
        <v>43531</v>
      </c>
      <c r="E218" s="3" t="str">
        <f>HYPERLINK("https://docs.legis.wisconsin.gov/2019/proposals/ab57","AB 0057")</f>
        <v>AB 0057</v>
      </c>
      <c r="F218" s="7"/>
      <c r="G218" s="14"/>
      <c r="H218" s="14"/>
      <c r="I218" s="17"/>
      <c r="J218" s="17"/>
      <c r="K218" s="14"/>
      <c r="L218" s="14"/>
      <c r="M218" s="14"/>
      <c r="N218" s="14"/>
      <c r="O218" s="14"/>
      <c r="P218" s="9"/>
      <c r="Q218" s="9"/>
      <c r="R218" s="9"/>
      <c r="S218" s="9"/>
      <c r="T218" s="9"/>
      <c r="U218" s="9"/>
      <c r="V218" s="9"/>
      <c r="W218" s="9"/>
      <c r="X218" s="9"/>
      <c r="Y218" s="9"/>
      <c r="Z218" s="9"/>
      <c r="AA218" s="9"/>
      <c r="AB218" s="9"/>
      <c r="AC218" s="9"/>
      <c r="AD218" s="9"/>
      <c r="AE218" s="9"/>
      <c r="AF218" s="9"/>
      <c r="AG218" s="9"/>
    </row>
    <row r="219" spans="1:33" ht="36" x14ac:dyDescent="0.2">
      <c r="A219" s="3" t="str">
        <f>HYPERLINK("https://docs.legis.wisconsin.gov/2019/proposals/reg/sen/bill/sb100","SB 0100")</f>
        <v>SB 0100</v>
      </c>
      <c r="B219" s="4" t="s">
        <v>66</v>
      </c>
      <c r="C219" s="19" t="s">
        <v>317</v>
      </c>
      <c r="D219" s="6">
        <v>43539</v>
      </c>
      <c r="E219" s="3" t="str">
        <f>HYPERLINK("https://docs.legis.wisconsin.gov/2019/proposals/ab114","AB 0114")</f>
        <v>AB 0114</v>
      </c>
      <c r="F219" s="13" t="str">
        <f>HYPERLINK("https://docs.legis.wisconsin.gov/2019/related/fe/sb100","Y")</f>
        <v>Y</v>
      </c>
      <c r="G219" s="14"/>
      <c r="H219" s="5"/>
      <c r="I219" s="8"/>
      <c r="J219" s="8"/>
      <c r="K219" s="5"/>
      <c r="L219" s="14"/>
      <c r="M219" s="5"/>
      <c r="N219" s="14"/>
      <c r="O219" s="14"/>
      <c r="P219" s="9"/>
      <c r="Q219" s="9"/>
      <c r="R219" s="9"/>
      <c r="S219" s="9"/>
      <c r="T219" s="9"/>
      <c r="U219" s="9"/>
      <c r="V219" s="9"/>
      <c r="W219" s="9"/>
      <c r="X219" s="9"/>
      <c r="Y219" s="9"/>
      <c r="Z219" s="9"/>
      <c r="AA219" s="9"/>
      <c r="AB219" s="9"/>
      <c r="AC219" s="9"/>
      <c r="AD219" s="9"/>
      <c r="AE219" s="9"/>
      <c r="AF219" s="9"/>
      <c r="AG219" s="9"/>
    </row>
    <row r="220" spans="1:33" ht="36" x14ac:dyDescent="0.2">
      <c r="A220" s="3" t="str">
        <f>HYPERLINK("https://docs.legis.wisconsin.gov/2019/proposals/reg/sen/bill/sb111","SB 0111")</f>
        <v>SB 0111</v>
      </c>
      <c r="B220" s="4" t="s">
        <v>72</v>
      </c>
      <c r="C220" s="19" t="s">
        <v>312</v>
      </c>
      <c r="D220" s="6">
        <v>43539</v>
      </c>
      <c r="E220" s="3" t="str">
        <f>HYPERLINK("https://docs.legis.wisconsin.gov/2019/proposals/ab129","AB 0129")</f>
        <v>AB 0129</v>
      </c>
      <c r="F220" s="7"/>
      <c r="G220" s="5"/>
      <c r="H220" s="5"/>
      <c r="I220" s="8"/>
      <c r="J220" s="8"/>
      <c r="K220" s="5"/>
      <c r="L220" s="14"/>
      <c r="M220" s="5"/>
      <c r="N220" s="5"/>
      <c r="O220" s="5"/>
      <c r="P220" s="9"/>
      <c r="Q220" s="9"/>
      <c r="R220" s="9"/>
      <c r="S220" s="9"/>
      <c r="T220" s="9"/>
      <c r="U220" s="9"/>
      <c r="V220" s="9"/>
      <c r="W220" s="9"/>
      <c r="X220" s="9"/>
      <c r="Y220" s="9"/>
      <c r="Z220" s="9"/>
      <c r="AA220" s="9"/>
      <c r="AB220" s="9"/>
      <c r="AC220" s="9"/>
      <c r="AD220" s="9"/>
      <c r="AE220" s="9"/>
      <c r="AF220" s="9"/>
      <c r="AG220" s="9"/>
    </row>
    <row r="221" spans="1:33" ht="36" x14ac:dyDescent="0.2">
      <c r="A221" s="3" t="str">
        <f>HYPERLINK("https://docs.legis.wisconsin.gov/2019/proposals/reg/sen/bill/sb112","SB 0112")</f>
        <v>SB 0112</v>
      </c>
      <c r="B221" s="4" t="s">
        <v>68</v>
      </c>
      <c r="C221" s="19" t="s">
        <v>312</v>
      </c>
      <c r="D221" s="6">
        <v>43539</v>
      </c>
      <c r="E221" s="3" t="str">
        <f>HYPERLINK("https://docs.legis.wisconsin.gov/2019/proposals/ab115","AB 0115")</f>
        <v>AB 0115</v>
      </c>
      <c r="F221" s="13" t="str">
        <f>HYPERLINK("https://docs.legis.wisconsin.gov/2019/related/fe/sb112","Y")</f>
        <v>Y</v>
      </c>
      <c r="G221" s="14"/>
      <c r="H221" s="5"/>
      <c r="I221" s="8"/>
      <c r="J221" s="8"/>
      <c r="K221" s="5"/>
      <c r="L221" s="14"/>
      <c r="M221" s="5"/>
      <c r="N221" s="5"/>
      <c r="O221" s="5"/>
      <c r="P221" s="9"/>
      <c r="Q221" s="9"/>
      <c r="R221" s="9"/>
      <c r="S221" s="9"/>
      <c r="T221" s="9"/>
      <c r="U221" s="9"/>
      <c r="V221" s="9"/>
      <c r="W221" s="9"/>
      <c r="X221" s="9"/>
      <c r="Y221" s="9"/>
      <c r="Z221" s="9"/>
      <c r="AA221" s="9"/>
      <c r="AB221" s="9"/>
      <c r="AC221" s="9"/>
      <c r="AD221" s="9"/>
      <c r="AE221" s="9"/>
      <c r="AF221" s="9"/>
      <c r="AG221" s="9"/>
    </row>
    <row r="222" spans="1:33" ht="24" x14ac:dyDescent="0.2">
      <c r="A222" s="3" t="str">
        <f>HYPERLINK("https://docs.legis.wisconsin.gov/2019/proposals/reg/sen/bill/sb117","SB 0117")</f>
        <v>SB 0117</v>
      </c>
      <c r="B222" s="4" t="s">
        <v>56</v>
      </c>
      <c r="C222" s="19" t="s">
        <v>303</v>
      </c>
      <c r="D222" s="6">
        <v>43544</v>
      </c>
      <c r="E222" s="3" t="str">
        <f>HYPERLINK("https://docs.legis.wisconsin.gov/2019/proposals/ab82","AB 0082")</f>
        <v>AB 0082</v>
      </c>
      <c r="F222" s="19"/>
      <c r="G222" s="5"/>
      <c r="H222" s="5"/>
      <c r="I222" s="8"/>
      <c r="J222" s="8"/>
      <c r="K222" s="5"/>
      <c r="L222" s="14"/>
      <c r="M222" s="5"/>
      <c r="N222" s="3" t="str">
        <f>HYPERLINK("https://docs.legis.wisconsin.gov/2019/related/acts/180","180")</f>
        <v>180</v>
      </c>
      <c r="O222" s="15" t="s">
        <v>273</v>
      </c>
      <c r="P222" s="9"/>
      <c r="Q222" s="9"/>
      <c r="R222" s="9"/>
      <c r="S222" s="9"/>
      <c r="T222" s="9"/>
      <c r="U222" s="9"/>
      <c r="V222" s="9"/>
      <c r="W222" s="9"/>
      <c r="X222" s="9"/>
      <c r="Y222" s="9"/>
      <c r="Z222" s="9"/>
      <c r="AA222" s="9"/>
      <c r="AB222" s="9"/>
      <c r="AC222" s="9"/>
      <c r="AD222" s="9"/>
      <c r="AE222" s="9"/>
      <c r="AF222" s="9"/>
      <c r="AG222" s="9"/>
    </row>
    <row r="223" spans="1:33" ht="48" x14ac:dyDescent="0.2">
      <c r="A223" s="3" t="str">
        <f>HYPERLINK("https://docs.legis.wisconsin.gov/2019/proposals/reg/sen/bill/sb138","SB 0138")</f>
        <v>SB 0138</v>
      </c>
      <c r="B223" s="4" t="s">
        <v>73</v>
      </c>
      <c r="C223" s="19" t="s">
        <v>315</v>
      </c>
      <c r="D223" s="6">
        <v>43552</v>
      </c>
      <c r="E223" s="3" t="str">
        <f>HYPERLINK("https://docs.legis.wisconsin.gov/2019/proposals/ab149","AB 0149")</f>
        <v>AB 0149</v>
      </c>
      <c r="F223" s="13" t="str">
        <f>HYPERLINK("https://docs.legis.wisconsin.gov/2019/related/fe/sb138","Y")</f>
        <v>Y</v>
      </c>
      <c r="G223" s="14"/>
      <c r="H223" s="5"/>
      <c r="I223" s="8"/>
      <c r="J223" s="8"/>
      <c r="K223" s="5"/>
      <c r="L223" s="14"/>
      <c r="M223" s="5"/>
      <c r="N223" s="5"/>
      <c r="O223" s="5"/>
      <c r="P223" s="9"/>
      <c r="Q223" s="9"/>
      <c r="R223" s="9"/>
      <c r="S223" s="9"/>
      <c r="T223" s="9"/>
      <c r="U223" s="9"/>
      <c r="V223" s="9"/>
      <c r="W223" s="9"/>
      <c r="X223" s="9"/>
      <c r="Y223" s="9"/>
      <c r="Z223" s="9"/>
      <c r="AA223" s="9"/>
      <c r="AB223" s="9"/>
      <c r="AC223" s="9"/>
      <c r="AD223" s="9"/>
      <c r="AE223" s="9"/>
      <c r="AF223" s="9"/>
      <c r="AG223" s="9"/>
    </row>
    <row r="224" spans="1:33" ht="36" x14ac:dyDescent="0.2">
      <c r="A224" s="3" t="str">
        <f>HYPERLINK("https://docs.legis.wisconsin.gov/2019/proposals/reg/sen/bill/sb142","SB 0142")</f>
        <v>SB 0142</v>
      </c>
      <c r="B224" s="4" t="s">
        <v>76</v>
      </c>
      <c r="C224" s="19" t="s">
        <v>312</v>
      </c>
      <c r="D224" s="6">
        <v>43552</v>
      </c>
      <c r="E224" s="3" t="str">
        <f>HYPERLINK("https://docs.legis.wisconsin.gov/2019/proposals/ab161","AB 0161")</f>
        <v>AB 0161</v>
      </c>
      <c r="F224" s="7"/>
      <c r="G224" s="5"/>
      <c r="H224" s="5"/>
      <c r="I224" s="8"/>
      <c r="J224" s="8"/>
      <c r="K224" s="5"/>
      <c r="L224" s="14"/>
      <c r="M224" s="5"/>
      <c r="N224" s="3" t="str">
        <f>HYPERLINK("https://docs.legis.wisconsin.gov/2019/related/acts/47","47")</f>
        <v>47</v>
      </c>
      <c r="O224" s="3" t="str">
        <f>HYPERLINK("https://docs.legis.wisconsin.gov/2019/related/lcactmemo/act047.pdf","Y")</f>
        <v>Y</v>
      </c>
      <c r="P224" s="9"/>
      <c r="Q224" s="9"/>
      <c r="R224" s="9"/>
      <c r="S224" s="9"/>
      <c r="T224" s="9"/>
      <c r="U224" s="9"/>
      <c r="V224" s="9"/>
      <c r="W224" s="9"/>
      <c r="X224" s="9"/>
      <c r="Y224" s="9"/>
      <c r="Z224" s="9"/>
      <c r="AA224" s="9"/>
      <c r="AB224" s="9"/>
      <c r="AC224" s="9"/>
      <c r="AD224" s="9"/>
      <c r="AE224" s="9"/>
      <c r="AF224" s="9"/>
      <c r="AG224" s="9"/>
    </row>
    <row r="225" spans="1:33" ht="24" x14ac:dyDescent="0.2">
      <c r="A225" s="3" t="str">
        <f>HYPERLINK("https://docs.legis.wisconsin.gov/2019/proposals/reg/sen/bill/sb150","SB 0150")</f>
        <v>SB 0150</v>
      </c>
      <c r="B225" s="4" t="s">
        <v>74</v>
      </c>
      <c r="C225" s="19" t="s">
        <v>312</v>
      </c>
      <c r="D225" s="6">
        <v>43559</v>
      </c>
      <c r="E225" s="3" t="str">
        <f>HYPERLINK("https://docs.legis.wisconsin.gov/2019/proposals/ab160","AB 0160")</f>
        <v>AB 0160</v>
      </c>
      <c r="F225" s="7"/>
      <c r="G225" s="5"/>
      <c r="H225" s="5"/>
      <c r="I225" s="8"/>
      <c r="J225" s="8"/>
      <c r="K225" s="5"/>
      <c r="L225" s="14"/>
      <c r="M225" s="5"/>
      <c r="N225" s="5"/>
      <c r="O225" s="5"/>
      <c r="P225" s="9"/>
      <c r="Q225" s="9"/>
      <c r="R225" s="9"/>
      <c r="S225" s="9"/>
      <c r="T225" s="9"/>
      <c r="U225" s="9"/>
      <c r="V225" s="9"/>
      <c r="W225" s="9"/>
      <c r="X225" s="9"/>
      <c r="Y225" s="9"/>
      <c r="Z225" s="9"/>
      <c r="AA225" s="9"/>
      <c r="AB225" s="9"/>
      <c r="AC225" s="9"/>
      <c r="AD225" s="9"/>
      <c r="AE225" s="9"/>
      <c r="AF225" s="9"/>
      <c r="AG225" s="9"/>
    </row>
    <row r="226" spans="1:33" ht="24" x14ac:dyDescent="0.2">
      <c r="A226" s="3" t="str">
        <f>HYPERLINK("https://docs.legis.wisconsin.gov/2019/proposals/reg/sen/bill/sb160","SB 0160")</f>
        <v>SB 0160</v>
      </c>
      <c r="B226" s="4" t="s">
        <v>78</v>
      </c>
      <c r="C226" s="19" t="s">
        <v>313</v>
      </c>
      <c r="D226" s="6">
        <v>43566</v>
      </c>
      <c r="E226" s="3" t="str">
        <f>HYPERLINK("https://docs.legis.wisconsin.gov/2019/proposals/ab170","AB 0170")</f>
        <v>AB 0170</v>
      </c>
      <c r="F226" s="13" t="str">
        <f>HYPERLINK("https://docs.legis.wisconsin.gov/2019/related/fe/sb160","Y")</f>
        <v>Y</v>
      </c>
      <c r="G226" s="14"/>
      <c r="H226" s="5"/>
      <c r="I226" s="8"/>
      <c r="J226" s="8"/>
      <c r="K226" s="5"/>
      <c r="L226" s="14"/>
      <c r="M226" s="5"/>
      <c r="N226" s="3" t="str">
        <f>HYPERLINK("https://docs.legis.wisconsin.gov/2019/related/acts/96","96")</f>
        <v>96</v>
      </c>
      <c r="O226" s="3" t="str">
        <f>HYPERLINK("https://docs.legis.wisconsin.gov/2019/related/lcactmemo/act096","Y")</f>
        <v>Y</v>
      </c>
      <c r="P226" s="9"/>
      <c r="Q226" s="9"/>
      <c r="R226" s="9"/>
      <c r="S226" s="9"/>
      <c r="T226" s="9"/>
      <c r="U226" s="9"/>
      <c r="V226" s="9"/>
      <c r="W226" s="9"/>
      <c r="X226" s="9"/>
      <c r="Y226" s="9"/>
      <c r="Z226" s="9"/>
      <c r="AA226" s="9"/>
      <c r="AB226" s="9"/>
      <c r="AC226" s="9"/>
      <c r="AD226" s="9"/>
      <c r="AE226" s="9"/>
      <c r="AF226" s="9"/>
      <c r="AG226" s="9"/>
    </row>
    <row r="227" spans="1:33" ht="36" x14ac:dyDescent="0.2">
      <c r="A227" s="3" t="str">
        <f>HYPERLINK("https://docs.legis.wisconsin.gov/2019/proposals/reg/sen/bill/sb165","SB 0165")</f>
        <v>SB 0165</v>
      </c>
      <c r="B227" s="4" t="s">
        <v>85</v>
      </c>
      <c r="C227" s="19" t="s">
        <v>311</v>
      </c>
      <c r="D227" s="6">
        <v>43573</v>
      </c>
      <c r="E227" s="3" t="str">
        <f>HYPERLINK("https://docs.legis.wisconsin.gov/2019/proposals/ab189","AB 0189")</f>
        <v>AB 0189</v>
      </c>
      <c r="F227" s="7"/>
      <c r="G227" s="5"/>
      <c r="H227" s="5"/>
      <c r="I227" s="8"/>
      <c r="J227" s="8"/>
      <c r="K227" s="5"/>
      <c r="L227" s="14"/>
      <c r="M227" s="5"/>
      <c r="N227" s="5"/>
      <c r="O227" s="5"/>
      <c r="P227" s="9"/>
      <c r="Q227" s="9"/>
      <c r="R227" s="9"/>
      <c r="S227" s="9"/>
      <c r="T227" s="9"/>
      <c r="U227" s="9"/>
      <c r="V227" s="9"/>
      <c r="W227" s="9"/>
      <c r="X227" s="9"/>
      <c r="Y227" s="9"/>
      <c r="Z227" s="9"/>
      <c r="AA227" s="9"/>
      <c r="AB227" s="9"/>
      <c r="AC227" s="9"/>
      <c r="AD227" s="9"/>
      <c r="AE227" s="9"/>
      <c r="AF227" s="9"/>
      <c r="AG227" s="9"/>
    </row>
    <row r="228" spans="1:33" ht="24" x14ac:dyDescent="0.2">
      <c r="A228" s="3" t="str">
        <f>HYPERLINK("https://docs.legis.wisconsin.gov/2019/proposals/reg/sen/bill/sb166","SB 0166")</f>
        <v>SB 0166</v>
      </c>
      <c r="B228" s="4" t="s">
        <v>81</v>
      </c>
      <c r="C228" s="19" t="s">
        <v>315</v>
      </c>
      <c r="D228" s="6">
        <v>43573</v>
      </c>
      <c r="E228" s="3" t="str">
        <f>HYPERLINK("https://docs.legis.wisconsin.gov/2019/proposals/ab178","AB 0178")</f>
        <v>AB 0178</v>
      </c>
      <c r="F228" s="19"/>
      <c r="G228" s="5"/>
      <c r="H228" s="5"/>
      <c r="I228" s="8"/>
      <c r="J228" s="8"/>
      <c r="K228" s="5"/>
      <c r="L228" s="14"/>
      <c r="M228" s="5"/>
      <c r="N228" s="3" t="str">
        <f>HYPERLINK("https://docs.legis.wisconsin.gov/2019/related/acts/58","58")</f>
        <v>58</v>
      </c>
      <c r="O228" s="3" t="str">
        <f>HYPERLINK("https://docs.legis.wisconsin.gov/2019/related/lcactmemo/act058.pdf","Y")</f>
        <v>Y</v>
      </c>
      <c r="P228" s="9"/>
      <c r="Q228" s="9"/>
      <c r="R228" s="9"/>
      <c r="S228" s="9"/>
      <c r="T228" s="9"/>
      <c r="U228" s="9"/>
      <c r="V228" s="9"/>
      <c r="W228" s="9"/>
      <c r="X228" s="9"/>
      <c r="Y228" s="9"/>
      <c r="Z228" s="9"/>
      <c r="AA228" s="9"/>
      <c r="AB228" s="9"/>
      <c r="AC228" s="9"/>
      <c r="AD228" s="9"/>
      <c r="AE228" s="9"/>
      <c r="AF228" s="9"/>
      <c r="AG228" s="9"/>
    </row>
    <row r="229" spans="1:33" ht="12.75" x14ac:dyDescent="0.2">
      <c r="A229" s="3" t="str">
        <f>HYPERLINK("https://docs.legis.wisconsin.gov/2019/proposals/reg/sen/bill/sb168","SB 0168")</f>
        <v>SB 0168</v>
      </c>
      <c r="B229" s="4" t="s">
        <v>83</v>
      </c>
      <c r="C229" s="19" t="s">
        <v>318</v>
      </c>
      <c r="D229" s="6">
        <v>43573</v>
      </c>
      <c r="E229" s="3" t="str">
        <f>HYPERLINK("https://docs.legis.wisconsin.gov/2019/proposals/ab188","AB 0188")</f>
        <v>AB 0188</v>
      </c>
      <c r="F229" s="13" t="str">
        <f>HYPERLINK("https://docs.legis.wisconsin.gov/2019/related/fe/sb168","Y")</f>
        <v>Y</v>
      </c>
      <c r="G229" s="14"/>
      <c r="H229" s="5"/>
      <c r="I229" s="8"/>
      <c r="J229" s="8"/>
      <c r="K229" s="5"/>
      <c r="L229" s="14"/>
      <c r="M229" s="5"/>
      <c r="N229" s="5"/>
      <c r="O229" s="5"/>
      <c r="P229" s="9"/>
      <c r="Q229" s="9"/>
      <c r="R229" s="9"/>
      <c r="S229" s="9"/>
      <c r="T229" s="9"/>
      <c r="U229" s="9"/>
      <c r="V229" s="9"/>
      <c r="W229" s="9"/>
      <c r="X229" s="9"/>
      <c r="Y229" s="9"/>
      <c r="Z229" s="9"/>
      <c r="AA229" s="9"/>
      <c r="AB229" s="9"/>
      <c r="AC229" s="9"/>
      <c r="AD229" s="9"/>
      <c r="AE229" s="9"/>
      <c r="AF229" s="9"/>
      <c r="AG229" s="9"/>
    </row>
    <row r="230" spans="1:33" ht="24" x14ac:dyDescent="0.2">
      <c r="A230" s="3" t="str">
        <f>HYPERLINK("https://docs.legis.wisconsin.gov/2019/proposals/reg/sen/bill/sb177","SB 0177")</f>
        <v>SB 0177</v>
      </c>
      <c r="B230" s="4" t="s">
        <v>86</v>
      </c>
      <c r="C230" s="19" t="s">
        <v>315</v>
      </c>
      <c r="D230" s="6">
        <v>43579</v>
      </c>
      <c r="E230" s="3" t="str">
        <f>HYPERLINK("https://docs.legis.wisconsin.gov/2019/proposals/ab192","AB 0192")</f>
        <v>AB 0192</v>
      </c>
      <c r="F230" s="7"/>
      <c r="G230" s="5"/>
      <c r="H230" s="5"/>
      <c r="I230" s="8"/>
      <c r="J230" s="8"/>
      <c r="K230" s="5"/>
      <c r="L230" s="14"/>
      <c r="M230" s="5"/>
      <c r="N230" s="5"/>
      <c r="O230" s="5"/>
      <c r="P230" s="9"/>
      <c r="Q230" s="9"/>
      <c r="R230" s="9"/>
      <c r="S230" s="9"/>
      <c r="T230" s="9"/>
      <c r="U230" s="9"/>
      <c r="V230" s="9"/>
      <c r="W230" s="9"/>
      <c r="X230" s="9"/>
      <c r="Y230" s="9"/>
      <c r="Z230" s="9"/>
      <c r="AA230" s="9"/>
      <c r="AB230" s="9"/>
      <c r="AC230" s="9"/>
      <c r="AD230" s="9"/>
      <c r="AE230" s="9"/>
      <c r="AF230" s="9"/>
      <c r="AG230" s="9"/>
    </row>
    <row r="231" spans="1:33" ht="36" x14ac:dyDescent="0.2">
      <c r="A231" s="3" t="str">
        <f>HYPERLINK("https://docs.legis.wisconsin.gov/2019/proposals/reg/sen/bill/sb181","SB 0181")</f>
        <v>SB 0181</v>
      </c>
      <c r="B231" s="4" t="s">
        <v>80</v>
      </c>
      <c r="C231" s="19" t="s">
        <v>27</v>
      </c>
      <c r="D231" s="6">
        <v>43579</v>
      </c>
      <c r="E231" s="3" t="str">
        <f>HYPERLINK("https://docs.legis.wisconsin.gov/2019/proposals/ab174","AB 0174")</f>
        <v>AB 0174</v>
      </c>
      <c r="F231" s="7"/>
      <c r="G231" s="5"/>
      <c r="H231" s="5"/>
      <c r="I231" s="8"/>
      <c r="J231" s="8"/>
      <c r="K231" s="5"/>
      <c r="L231" s="14"/>
      <c r="M231" s="5"/>
      <c r="N231" s="5"/>
      <c r="O231" s="5"/>
      <c r="P231" s="9"/>
      <c r="Q231" s="9"/>
      <c r="R231" s="9"/>
      <c r="S231" s="9"/>
      <c r="T231" s="9"/>
      <c r="U231" s="9"/>
      <c r="V231" s="9"/>
      <c r="W231" s="9"/>
      <c r="X231" s="9"/>
      <c r="Y231" s="9"/>
      <c r="Z231" s="9"/>
      <c r="AA231" s="9"/>
      <c r="AB231" s="9"/>
      <c r="AC231" s="9"/>
      <c r="AD231" s="9"/>
      <c r="AE231" s="9"/>
      <c r="AF231" s="9"/>
      <c r="AG231" s="9"/>
    </row>
    <row r="232" spans="1:33" ht="12.75" x14ac:dyDescent="0.2">
      <c r="A232" s="3" t="str">
        <f>HYPERLINK("https://docs.legis.wisconsin.gov/2019/proposals/reg/sen/bill/sb182","SB 0182")</f>
        <v>SB 0182</v>
      </c>
      <c r="B232" s="4" t="s">
        <v>90</v>
      </c>
      <c r="C232" s="19" t="s">
        <v>319</v>
      </c>
      <c r="D232" s="6">
        <v>43579</v>
      </c>
      <c r="E232" s="3" t="str">
        <f>HYPERLINK("https://docs.legis.wisconsin.gov/2019/proposals/ab196","AB 0196")</f>
        <v>AB 0196</v>
      </c>
      <c r="F232" s="13" t="str">
        <f>HYPERLINK("https://docs.legis.wisconsin.gov/2019/related/fe/sb182","Y")</f>
        <v>Y</v>
      </c>
      <c r="G232" s="14"/>
      <c r="H232" s="5"/>
      <c r="I232" s="8"/>
      <c r="J232" s="8"/>
      <c r="K232" s="5"/>
      <c r="L232" s="14"/>
      <c r="M232" s="5"/>
      <c r="N232" s="5"/>
      <c r="O232" s="5"/>
      <c r="P232" s="9"/>
      <c r="Q232" s="9"/>
      <c r="R232" s="9"/>
      <c r="S232" s="9"/>
      <c r="T232" s="9"/>
      <c r="U232" s="9"/>
      <c r="V232" s="9"/>
      <c r="W232" s="9"/>
      <c r="X232" s="9"/>
      <c r="Y232" s="9"/>
      <c r="Z232" s="9"/>
      <c r="AA232" s="9"/>
      <c r="AB232" s="9"/>
      <c r="AC232" s="9"/>
      <c r="AD232" s="9"/>
      <c r="AE232" s="9"/>
      <c r="AF232" s="9"/>
      <c r="AG232" s="9"/>
    </row>
    <row r="233" spans="1:33" ht="24" x14ac:dyDescent="0.2">
      <c r="A233" s="3" t="str">
        <f>HYPERLINK("https://docs.legis.wisconsin.gov/2019/proposals/reg/sen/bill/sb183","SB 0183")</f>
        <v>SB 0183</v>
      </c>
      <c r="B233" s="4" t="s">
        <v>87</v>
      </c>
      <c r="C233" s="19" t="s">
        <v>319</v>
      </c>
      <c r="D233" s="6">
        <v>43579</v>
      </c>
      <c r="E233" s="3" t="str">
        <f>HYPERLINK("https://docs.legis.wisconsin.gov/2019/proposals/ab194","AB 0194")</f>
        <v>AB 0194</v>
      </c>
      <c r="F233" s="7"/>
      <c r="G233" s="5"/>
      <c r="H233" s="14"/>
      <c r="I233" s="17"/>
      <c r="J233" s="17"/>
      <c r="K233" s="14"/>
      <c r="L233" s="14"/>
      <c r="M233" s="3" t="str">
        <f>HYPERLINK("https://docs.legis.wisconsin.gov/misc/lc/hearing_testimony_and_materials/2019/sb183","Information")</f>
        <v>Information</v>
      </c>
      <c r="N233" s="5"/>
      <c r="O233" s="5"/>
      <c r="P233" s="9"/>
      <c r="Q233" s="9"/>
      <c r="R233" s="9"/>
      <c r="S233" s="9"/>
      <c r="T233" s="9"/>
      <c r="U233" s="9"/>
      <c r="V233" s="9"/>
      <c r="W233" s="9"/>
      <c r="X233" s="9"/>
      <c r="Y233" s="9"/>
      <c r="Z233" s="9"/>
      <c r="AA233" s="9"/>
      <c r="AB233" s="9"/>
      <c r="AC233" s="9"/>
      <c r="AD233" s="9"/>
      <c r="AE233" s="9"/>
      <c r="AF233" s="9"/>
      <c r="AG233" s="9"/>
    </row>
    <row r="234" spans="1:33" ht="24" x14ac:dyDescent="0.2">
      <c r="A234" s="3" t="str">
        <f>HYPERLINK("https://docs.legis.wisconsin.gov/2019/proposals/reg/sen/bill/sb184","SB 0184")</f>
        <v>SB 0184</v>
      </c>
      <c r="B234" s="4" t="s">
        <v>89</v>
      </c>
      <c r="C234" s="19" t="s">
        <v>319</v>
      </c>
      <c r="D234" s="6">
        <v>43579</v>
      </c>
      <c r="E234" s="3" t="str">
        <f>HYPERLINK("https://docs.legis.wisconsin.gov/2019/proposals/ab195","AB 0195")</f>
        <v>AB 0195</v>
      </c>
      <c r="F234" s="13" t="str">
        <f>HYPERLINK("https://docs.legis.wisconsin.gov/2019/related/fe/sb184","Y")</f>
        <v>Y</v>
      </c>
      <c r="G234" s="14"/>
      <c r="H234" s="14"/>
      <c r="I234" s="17"/>
      <c r="J234" s="17"/>
      <c r="K234" s="14"/>
      <c r="L234" s="14"/>
      <c r="M234" s="3" t="str">
        <f>HYPERLINK("https://docs.legis.wisconsin.gov/misc/lc/hearing_testimony_and_materials/2019/sb184","Information")</f>
        <v>Information</v>
      </c>
      <c r="N234" s="5"/>
      <c r="O234" s="5"/>
      <c r="P234" s="9"/>
      <c r="Q234" s="9"/>
      <c r="R234" s="9"/>
      <c r="S234" s="9"/>
      <c r="T234" s="9"/>
      <c r="U234" s="9"/>
      <c r="V234" s="9"/>
      <c r="W234" s="9"/>
      <c r="X234" s="9"/>
      <c r="Y234" s="9"/>
      <c r="Z234" s="9"/>
      <c r="AA234" s="9"/>
      <c r="AB234" s="9"/>
      <c r="AC234" s="9"/>
      <c r="AD234" s="9"/>
      <c r="AE234" s="9"/>
      <c r="AF234" s="9"/>
      <c r="AG234" s="9"/>
    </row>
    <row r="235" spans="1:33" ht="24" x14ac:dyDescent="0.2">
      <c r="A235" s="3" t="str">
        <f>HYPERLINK("https://docs.legis.wisconsin.gov/2019/proposals/reg/sen/bill/sb186","SB 0186")</f>
        <v>SB 0186</v>
      </c>
      <c r="B235" s="4" t="s">
        <v>94</v>
      </c>
      <c r="C235" s="19" t="s">
        <v>319</v>
      </c>
      <c r="D235" s="6">
        <v>43581</v>
      </c>
      <c r="E235" s="3" t="str">
        <f>HYPERLINK("https://docs.legis.wisconsin.gov/2019/proposals/ab207","AB 0207")</f>
        <v>AB 0207</v>
      </c>
      <c r="F235" s="7"/>
      <c r="G235" s="5"/>
      <c r="H235" s="5"/>
      <c r="I235" s="8"/>
      <c r="J235" s="8"/>
      <c r="K235" s="5"/>
      <c r="L235" s="14"/>
      <c r="M235" s="5"/>
      <c r="N235" s="14"/>
      <c r="O235" s="5"/>
      <c r="P235" s="9"/>
      <c r="Q235" s="9"/>
      <c r="R235" s="9"/>
      <c r="S235" s="9"/>
      <c r="T235" s="9"/>
      <c r="U235" s="9"/>
      <c r="V235" s="9"/>
      <c r="W235" s="9"/>
      <c r="X235" s="9"/>
      <c r="Y235" s="9"/>
      <c r="Z235" s="9"/>
      <c r="AA235" s="9"/>
      <c r="AB235" s="9"/>
      <c r="AC235" s="9"/>
      <c r="AD235" s="9"/>
      <c r="AE235" s="9"/>
      <c r="AF235" s="9"/>
      <c r="AG235" s="9"/>
    </row>
    <row r="236" spans="1:33" ht="36" x14ac:dyDescent="0.2">
      <c r="A236" s="3" t="str">
        <f>HYPERLINK("https://docs.legis.wisconsin.gov/2019/proposals/reg/sen/bill/sb194","SB 0194")</f>
        <v>SB 0194</v>
      </c>
      <c r="B236" s="4" t="s">
        <v>92</v>
      </c>
      <c r="C236" s="19" t="s">
        <v>320</v>
      </c>
      <c r="D236" s="6">
        <v>43585</v>
      </c>
      <c r="E236" s="3" t="str">
        <f>HYPERLINK("https://docs.legis.wisconsin.gov/2019/proposals/ab205","AB 0205")</f>
        <v>AB 0205</v>
      </c>
      <c r="F236" s="7"/>
      <c r="G236" s="14"/>
      <c r="H236" s="14"/>
      <c r="I236" s="17"/>
      <c r="J236" s="17"/>
      <c r="K236" s="14"/>
      <c r="L236" s="14"/>
      <c r="M236" s="14"/>
      <c r="N236" s="14"/>
      <c r="O236" s="14"/>
      <c r="P236" s="9"/>
      <c r="Q236" s="9"/>
      <c r="R236" s="9"/>
      <c r="S236" s="9"/>
      <c r="T236" s="9"/>
      <c r="U236" s="9"/>
      <c r="V236" s="9"/>
      <c r="W236" s="9"/>
      <c r="X236" s="9"/>
      <c r="Y236" s="9"/>
      <c r="Z236" s="9"/>
      <c r="AA236" s="9"/>
      <c r="AB236" s="9"/>
      <c r="AC236" s="9"/>
      <c r="AD236" s="9"/>
      <c r="AE236" s="9"/>
      <c r="AF236" s="9"/>
      <c r="AG236" s="9"/>
    </row>
    <row r="237" spans="1:33" ht="36" x14ac:dyDescent="0.2">
      <c r="A237" s="3" t="str">
        <f>HYPERLINK("https://docs.legis.wisconsin.gov/2019/proposals/reg/sen/bill/sb205","SB 0205")</f>
        <v>SB 0205</v>
      </c>
      <c r="B237" s="4" t="s">
        <v>100</v>
      </c>
      <c r="C237" s="19" t="s">
        <v>312</v>
      </c>
      <c r="D237" s="6">
        <v>43593</v>
      </c>
      <c r="E237" s="3" t="str">
        <f>HYPERLINK("https://docs.legis.wisconsin.gov/2019/proposals/ab230","AB 0230")</f>
        <v>AB 0230</v>
      </c>
      <c r="F237" s="7"/>
      <c r="G237" s="14"/>
      <c r="H237" s="14"/>
      <c r="I237" s="17"/>
      <c r="J237" s="17"/>
      <c r="K237" s="14"/>
      <c r="L237" s="14"/>
      <c r="M237" s="14"/>
      <c r="N237" s="3" t="str">
        <f>HYPERLINK("https://docs.legis.wisconsin.gov/2019/related/acts/147","147")</f>
        <v>147</v>
      </c>
      <c r="O237" s="15" t="s">
        <v>273</v>
      </c>
      <c r="P237" s="9"/>
      <c r="Q237" s="9"/>
      <c r="R237" s="9"/>
      <c r="S237" s="9"/>
      <c r="T237" s="9"/>
      <c r="U237" s="9"/>
      <c r="V237" s="9"/>
      <c r="W237" s="9"/>
      <c r="X237" s="9"/>
      <c r="Y237" s="9"/>
      <c r="Z237" s="9"/>
      <c r="AA237" s="9"/>
      <c r="AB237" s="9"/>
      <c r="AC237" s="9"/>
      <c r="AD237" s="9"/>
      <c r="AE237" s="9"/>
      <c r="AF237" s="9"/>
      <c r="AG237" s="9"/>
    </row>
    <row r="238" spans="1:33" ht="36" x14ac:dyDescent="0.2">
      <c r="A238" s="3" t="str">
        <f>HYPERLINK("https://docs.legis.wisconsin.gov/2019/proposals/reg/sen/bill/sb206","SB 0206")</f>
        <v>SB 0206</v>
      </c>
      <c r="B238" s="4" t="s">
        <v>98</v>
      </c>
      <c r="C238" s="19" t="s">
        <v>319</v>
      </c>
      <c r="D238" s="6">
        <v>43600</v>
      </c>
      <c r="E238" s="3" t="str">
        <f>HYPERLINK("https://docs.legis.wisconsin.gov/2019/proposals/ab224","AB 0224")</f>
        <v>AB 0224</v>
      </c>
      <c r="F238" s="13" t="str">
        <f>HYPERLINK("https://docs.legis.wisconsin.gov/2019/related/fe/sb206","Y")</f>
        <v>Y</v>
      </c>
      <c r="G238" s="14"/>
      <c r="H238" s="14"/>
      <c r="I238" s="17"/>
      <c r="J238" s="17"/>
      <c r="K238" s="14"/>
      <c r="L238" s="14"/>
      <c r="M238" s="14"/>
      <c r="N238" s="14"/>
      <c r="O238" s="14"/>
      <c r="P238" s="9"/>
      <c r="Q238" s="9"/>
      <c r="R238" s="9"/>
      <c r="S238" s="9"/>
      <c r="T238" s="9"/>
      <c r="U238" s="9"/>
      <c r="V238" s="9"/>
      <c r="W238" s="9"/>
      <c r="X238" s="9"/>
      <c r="Y238" s="9"/>
      <c r="Z238" s="9"/>
      <c r="AA238" s="9"/>
      <c r="AB238" s="9"/>
      <c r="AC238" s="9"/>
      <c r="AD238" s="9"/>
      <c r="AE238" s="9"/>
      <c r="AF238" s="9"/>
      <c r="AG238" s="9"/>
    </row>
    <row r="239" spans="1:33" ht="24" x14ac:dyDescent="0.2">
      <c r="A239" s="3" t="str">
        <f>HYPERLINK("https://docs.legis.wisconsin.gov/2019/proposals/reg/sen/bill/sb207","SB 0207")</f>
        <v>SB 0207</v>
      </c>
      <c r="B239" s="4" t="s">
        <v>97</v>
      </c>
      <c r="C239" s="19" t="s">
        <v>319</v>
      </c>
      <c r="D239" s="6">
        <v>43600</v>
      </c>
      <c r="E239" s="3" t="str">
        <f>HYPERLINK("https://docs.legis.wisconsin.gov/2019/proposals/ab223","AB 0223")</f>
        <v>AB 0223</v>
      </c>
      <c r="F239" s="13" t="str">
        <f>HYPERLINK("https://docs.legis.wisconsin.gov/2019/related/fe/sb207","Y")</f>
        <v>Y</v>
      </c>
      <c r="G239" s="14"/>
      <c r="H239" s="14"/>
      <c r="I239" s="17"/>
      <c r="J239" s="17"/>
      <c r="K239" s="14"/>
      <c r="L239" s="14"/>
      <c r="M239" s="14"/>
      <c r="N239" s="14"/>
      <c r="O239" s="14"/>
      <c r="P239" s="9"/>
      <c r="Q239" s="9"/>
      <c r="R239" s="9"/>
      <c r="S239" s="9"/>
      <c r="T239" s="9"/>
      <c r="U239" s="9"/>
      <c r="V239" s="9"/>
      <c r="W239" s="9"/>
      <c r="X239" s="9"/>
      <c r="Y239" s="9"/>
      <c r="Z239" s="9"/>
      <c r="AA239" s="9"/>
      <c r="AB239" s="9"/>
      <c r="AC239" s="9"/>
      <c r="AD239" s="9"/>
      <c r="AE239" s="9"/>
      <c r="AF239" s="9"/>
      <c r="AG239" s="9"/>
    </row>
    <row r="240" spans="1:33" ht="24" x14ac:dyDescent="0.2">
      <c r="A240" s="3" t="str">
        <f>HYPERLINK("https://docs.legis.wisconsin.gov/2019/proposals/reg/sen/bill/sb216","SB 0216")</f>
        <v>SB 0216</v>
      </c>
      <c r="B240" s="4" t="s">
        <v>99</v>
      </c>
      <c r="C240" s="19" t="s">
        <v>303</v>
      </c>
      <c r="D240" s="6">
        <v>43600</v>
      </c>
      <c r="E240" s="3" t="str">
        <f>HYPERLINK("https://docs.legis.wisconsin.gov/2019/proposals/ab229","AB 0229")</f>
        <v>AB 0229</v>
      </c>
      <c r="F240" s="19"/>
      <c r="G240" s="14"/>
      <c r="H240" s="14"/>
      <c r="I240" s="17"/>
      <c r="J240" s="17"/>
      <c r="K240" s="14"/>
      <c r="L240" s="14"/>
      <c r="M240" s="14"/>
      <c r="N240" s="14"/>
      <c r="O240" s="14"/>
      <c r="P240" s="9"/>
      <c r="Q240" s="9"/>
      <c r="R240" s="9"/>
      <c r="S240" s="9"/>
      <c r="T240" s="9"/>
      <c r="U240" s="9"/>
      <c r="V240" s="9"/>
      <c r="W240" s="9"/>
      <c r="X240" s="9"/>
      <c r="Y240" s="9"/>
      <c r="Z240" s="9"/>
      <c r="AA240" s="9"/>
      <c r="AB240" s="9"/>
      <c r="AC240" s="9"/>
      <c r="AD240" s="9"/>
      <c r="AE240" s="9"/>
      <c r="AF240" s="9"/>
      <c r="AG240" s="9"/>
    </row>
    <row r="241" spans="1:33" ht="12.75" x14ac:dyDescent="0.2">
      <c r="A241" s="3" t="str">
        <f>HYPERLINK("https://docs.legis.wisconsin.gov/2019/proposals/reg/sen/bill/sb220","SB 0220")</f>
        <v>SB 0220</v>
      </c>
      <c r="B241" s="4" t="s">
        <v>113</v>
      </c>
      <c r="C241" s="19" t="s">
        <v>321</v>
      </c>
      <c r="D241" s="6">
        <v>43608</v>
      </c>
      <c r="E241" s="3" t="str">
        <f>HYPERLINK("https://docs.legis.wisconsin.gov/2019/proposals/ab261","AB 0261")</f>
        <v>AB 0261</v>
      </c>
      <c r="F241" s="7"/>
      <c r="G241" s="14"/>
      <c r="H241" s="14"/>
      <c r="I241" s="17"/>
      <c r="J241" s="17"/>
      <c r="K241" s="14"/>
      <c r="L241" s="14"/>
      <c r="M241" s="14"/>
      <c r="N241" s="14"/>
      <c r="O241" s="14"/>
      <c r="P241" s="9"/>
      <c r="Q241" s="9"/>
      <c r="R241" s="9"/>
      <c r="S241" s="9"/>
      <c r="T241" s="9"/>
      <c r="U241" s="9"/>
      <c r="V241" s="9"/>
      <c r="W241" s="9"/>
      <c r="X241" s="9"/>
      <c r="Y241" s="9"/>
      <c r="Z241" s="9"/>
      <c r="AA241" s="9"/>
      <c r="AB241" s="9"/>
      <c r="AC241" s="9"/>
      <c r="AD241" s="9"/>
      <c r="AE241" s="9"/>
      <c r="AF241" s="9"/>
      <c r="AG241" s="9"/>
    </row>
    <row r="242" spans="1:33" ht="24" x14ac:dyDescent="0.2">
      <c r="A242" s="3" t="str">
        <f>HYPERLINK("https://docs.legis.wisconsin.gov/2019/proposals/reg/sen/bill/sb222","SB 0222")</f>
        <v>SB 0222</v>
      </c>
      <c r="B242" s="4" t="s">
        <v>110</v>
      </c>
      <c r="C242" s="19" t="s">
        <v>322</v>
      </c>
      <c r="D242" s="6">
        <v>43608</v>
      </c>
      <c r="E242" s="3" t="str">
        <f>HYPERLINK("https://docs.legis.wisconsin.gov/2019/proposals/ab254","AB 0254")</f>
        <v>AB 0254</v>
      </c>
      <c r="F242" s="19"/>
      <c r="G242" s="14"/>
      <c r="H242" s="14"/>
      <c r="I242" s="17"/>
      <c r="J242" s="17"/>
      <c r="K242" s="14"/>
      <c r="L242" s="14"/>
      <c r="M242" s="14"/>
      <c r="N242" s="14"/>
      <c r="O242" s="14"/>
      <c r="P242" s="9"/>
      <c r="Q242" s="9"/>
      <c r="R242" s="9"/>
      <c r="S242" s="9"/>
      <c r="T242" s="9"/>
      <c r="U242" s="9"/>
      <c r="V242" s="9"/>
      <c r="W242" s="9"/>
      <c r="X242" s="9"/>
      <c r="Y242" s="9"/>
      <c r="Z242" s="9"/>
      <c r="AA242" s="9"/>
      <c r="AB242" s="9"/>
      <c r="AC242" s="9"/>
      <c r="AD242" s="9"/>
      <c r="AE242" s="9"/>
      <c r="AF242" s="9"/>
      <c r="AG242" s="9"/>
    </row>
    <row r="243" spans="1:33" ht="24" x14ac:dyDescent="0.2">
      <c r="A243" s="3" t="str">
        <f>HYPERLINK("https://docs.legis.wisconsin.gov/2019/proposals/reg/sen/bill/sb228","SB 0228")</f>
        <v>SB 0228</v>
      </c>
      <c r="B243" s="4" t="s">
        <v>112</v>
      </c>
      <c r="C243" s="19" t="s">
        <v>316</v>
      </c>
      <c r="D243" s="6">
        <v>43608</v>
      </c>
      <c r="E243" s="3" t="str">
        <f>HYPERLINK("https://docs.legis.wisconsin.gov/2019/proposals/ab258","AB 0258")</f>
        <v>AB 0258</v>
      </c>
      <c r="F243" s="7"/>
      <c r="G243" s="14"/>
      <c r="H243" s="14"/>
      <c r="I243" s="17"/>
      <c r="J243" s="17"/>
      <c r="K243" s="14"/>
      <c r="L243" s="14"/>
      <c r="M243" s="14"/>
      <c r="N243" s="14"/>
      <c r="O243" s="14"/>
      <c r="P243" s="9"/>
      <c r="Q243" s="9"/>
      <c r="R243" s="9"/>
      <c r="S243" s="9"/>
      <c r="T243" s="9"/>
      <c r="U243" s="9"/>
      <c r="V243" s="9"/>
      <c r="W243" s="9"/>
      <c r="X243" s="9"/>
      <c r="Y243" s="9"/>
      <c r="Z243" s="9"/>
      <c r="AA243" s="9"/>
      <c r="AB243" s="9"/>
      <c r="AC243" s="9"/>
      <c r="AD243" s="9"/>
      <c r="AE243" s="9"/>
      <c r="AF243" s="9"/>
      <c r="AG243" s="9"/>
    </row>
    <row r="244" spans="1:33" ht="24" x14ac:dyDescent="0.2">
      <c r="A244" s="3" t="str">
        <f>HYPERLINK("https://docs.legis.wisconsin.gov/2019/proposals/reg/sen/bill/sb229","SB 0229")</f>
        <v>SB 0229</v>
      </c>
      <c r="B244" s="4" t="s">
        <v>120</v>
      </c>
      <c r="C244" s="19" t="s">
        <v>323</v>
      </c>
      <c r="D244" s="6">
        <v>43608</v>
      </c>
      <c r="E244" s="3" t="str">
        <f>HYPERLINK("https://docs.legis.wisconsin.gov/2019/proposals/ab292","AB 0292")</f>
        <v>AB 0292</v>
      </c>
      <c r="F244" s="13" t="str">
        <f>HYPERLINK("https://docs.legis.wisconsin.gov/2019/related/fe/sb229","Y")</f>
        <v>Y</v>
      </c>
      <c r="G244" s="14"/>
      <c r="H244" s="14"/>
      <c r="I244" s="17"/>
      <c r="J244" s="17"/>
      <c r="K244" s="14"/>
      <c r="L244" s="14"/>
      <c r="M244" s="14"/>
      <c r="N244" s="14"/>
      <c r="O244" s="14"/>
      <c r="P244" s="9"/>
      <c r="Q244" s="9"/>
      <c r="R244" s="9"/>
      <c r="S244" s="9"/>
      <c r="T244" s="9"/>
      <c r="U244" s="9"/>
      <c r="V244" s="9"/>
      <c r="W244" s="9"/>
      <c r="X244" s="9"/>
      <c r="Y244" s="9"/>
      <c r="Z244" s="9"/>
      <c r="AA244" s="9"/>
      <c r="AB244" s="9"/>
      <c r="AC244" s="9"/>
      <c r="AD244" s="9"/>
      <c r="AE244" s="9"/>
      <c r="AF244" s="9"/>
      <c r="AG244" s="9"/>
    </row>
    <row r="245" spans="1:33" ht="24" x14ac:dyDescent="0.2">
      <c r="A245" s="3" t="str">
        <f>HYPERLINK("https://docs.legis.wisconsin.gov/2019/proposals/reg/sen/bill/sb230","SB 0230")</f>
        <v>SB 0230</v>
      </c>
      <c r="B245" s="4" t="s">
        <v>102</v>
      </c>
      <c r="C245" s="19" t="s">
        <v>312</v>
      </c>
      <c r="D245" s="6">
        <v>43608</v>
      </c>
      <c r="E245" s="3" t="str">
        <f>HYPERLINK("https://docs.legis.wisconsin.gov/2019/proposals/ab232","AB 0232")</f>
        <v>AB 0232</v>
      </c>
      <c r="F245" s="19"/>
      <c r="G245" s="14"/>
      <c r="H245" s="14"/>
      <c r="I245" s="17"/>
      <c r="J245" s="17"/>
      <c r="K245" s="14"/>
      <c r="L245" s="14"/>
      <c r="M245" s="3" t="str">
        <f>HYPERLINK("https://docs.legis.wisconsin.gov/misc/lc/hearing_testimony_and_materials/2019/ab232","Support")</f>
        <v>Support</v>
      </c>
      <c r="N245" s="3" t="str">
        <f>HYPERLINK("https://docs.legis.wisconsin.gov/2019/related/acts/84","84")</f>
        <v>84</v>
      </c>
      <c r="O245" s="3" t="str">
        <f>HYPERLINK("https://docs.legis.wisconsin.gov/2019/related/lcactmemo/act084","Y")</f>
        <v>Y</v>
      </c>
      <c r="P245" s="9"/>
      <c r="Q245" s="9"/>
      <c r="R245" s="9"/>
      <c r="S245" s="9"/>
      <c r="T245" s="9"/>
      <c r="U245" s="9"/>
      <c r="V245" s="9"/>
      <c r="W245" s="9"/>
      <c r="X245" s="9"/>
      <c r="Y245" s="9"/>
      <c r="Z245" s="9"/>
      <c r="AA245" s="9"/>
      <c r="AB245" s="9"/>
      <c r="AC245" s="9"/>
      <c r="AD245" s="9"/>
      <c r="AE245" s="9"/>
      <c r="AF245" s="9"/>
      <c r="AG245" s="9"/>
    </row>
    <row r="246" spans="1:33" ht="60" x14ac:dyDescent="0.2">
      <c r="A246" s="3" t="str">
        <f>HYPERLINK("https://docs.legis.wisconsin.gov/2019/proposals/reg/sen/bill/sb239","SB 0239")</f>
        <v>SB 0239</v>
      </c>
      <c r="B246" s="4" t="s">
        <v>324</v>
      </c>
      <c r="C246" s="19" t="s">
        <v>325</v>
      </c>
      <c r="D246" s="6">
        <v>43609</v>
      </c>
      <c r="E246" s="3" t="str">
        <f>HYPERLINK("https://docs.legis.wisconsin.gov/2019/proposals/ab234","AB 0234")</f>
        <v>AB 0234</v>
      </c>
      <c r="F246" s="7"/>
      <c r="G246" s="14"/>
      <c r="H246" s="14"/>
      <c r="I246" s="17"/>
      <c r="J246" s="17"/>
      <c r="K246" s="14"/>
      <c r="L246" s="14"/>
      <c r="M246" s="14"/>
      <c r="N246" s="3" t="str">
        <f>HYPERLINK("https://docs.legis.wisconsin.gov/2019/related/acts/14","14")</f>
        <v>14</v>
      </c>
      <c r="O246" s="3" t="str">
        <f>HYPERLINK("https://docs.legis.wisconsin.gov/2019/related/lcactmemo/act014.pdf","Y")</f>
        <v>Y</v>
      </c>
      <c r="P246" s="9"/>
      <c r="Q246" s="9"/>
      <c r="R246" s="9"/>
      <c r="S246" s="9"/>
      <c r="T246" s="9"/>
      <c r="U246" s="9"/>
      <c r="V246" s="9"/>
      <c r="W246" s="9"/>
      <c r="X246" s="9"/>
      <c r="Y246" s="9"/>
      <c r="Z246" s="9"/>
      <c r="AA246" s="9"/>
      <c r="AB246" s="9"/>
      <c r="AC246" s="9"/>
      <c r="AD246" s="9"/>
      <c r="AE246" s="9"/>
      <c r="AF246" s="9"/>
      <c r="AG246" s="9"/>
    </row>
    <row r="247" spans="1:33" ht="24" x14ac:dyDescent="0.2">
      <c r="A247" s="3" t="str">
        <f>HYPERLINK("https://docs.legis.wisconsin.gov/2019/proposals/reg/sen/bill/sb240","SB 0240")</f>
        <v>SB 0240</v>
      </c>
      <c r="B247" s="4" t="s">
        <v>104</v>
      </c>
      <c r="C247" s="19" t="s">
        <v>237</v>
      </c>
      <c r="D247" s="6">
        <v>43609</v>
      </c>
      <c r="E247" s="3" t="str">
        <f>HYPERLINK("https://docs.legis.wisconsin.gov/2019/proposals/ab245","AB 0245")</f>
        <v>AB 0245</v>
      </c>
      <c r="F247" s="7"/>
      <c r="G247" s="14"/>
      <c r="H247" s="14"/>
      <c r="I247" s="17"/>
      <c r="J247" s="17"/>
      <c r="K247" s="14"/>
      <c r="L247" s="14"/>
      <c r="M247" s="14"/>
      <c r="N247" s="14"/>
      <c r="O247" s="14"/>
      <c r="P247" s="9"/>
      <c r="Q247" s="9"/>
      <c r="R247" s="9"/>
      <c r="S247" s="9"/>
      <c r="T247" s="9"/>
      <c r="U247" s="9"/>
      <c r="V247" s="9"/>
      <c r="W247" s="9"/>
      <c r="X247" s="9"/>
      <c r="Y247" s="9"/>
      <c r="Z247" s="9"/>
      <c r="AA247" s="9"/>
      <c r="AB247" s="9"/>
      <c r="AC247" s="9"/>
      <c r="AD247" s="9"/>
      <c r="AE247" s="9"/>
      <c r="AF247" s="9"/>
      <c r="AG247" s="9"/>
    </row>
    <row r="248" spans="1:33" ht="36" x14ac:dyDescent="0.2">
      <c r="A248" s="3" t="str">
        <f>HYPERLINK("https://docs.legis.wisconsin.gov/2019/proposals/reg/sen/bill/sb244","SB 0244")</f>
        <v>SB 0244</v>
      </c>
      <c r="B248" s="4" t="s">
        <v>326</v>
      </c>
      <c r="C248" s="19" t="s">
        <v>316</v>
      </c>
      <c r="D248" s="6">
        <v>43615</v>
      </c>
      <c r="E248" s="3" t="str">
        <f>HYPERLINK("https://docs.legis.wisconsin.gov/2019/proposals/ab262","AB 0262")</f>
        <v>AB 0262</v>
      </c>
      <c r="F248" s="13" t="str">
        <f>HYPERLINK("https://docs.legis.wisconsin.gov/2019/related/fe/sb244","Y")</f>
        <v>Y</v>
      </c>
      <c r="G248" s="14"/>
      <c r="H248" s="14"/>
      <c r="I248" s="17"/>
      <c r="J248" s="17"/>
      <c r="K248" s="14"/>
      <c r="L248" s="14"/>
      <c r="M248" s="14"/>
      <c r="N248" s="14"/>
      <c r="O248" s="14"/>
      <c r="P248" s="9"/>
      <c r="Q248" s="9"/>
      <c r="R248" s="9"/>
      <c r="S248" s="9"/>
      <c r="T248" s="9"/>
      <c r="U248" s="9"/>
      <c r="V248" s="9"/>
      <c r="W248" s="9"/>
      <c r="X248" s="9"/>
      <c r="Y248" s="9"/>
      <c r="Z248" s="9"/>
      <c r="AA248" s="9"/>
      <c r="AB248" s="9"/>
      <c r="AC248" s="9"/>
      <c r="AD248" s="9"/>
      <c r="AE248" s="9"/>
      <c r="AF248" s="9"/>
      <c r="AG248" s="9"/>
    </row>
    <row r="249" spans="1:33" ht="36" x14ac:dyDescent="0.2">
      <c r="A249" s="3" t="str">
        <f>HYPERLINK("https://docs.legis.wisconsin.gov/2019/proposals/reg/sen/bill/sb258","SB 0258")</f>
        <v>SB 0258</v>
      </c>
      <c r="B249" s="4" t="s">
        <v>117</v>
      </c>
      <c r="C249" s="19" t="s">
        <v>315</v>
      </c>
      <c r="D249" s="6">
        <v>43622</v>
      </c>
      <c r="E249" s="3" t="str">
        <f>HYPERLINK("https://docs.legis.wisconsin.gov/2019/proposals/ab268","AB 0268")</f>
        <v>AB 0268</v>
      </c>
      <c r="F249" s="13" t="str">
        <f>HYPERLINK("https://docs.legis.wisconsin.gov/2019/related/fe/sb258","Y")</f>
        <v>Y</v>
      </c>
      <c r="G249" s="14"/>
      <c r="H249" s="14"/>
      <c r="I249" s="17"/>
      <c r="J249" s="17"/>
      <c r="K249" s="14"/>
      <c r="L249" s="14"/>
      <c r="M249" s="14"/>
      <c r="N249" s="14"/>
      <c r="O249" s="14"/>
      <c r="P249" s="9"/>
      <c r="Q249" s="9"/>
      <c r="R249" s="9"/>
      <c r="S249" s="9"/>
      <c r="T249" s="9"/>
      <c r="U249" s="9"/>
      <c r="V249" s="9"/>
      <c r="W249" s="9"/>
      <c r="X249" s="9"/>
      <c r="Y249" s="9"/>
      <c r="Z249" s="9"/>
      <c r="AA249" s="9"/>
      <c r="AB249" s="9"/>
      <c r="AC249" s="9"/>
      <c r="AD249" s="9"/>
      <c r="AE249" s="9"/>
      <c r="AF249" s="9"/>
      <c r="AG249" s="9"/>
    </row>
    <row r="250" spans="1:33" ht="24" x14ac:dyDescent="0.2">
      <c r="A250" s="3" t="str">
        <f>HYPERLINK("https://docs.legis.wisconsin.gov/2019/proposals/reg/sen/bill/sb259","SB 0259")</f>
        <v>SB 0259</v>
      </c>
      <c r="B250" s="4" t="s">
        <v>118</v>
      </c>
      <c r="C250" s="19" t="s">
        <v>316</v>
      </c>
      <c r="D250" s="6">
        <v>43622</v>
      </c>
      <c r="E250" s="3" t="str">
        <f>HYPERLINK("https://docs.legis.wisconsin.gov/2019/proposals/ab291","AB 0291")</f>
        <v>AB 0291</v>
      </c>
      <c r="F250" s="7"/>
      <c r="G250" s="14"/>
      <c r="H250" s="14"/>
      <c r="I250" s="17"/>
      <c r="J250" s="17"/>
      <c r="K250" s="14"/>
      <c r="L250" s="14"/>
      <c r="M250" s="14"/>
      <c r="N250" s="14"/>
      <c r="O250" s="14"/>
      <c r="P250" s="9"/>
      <c r="Q250" s="9"/>
      <c r="R250" s="9"/>
      <c r="S250" s="9"/>
      <c r="T250" s="9"/>
      <c r="U250" s="9"/>
      <c r="V250" s="9"/>
      <c r="W250" s="9"/>
      <c r="X250" s="9"/>
      <c r="Y250" s="9"/>
      <c r="Z250" s="9"/>
      <c r="AA250" s="9"/>
      <c r="AB250" s="9"/>
      <c r="AC250" s="9"/>
      <c r="AD250" s="9"/>
      <c r="AE250" s="9"/>
      <c r="AF250" s="9"/>
      <c r="AG250" s="9"/>
    </row>
    <row r="251" spans="1:33" ht="24" x14ac:dyDescent="0.2">
      <c r="A251" s="3" t="str">
        <f>HYPERLINK("https://docs.legis.wisconsin.gov/2019/proposals/reg/sen/bill/sb262","SB 0262")</f>
        <v>SB 0262</v>
      </c>
      <c r="B251" s="4" t="s">
        <v>106</v>
      </c>
      <c r="C251" s="19" t="s">
        <v>309</v>
      </c>
      <c r="D251" s="6">
        <v>43622</v>
      </c>
      <c r="E251" s="3" t="str">
        <f>HYPERLINK("https://docs.legis.wisconsin.gov/2019/proposals/ab248","AB 0248")</f>
        <v>AB 0248</v>
      </c>
      <c r="F251" s="19"/>
      <c r="G251" s="14"/>
      <c r="H251" s="14"/>
      <c r="I251" s="17"/>
      <c r="J251" s="17"/>
      <c r="K251" s="14"/>
      <c r="L251" s="14"/>
      <c r="M251" s="14"/>
      <c r="N251" s="14"/>
      <c r="O251" s="14"/>
      <c r="P251" s="9"/>
      <c r="Q251" s="9"/>
      <c r="R251" s="9"/>
      <c r="S251" s="9"/>
      <c r="T251" s="9"/>
      <c r="U251" s="9"/>
      <c r="V251" s="9"/>
      <c r="W251" s="9"/>
      <c r="X251" s="9"/>
      <c r="Y251" s="9"/>
      <c r="Z251" s="9"/>
      <c r="AA251" s="9"/>
      <c r="AB251" s="9"/>
      <c r="AC251" s="9"/>
      <c r="AD251" s="9"/>
      <c r="AE251" s="9"/>
      <c r="AF251" s="9"/>
      <c r="AG251" s="9"/>
    </row>
    <row r="252" spans="1:33" ht="36" x14ac:dyDescent="0.2">
      <c r="A252" s="3" t="str">
        <f>HYPERLINK("https://docs.legis.wisconsin.gov/2019/proposals/reg/sen/bill/sb265","SB 0265")</f>
        <v>SB 0265</v>
      </c>
      <c r="B252" s="4" t="s">
        <v>108</v>
      </c>
      <c r="C252" s="19" t="s">
        <v>316</v>
      </c>
      <c r="D252" s="6">
        <v>43623</v>
      </c>
      <c r="E252" s="3" t="str">
        <f>HYPERLINK("https://docs.legis.wisconsin.gov/2019/proposals/ab250","AB 0250")</f>
        <v>AB 0250</v>
      </c>
      <c r="F252" s="7"/>
      <c r="G252" s="5"/>
      <c r="H252" s="5"/>
      <c r="I252" s="8"/>
      <c r="J252" s="8"/>
      <c r="K252" s="5"/>
      <c r="L252" s="14"/>
      <c r="M252" s="5"/>
      <c r="N252" s="5"/>
      <c r="O252" s="5"/>
      <c r="P252" s="9"/>
      <c r="Q252" s="9"/>
      <c r="R252" s="9"/>
      <c r="S252" s="9"/>
      <c r="T252" s="9"/>
      <c r="U252" s="9"/>
      <c r="V252" s="9"/>
      <c r="W252" s="9"/>
      <c r="X252" s="9"/>
      <c r="Y252" s="9"/>
      <c r="Z252" s="9"/>
      <c r="AA252" s="9"/>
      <c r="AB252" s="9"/>
      <c r="AC252" s="9"/>
      <c r="AD252" s="9"/>
      <c r="AE252" s="9"/>
      <c r="AF252" s="9"/>
      <c r="AG252" s="9"/>
    </row>
    <row r="253" spans="1:33" ht="24" x14ac:dyDescent="0.2">
      <c r="A253" s="3" t="str">
        <f>HYPERLINK("https://docs.legis.wisconsin.gov/2019/proposals/reg/sen/bill/sb270","SB 0270")</f>
        <v>SB 0270</v>
      </c>
      <c r="B253" s="4" t="s">
        <v>124</v>
      </c>
      <c r="C253" s="19" t="s">
        <v>327</v>
      </c>
      <c r="D253" s="6">
        <v>43623</v>
      </c>
      <c r="E253" s="3" t="str">
        <f>HYPERLINK("https://docs.legis.wisconsin.gov/2019/proposals/ab307","AB 0307")</f>
        <v>AB 0307</v>
      </c>
      <c r="F253" s="13" t="str">
        <f>HYPERLINK("https://docs.legis.wisconsin.gov/2019/related/fe/sb270","Y")</f>
        <v>Y</v>
      </c>
      <c r="G253" s="14"/>
      <c r="H253" s="14"/>
      <c r="I253" s="17"/>
      <c r="J253" s="17"/>
      <c r="K253" s="14"/>
      <c r="L253" s="14"/>
      <c r="M253" s="14"/>
      <c r="N253" s="14"/>
      <c r="O253" s="14"/>
      <c r="P253" s="9"/>
      <c r="Q253" s="9"/>
      <c r="R253" s="9"/>
      <c r="S253" s="9"/>
      <c r="T253" s="9"/>
      <c r="U253" s="9"/>
      <c r="V253" s="9"/>
      <c r="W253" s="9"/>
      <c r="X253" s="9"/>
      <c r="Y253" s="9"/>
      <c r="Z253" s="9"/>
      <c r="AA253" s="9"/>
      <c r="AB253" s="9"/>
      <c r="AC253" s="9"/>
      <c r="AD253" s="9"/>
      <c r="AE253" s="9"/>
      <c r="AF253" s="9"/>
      <c r="AG253" s="9"/>
    </row>
    <row r="254" spans="1:33" ht="24" x14ac:dyDescent="0.2">
      <c r="A254" s="3" t="str">
        <f>HYPERLINK("https://docs.legis.wisconsin.gov/2019/proposals/reg/sen/bill/sb291","SB 0291")</f>
        <v>SB 0291</v>
      </c>
      <c r="B254" s="4" t="s">
        <v>125</v>
      </c>
      <c r="C254" s="19" t="s">
        <v>319</v>
      </c>
      <c r="D254" s="6">
        <v>43637</v>
      </c>
      <c r="E254" s="3" t="str">
        <f>HYPERLINK("https://docs.legis.wisconsin.gov/2019/proposals/ab310","AB 0310")</f>
        <v>AB 0310</v>
      </c>
      <c r="F254" s="7"/>
      <c r="G254" s="14"/>
      <c r="H254" s="14"/>
      <c r="I254" s="17"/>
      <c r="J254" s="17"/>
      <c r="K254" s="14"/>
      <c r="L254" s="14"/>
      <c r="M254" s="14"/>
      <c r="N254" s="14"/>
      <c r="O254" s="14"/>
      <c r="P254" s="9"/>
      <c r="Q254" s="9"/>
      <c r="R254" s="9"/>
      <c r="S254" s="9"/>
      <c r="T254" s="9"/>
      <c r="U254" s="9"/>
      <c r="V254" s="9"/>
      <c r="W254" s="9"/>
      <c r="X254" s="9"/>
      <c r="Y254" s="9"/>
      <c r="Z254" s="9"/>
      <c r="AA254" s="9"/>
      <c r="AB254" s="9"/>
      <c r="AC254" s="9"/>
      <c r="AD254" s="9"/>
      <c r="AE254" s="9"/>
      <c r="AF254" s="9"/>
      <c r="AG254" s="9"/>
    </row>
    <row r="255" spans="1:33" ht="12.75" x14ac:dyDescent="0.2">
      <c r="A255" s="3" t="str">
        <f>HYPERLINK("https://docs.legis.wisconsin.gov/2019/proposals/reg/sen/bill/sb305","SB 0305")</f>
        <v>SB 0305</v>
      </c>
      <c r="B255" s="4" t="s">
        <v>328</v>
      </c>
      <c r="C255" s="19" t="s">
        <v>329</v>
      </c>
      <c r="D255" s="6">
        <v>43637</v>
      </c>
      <c r="E255" s="3" t="str">
        <f>HYPERLINK("https://docs.legis.wisconsin.gov/2019/proposals/ab311","AB 0311")</f>
        <v>AB 0311</v>
      </c>
      <c r="F255" s="19"/>
      <c r="G255" s="14"/>
      <c r="H255" s="14"/>
      <c r="I255" s="17"/>
      <c r="J255" s="17"/>
      <c r="K255" s="14"/>
      <c r="L255" s="14"/>
      <c r="M255" s="14"/>
      <c r="N255" s="14"/>
      <c r="O255" s="14"/>
      <c r="P255" s="9"/>
      <c r="Q255" s="9"/>
      <c r="R255" s="9"/>
      <c r="S255" s="9"/>
      <c r="T255" s="9"/>
      <c r="U255" s="9"/>
      <c r="V255" s="9"/>
      <c r="W255" s="9"/>
      <c r="X255" s="9"/>
      <c r="Y255" s="9"/>
      <c r="Z255" s="9"/>
      <c r="AA255" s="9"/>
      <c r="AB255" s="9"/>
      <c r="AC255" s="9"/>
      <c r="AD255" s="9"/>
      <c r="AE255" s="9"/>
      <c r="AF255" s="9"/>
      <c r="AG255" s="9"/>
    </row>
    <row r="256" spans="1:33" ht="48" x14ac:dyDescent="0.2">
      <c r="A256" s="3" t="str">
        <f>HYPERLINK("https://docs.legis.wisconsin.gov/2019/proposals/reg/sen/bill/sb308","SB 0308")</f>
        <v>SB 0308</v>
      </c>
      <c r="B256" s="4" t="s">
        <v>330</v>
      </c>
      <c r="C256" s="19" t="s">
        <v>309</v>
      </c>
      <c r="D256" s="17">
        <v>43644</v>
      </c>
      <c r="E256" s="3" t="str">
        <f>HYPERLINK("https://docs.legis.wisconsin.gov/2019/proposals/ab319","AB 0319")</f>
        <v>AB 0319</v>
      </c>
      <c r="F256" s="13" t="str">
        <f>HYPERLINK("https://docs.legis.wisconsin.gov/2019/related/fe/sb308","Y")</f>
        <v>Y</v>
      </c>
      <c r="G256" s="14"/>
      <c r="H256" s="14"/>
      <c r="I256" s="17"/>
      <c r="J256" s="17"/>
      <c r="K256" s="14"/>
      <c r="L256" s="14"/>
      <c r="M256" s="14"/>
      <c r="N256" s="14"/>
      <c r="O256" s="14"/>
      <c r="P256" s="9"/>
      <c r="Q256" s="9"/>
      <c r="R256" s="9"/>
      <c r="S256" s="9"/>
      <c r="T256" s="9"/>
      <c r="U256" s="9"/>
      <c r="V256" s="9"/>
      <c r="W256" s="9"/>
      <c r="X256" s="9"/>
      <c r="Y256" s="9"/>
      <c r="Z256" s="9"/>
      <c r="AA256" s="9"/>
      <c r="AB256" s="9"/>
      <c r="AC256" s="9"/>
      <c r="AD256" s="9"/>
      <c r="AE256" s="9"/>
      <c r="AF256" s="9"/>
      <c r="AG256" s="9"/>
    </row>
    <row r="257" spans="1:33" ht="24" x14ac:dyDescent="0.2">
      <c r="A257" s="3" t="str">
        <f>HYPERLINK("https://docs.legis.wisconsin.gov/2019/proposals/reg/sen/bill/sb311","SB 0311")</f>
        <v>SB 0311</v>
      </c>
      <c r="B257" s="4" t="s">
        <v>132</v>
      </c>
      <c r="C257" s="19" t="s">
        <v>331</v>
      </c>
      <c r="D257" s="17">
        <v>43649</v>
      </c>
      <c r="E257" s="3" t="str">
        <f>HYPERLINK("https://docs.legis.wisconsin.gov/2019/proposals/ab338","AB 0338")</f>
        <v>AB 0338</v>
      </c>
      <c r="F257" s="19"/>
      <c r="G257" s="14"/>
      <c r="H257" s="14"/>
      <c r="I257" s="17"/>
      <c r="J257" s="17"/>
      <c r="K257" s="14"/>
      <c r="L257" s="14"/>
      <c r="M257" s="14"/>
      <c r="N257" s="14"/>
      <c r="O257" s="14"/>
      <c r="P257" s="9"/>
      <c r="Q257" s="9"/>
      <c r="R257" s="9"/>
      <c r="S257" s="9"/>
      <c r="T257" s="9"/>
      <c r="U257" s="9"/>
      <c r="V257" s="9"/>
      <c r="W257" s="9"/>
      <c r="X257" s="9"/>
      <c r="Y257" s="9"/>
      <c r="Z257" s="9"/>
      <c r="AA257" s="9"/>
      <c r="AB257" s="9"/>
      <c r="AC257" s="9"/>
      <c r="AD257" s="9"/>
      <c r="AE257" s="9"/>
      <c r="AF257" s="9"/>
      <c r="AG257" s="9"/>
    </row>
    <row r="258" spans="1:33" ht="48" x14ac:dyDescent="0.2">
      <c r="A258" s="3" t="str">
        <f>HYPERLINK("https://docs.legis.wisconsin.gov/2019/proposals/reg/sen/bill/sb315","SB 0315")</f>
        <v>SB 0315</v>
      </c>
      <c r="B258" s="4" t="s">
        <v>332</v>
      </c>
      <c r="C258" s="19" t="s">
        <v>315</v>
      </c>
      <c r="D258" s="17">
        <v>43651</v>
      </c>
      <c r="E258" s="14"/>
      <c r="F258" s="19"/>
      <c r="G258" s="14"/>
      <c r="H258" s="14"/>
      <c r="I258" s="17"/>
      <c r="J258" s="17"/>
      <c r="K258" s="14"/>
      <c r="L258" s="14"/>
      <c r="M258" s="14"/>
      <c r="N258" s="14"/>
      <c r="O258" s="14"/>
      <c r="P258" s="9"/>
      <c r="Q258" s="9"/>
      <c r="R258" s="9"/>
      <c r="S258" s="9"/>
      <c r="T258" s="9"/>
      <c r="U258" s="9"/>
      <c r="V258" s="9"/>
      <c r="W258" s="9"/>
      <c r="X258" s="9"/>
      <c r="Y258" s="9"/>
      <c r="Z258" s="9"/>
      <c r="AA258" s="9"/>
      <c r="AB258" s="9"/>
      <c r="AC258" s="9"/>
      <c r="AD258" s="9"/>
      <c r="AE258" s="9"/>
      <c r="AF258" s="9"/>
      <c r="AG258" s="9"/>
    </row>
    <row r="259" spans="1:33" ht="24" x14ac:dyDescent="0.2">
      <c r="A259" s="3" t="str">
        <f>HYPERLINK("https://docs.legis.wisconsin.gov/2019/proposals/reg/sen/bill/sb321","SB 0321")</f>
        <v>SB 0321</v>
      </c>
      <c r="B259" s="4" t="s">
        <v>134</v>
      </c>
      <c r="C259" s="19" t="s">
        <v>319</v>
      </c>
      <c r="D259" s="17">
        <v>43656</v>
      </c>
      <c r="E259" s="3" t="str">
        <f>HYPERLINK("https://docs.legis.wisconsin.gov/2019/proposals/ab344","AB 0344")</f>
        <v>AB 0344</v>
      </c>
      <c r="F259" s="7"/>
      <c r="G259" s="14"/>
      <c r="H259" s="14"/>
      <c r="I259" s="17"/>
      <c r="J259" s="17"/>
      <c r="K259" s="14"/>
      <c r="L259" s="14"/>
      <c r="M259" s="14"/>
      <c r="N259" s="14"/>
      <c r="O259" s="14"/>
      <c r="P259" s="9"/>
      <c r="Q259" s="9"/>
      <c r="R259" s="9"/>
      <c r="S259" s="9"/>
      <c r="T259" s="9"/>
      <c r="U259" s="9"/>
      <c r="V259" s="9"/>
      <c r="W259" s="9"/>
      <c r="X259" s="9"/>
      <c r="Y259" s="9"/>
      <c r="Z259" s="9"/>
      <c r="AA259" s="9"/>
      <c r="AB259" s="9"/>
      <c r="AC259" s="9"/>
      <c r="AD259" s="9"/>
      <c r="AE259" s="9"/>
      <c r="AF259" s="9"/>
      <c r="AG259" s="9"/>
    </row>
    <row r="260" spans="1:33" ht="36" x14ac:dyDescent="0.2">
      <c r="A260" s="3" t="str">
        <f>HYPERLINK("https://docs.legis.wisconsin.gov/2019/proposals/reg/sen/bill/sb327","SB 0327")</f>
        <v>SB 0327</v>
      </c>
      <c r="B260" s="4" t="s">
        <v>139</v>
      </c>
      <c r="C260" s="19" t="s">
        <v>319</v>
      </c>
      <c r="D260" s="6">
        <v>43669</v>
      </c>
      <c r="E260" s="3" t="str">
        <f>HYPERLINK("https://docs.legis.wisconsin.gov/2019/proposals/ab368","AB 368")</f>
        <v>AB 368</v>
      </c>
      <c r="F260" s="13" t="str">
        <f>HYPERLINK("https://docs.legis.wisconsin.gov/2019/related/fe/sb327","Y")</f>
        <v>Y</v>
      </c>
      <c r="G260" s="14"/>
      <c r="H260" s="5"/>
      <c r="I260" s="8"/>
      <c r="J260" s="8"/>
      <c r="K260" s="5"/>
      <c r="L260" s="14"/>
      <c r="M260" s="5"/>
      <c r="N260" s="14"/>
      <c r="O260" s="14"/>
      <c r="P260" s="9"/>
      <c r="Q260" s="9"/>
      <c r="R260" s="9"/>
      <c r="S260" s="9"/>
      <c r="T260" s="9"/>
      <c r="U260" s="9"/>
      <c r="V260" s="9"/>
      <c r="W260" s="9"/>
      <c r="X260" s="9"/>
      <c r="Y260" s="9"/>
      <c r="Z260" s="9"/>
      <c r="AA260" s="9"/>
      <c r="AB260" s="9"/>
      <c r="AC260" s="9"/>
      <c r="AD260" s="9"/>
      <c r="AE260" s="9"/>
      <c r="AF260" s="9"/>
      <c r="AG260" s="9"/>
    </row>
    <row r="261" spans="1:33" ht="24" x14ac:dyDescent="0.2">
      <c r="A261" s="3" t="str">
        <f>HYPERLINK("https://docs.legis.wisconsin.gov/2019/proposals/reg/sen/bill/sb330","SB 0330")</f>
        <v>SB 0330</v>
      </c>
      <c r="B261" s="4" t="s">
        <v>136</v>
      </c>
      <c r="C261" s="19" t="s">
        <v>319</v>
      </c>
      <c r="D261" s="6">
        <v>43677</v>
      </c>
      <c r="E261" s="3" t="str">
        <f>HYPERLINK("https://docs.legis.wisconsin.gov/2019/proposals/ab354","AB 0354")</f>
        <v>AB 0354</v>
      </c>
      <c r="F261" s="19"/>
      <c r="G261" s="5"/>
      <c r="H261" s="5"/>
      <c r="I261" s="8"/>
      <c r="J261" s="8"/>
      <c r="K261" s="5"/>
      <c r="L261" s="14"/>
      <c r="M261" s="5"/>
      <c r="N261" s="5"/>
      <c r="O261" s="5"/>
      <c r="P261" s="9"/>
      <c r="Q261" s="9"/>
      <c r="R261" s="9"/>
      <c r="S261" s="9"/>
      <c r="T261" s="9"/>
      <c r="U261" s="9"/>
      <c r="V261" s="9"/>
      <c r="W261" s="9"/>
      <c r="X261" s="9"/>
      <c r="Y261" s="9"/>
      <c r="Z261" s="9"/>
      <c r="AA261" s="9"/>
      <c r="AB261" s="9"/>
      <c r="AC261" s="9"/>
      <c r="AD261" s="9"/>
      <c r="AE261" s="9"/>
      <c r="AF261" s="9"/>
      <c r="AG261" s="9"/>
    </row>
    <row r="262" spans="1:33" ht="24" x14ac:dyDescent="0.2">
      <c r="A262" s="3" t="str">
        <f>HYPERLINK("https://docs.legis.wisconsin.gov/2019/proposals/reg/sen/bill/sb334","SB 0334")</f>
        <v>SB 0334</v>
      </c>
      <c r="B262" s="4" t="s">
        <v>137</v>
      </c>
      <c r="C262" s="19" t="s">
        <v>311</v>
      </c>
      <c r="D262" s="6">
        <v>43685</v>
      </c>
      <c r="E262" s="3" t="str">
        <f>HYPERLINK("https://docs.legis.wisconsin.gov/2019/proposals/ab361","AB 0361")</f>
        <v>AB 0361</v>
      </c>
      <c r="F262" s="7"/>
      <c r="G262" s="5"/>
      <c r="H262" s="5"/>
      <c r="I262" s="8"/>
      <c r="J262" s="8"/>
      <c r="K262" s="5"/>
      <c r="L262" s="14"/>
      <c r="M262" s="5"/>
      <c r="N262" s="3" t="str">
        <f>HYPERLINK("https://docs.legis.wisconsin.gov/2019/related/acts/75","75")</f>
        <v>75</v>
      </c>
      <c r="O262" s="14"/>
      <c r="P262" s="9"/>
      <c r="Q262" s="9"/>
      <c r="R262" s="9"/>
      <c r="S262" s="9"/>
      <c r="T262" s="9"/>
      <c r="U262" s="9"/>
      <c r="V262" s="9"/>
      <c r="W262" s="9"/>
      <c r="X262" s="9"/>
      <c r="Y262" s="9"/>
      <c r="Z262" s="9"/>
      <c r="AA262" s="9"/>
      <c r="AB262" s="9"/>
      <c r="AC262" s="9"/>
      <c r="AD262" s="9"/>
      <c r="AE262" s="9"/>
      <c r="AF262" s="9"/>
      <c r="AG262" s="9"/>
    </row>
    <row r="263" spans="1:33" ht="24" x14ac:dyDescent="0.2">
      <c r="A263" s="3" t="str">
        <f>HYPERLINK("https://docs.legis.wisconsin.gov/2019/proposals/reg/sen/bill/sb340","SB 0340")</f>
        <v>SB 0340</v>
      </c>
      <c r="B263" s="4" t="s">
        <v>333</v>
      </c>
      <c r="C263" s="19" t="s">
        <v>334</v>
      </c>
      <c r="D263" s="6">
        <v>43685</v>
      </c>
      <c r="E263" s="3" t="str">
        <f>HYPERLINK("https://docs.legis.wisconsin.gov/2019/proposals/ab411","AB 0411")</f>
        <v>AB 0411</v>
      </c>
      <c r="F263" s="7"/>
      <c r="G263" s="5"/>
      <c r="H263" s="5"/>
      <c r="I263" s="17"/>
      <c r="J263" s="17"/>
      <c r="K263" s="14"/>
      <c r="L263" s="14"/>
      <c r="M263" s="5"/>
      <c r="N263" s="5"/>
      <c r="O263" s="5"/>
      <c r="P263" s="9"/>
      <c r="Q263" s="9"/>
      <c r="R263" s="9"/>
      <c r="S263" s="9"/>
      <c r="T263" s="9"/>
      <c r="U263" s="9"/>
      <c r="V263" s="9"/>
      <c r="W263" s="9"/>
      <c r="X263" s="9"/>
      <c r="Y263" s="9"/>
      <c r="Z263" s="9"/>
      <c r="AA263" s="9"/>
      <c r="AB263" s="9"/>
      <c r="AC263" s="9"/>
      <c r="AD263" s="9"/>
      <c r="AE263" s="9"/>
      <c r="AF263" s="9"/>
      <c r="AG263" s="9"/>
    </row>
    <row r="264" spans="1:33" ht="12.75" x14ac:dyDescent="0.2">
      <c r="A264" s="3" t="str">
        <f>HYPERLINK("https://docs.legis.wisconsin.gov/2019/proposals/reg/sen/bill/sb341","SB 0341")</f>
        <v>SB 0341</v>
      </c>
      <c r="B264" s="4" t="s">
        <v>144</v>
      </c>
      <c r="C264" s="19" t="s">
        <v>303</v>
      </c>
      <c r="D264" s="6">
        <v>43685</v>
      </c>
      <c r="E264" s="3" t="str">
        <f>HYPERLINK("https://docs.legis.wisconsin.gov/2019/proposals/ab373","AB 0373")</f>
        <v>AB 0373</v>
      </c>
      <c r="F264" s="19"/>
      <c r="G264" s="5"/>
      <c r="H264" s="5"/>
      <c r="I264" s="8"/>
      <c r="J264" s="8"/>
      <c r="K264" s="5"/>
      <c r="L264" s="14"/>
      <c r="M264" s="5"/>
      <c r="N264" s="5"/>
      <c r="O264" s="5"/>
      <c r="P264" s="9"/>
      <c r="Q264" s="9"/>
      <c r="R264" s="9"/>
      <c r="S264" s="9"/>
      <c r="T264" s="9"/>
      <c r="U264" s="9"/>
      <c r="V264" s="9"/>
      <c r="W264" s="9"/>
      <c r="X264" s="9"/>
      <c r="Y264" s="9"/>
      <c r="Z264" s="9"/>
      <c r="AA264" s="9"/>
      <c r="AB264" s="9"/>
      <c r="AC264" s="9"/>
      <c r="AD264" s="9"/>
      <c r="AE264" s="9"/>
      <c r="AF264" s="9"/>
      <c r="AG264" s="9"/>
    </row>
    <row r="265" spans="1:33" ht="72" x14ac:dyDescent="0.2">
      <c r="A265" s="3" t="str">
        <f>HYPERLINK("https://docs.legis.wisconsin.gov/2019/proposals/reg/sen/bill/sb342","SB 0342")</f>
        <v>SB 0342</v>
      </c>
      <c r="B265" s="4" t="s">
        <v>142</v>
      </c>
      <c r="C265" s="19" t="s">
        <v>303</v>
      </c>
      <c r="D265" s="6">
        <v>43685</v>
      </c>
      <c r="E265" s="3" t="str">
        <f>HYPERLINK("https://docs.legis.wisconsin.gov/2019/proposals/ab371","AB 0371")</f>
        <v>AB 0371</v>
      </c>
      <c r="F265" s="19"/>
      <c r="G265" s="5"/>
      <c r="H265" s="5"/>
      <c r="I265" s="8"/>
      <c r="J265" s="8"/>
      <c r="K265" s="5"/>
      <c r="L265" s="14"/>
      <c r="M265" s="5"/>
      <c r="N265" s="5"/>
      <c r="O265" s="5"/>
      <c r="P265" s="9"/>
      <c r="Q265" s="9"/>
      <c r="R265" s="9"/>
      <c r="S265" s="9"/>
      <c r="T265" s="9"/>
      <c r="U265" s="9"/>
      <c r="V265" s="9"/>
      <c r="W265" s="9"/>
      <c r="X265" s="9"/>
      <c r="Y265" s="9"/>
      <c r="Z265" s="9"/>
      <c r="AA265" s="9"/>
      <c r="AB265" s="9"/>
      <c r="AC265" s="9"/>
      <c r="AD265" s="9"/>
      <c r="AE265" s="9"/>
      <c r="AF265" s="9"/>
      <c r="AG265" s="9"/>
    </row>
    <row r="266" spans="1:33" ht="24" x14ac:dyDescent="0.2">
      <c r="A266" s="3" t="str">
        <f>HYPERLINK("https://docs.legis.wisconsin.gov/2019/proposals/reg/sen/bill/sb343","SB 0343")</f>
        <v>SB 0343</v>
      </c>
      <c r="B266" s="4" t="s">
        <v>140</v>
      </c>
      <c r="C266" s="19" t="s">
        <v>303</v>
      </c>
      <c r="D266" s="6">
        <v>43685</v>
      </c>
      <c r="E266" s="3" t="str">
        <f>HYPERLINK("https://docs.legis.wisconsin.gov/2019/proposals/ab369","AB 0369")</f>
        <v>AB 0369</v>
      </c>
      <c r="F266" s="7"/>
      <c r="G266" s="5"/>
      <c r="H266" s="5"/>
      <c r="I266" s="8"/>
      <c r="J266" s="8"/>
      <c r="K266" s="5"/>
      <c r="L266" s="14"/>
      <c r="M266" s="5"/>
      <c r="N266" s="5"/>
      <c r="O266" s="5"/>
      <c r="P266" s="9"/>
      <c r="Q266" s="9"/>
      <c r="R266" s="9"/>
      <c r="S266" s="9"/>
      <c r="T266" s="9"/>
      <c r="U266" s="9"/>
      <c r="V266" s="9"/>
      <c r="W266" s="9"/>
      <c r="X266" s="9"/>
      <c r="Y266" s="9"/>
      <c r="Z266" s="9"/>
      <c r="AA266" s="9"/>
      <c r="AB266" s="9"/>
      <c r="AC266" s="9"/>
      <c r="AD266" s="9"/>
      <c r="AE266" s="9"/>
      <c r="AF266" s="9"/>
      <c r="AG266" s="9"/>
    </row>
    <row r="267" spans="1:33" ht="12.75" x14ac:dyDescent="0.2">
      <c r="A267" s="3" t="str">
        <f>HYPERLINK("https://docs.legis.wisconsin.gov/2019/proposals/reg/sen/bill/sb347","SB 0347")</f>
        <v>SB 0347</v>
      </c>
      <c r="B267" s="4" t="s">
        <v>335</v>
      </c>
      <c r="C267" s="19" t="s">
        <v>321</v>
      </c>
      <c r="D267" s="6">
        <v>43691</v>
      </c>
      <c r="E267" s="3" t="str">
        <f>HYPERLINK("https://docs.legis.wisconsin.gov/2019/proposals/ab377","AB 0377")</f>
        <v>AB 0377</v>
      </c>
      <c r="F267" s="13" t="str">
        <f>HYPERLINK("https://docs.legis.wisconsin.gov/2019/related/fe/sb347","Y")</f>
        <v>Y</v>
      </c>
      <c r="G267" s="14"/>
      <c r="H267" s="5"/>
      <c r="I267" s="8"/>
      <c r="J267" s="8"/>
      <c r="K267" s="5"/>
      <c r="L267" s="14"/>
      <c r="M267" s="5"/>
      <c r="N267" s="5"/>
      <c r="O267" s="5"/>
      <c r="P267" s="9"/>
      <c r="Q267" s="9"/>
      <c r="R267" s="9"/>
      <c r="S267" s="9"/>
      <c r="T267" s="9"/>
      <c r="U267" s="9"/>
      <c r="V267" s="9"/>
      <c r="W267" s="9"/>
      <c r="X267" s="9"/>
      <c r="Y267" s="9"/>
      <c r="Z267" s="9"/>
      <c r="AA267" s="9"/>
      <c r="AB267" s="9"/>
      <c r="AC267" s="9"/>
      <c r="AD267" s="9"/>
      <c r="AE267" s="9"/>
      <c r="AF267" s="9"/>
      <c r="AG267" s="9"/>
    </row>
    <row r="268" spans="1:33" ht="24" x14ac:dyDescent="0.2">
      <c r="A268" s="3" t="str">
        <f>HYPERLINK("https://docs.legis.wisconsin.gov/2019/proposals/reg/sen/bill/sb354","SB 0354")</f>
        <v>SB 0354</v>
      </c>
      <c r="B268" s="4" t="s">
        <v>336</v>
      </c>
      <c r="C268" s="19" t="s">
        <v>319</v>
      </c>
      <c r="D268" s="6">
        <v>43699</v>
      </c>
      <c r="E268" s="14"/>
      <c r="F268" s="7"/>
      <c r="G268" s="5"/>
      <c r="H268" s="5"/>
      <c r="I268" s="8"/>
      <c r="J268" s="8"/>
      <c r="K268" s="5"/>
      <c r="L268" s="14"/>
      <c r="M268" s="5"/>
      <c r="N268" s="5"/>
      <c r="O268" s="5"/>
      <c r="P268" s="9"/>
      <c r="Q268" s="9"/>
      <c r="R268" s="9"/>
      <c r="S268" s="9"/>
      <c r="T268" s="9"/>
      <c r="U268" s="9"/>
      <c r="V268" s="9"/>
      <c r="W268" s="9"/>
      <c r="X268" s="9"/>
      <c r="Y268" s="9"/>
      <c r="Z268" s="9"/>
      <c r="AA268" s="9"/>
      <c r="AB268" s="9"/>
      <c r="AC268" s="9"/>
      <c r="AD268" s="9"/>
      <c r="AE268" s="9"/>
      <c r="AF268" s="9"/>
      <c r="AG268" s="9"/>
    </row>
    <row r="269" spans="1:33" ht="24" x14ac:dyDescent="0.2">
      <c r="A269" s="3" t="str">
        <f>HYPERLINK("https://docs.legis.wisconsin.gov/2019/proposals/reg/sen/bill/sb355","SB 0355")</f>
        <v>SB 0355</v>
      </c>
      <c r="B269" s="4" t="s">
        <v>337</v>
      </c>
      <c r="C269" s="19" t="s">
        <v>334</v>
      </c>
      <c r="D269" s="6">
        <v>43699</v>
      </c>
      <c r="E269" s="3" t="str">
        <f>HYPERLINK("https://docs.legis.wisconsin.gov/2019/proposals/ab389","AB 0389")</f>
        <v>AB 0389</v>
      </c>
      <c r="F269" s="19"/>
      <c r="G269" s="5"/>
      <c r="H269" s="5"/>
      <c r="I269" s="8"/>
      <c r="J269" s="8"/>
      <c r="K269" s="5"/>
      <c r="L269" s="14"/>
      <c r="M269" s="5"/>
      <c r="N269" s="5"/>
      <c r="O269" s="5"/>
      <c r="P269" s="9"/>
      <c r="Q269" s="9"/>
      <c r="R269" s="9"/>
      <c r="S269" s="9"/>
      <c r="T269" s="9"/>
      <c r="U269" s="9"/>
      <c r="V269" s="9"/>
      <c r="W269" s="9"/>
      <c r="X269" s="9"/>
      <c r="Y269" s="9"/>
      <c r="Z269" s="9"/>
      <c r="AA269" s="9"/>
      <c r="AB269" s="9"/>
      <c r="AC269" s="9"/>
      <c r="AD269" s="9"/>
      <c r="AE269" s="9"/>
      <c r="AF269" s="9"/>
      <c r="AG269" s="9"/>
    </row>
    <row r="270" spans="1:33" ht="24" x14ac:dyDescent="0.2">
      <c r="A270" s="3" t="str">
        <f>HYPERLINK("https://docs.legis.wisconsin.gov/2019/proposals/reg/sen/bill/sb356","SB 0356")</f>
        <v>SB 0356</v>
      </c>
      <c r="B270" s="4" t="s">
        <v>159</v>
      </c>
      <c r="C270" s="19" t="s">
        <v>334</v>
      </c>
      <c r="D270" s="6">
        <v>43699</v>
      </c>
      <c r="E270" s="3" t="str">
        <f>HYPERLINK("https://docs.legis.wisconsin.gov/2019/proposals/ab392","AB 0392")</f>
        <v>AB 0392</v>
      </c>
      <c r="F270" s="7"/>
      <c r="G270" s="5"/>
      <c r="H270" s="5"/>
      <c r="I270" s="8"/>
      <c r="J270" s="8"/>
      <c r="K270" s="5"/>
      <c r="L270" s="14"/>
      <c r="M270" s="5"/>
      <c r="N270" s="5"/>
      <c r="O270" s="5"/>
      <c r="P270" s="9"/>
      <c r="Q270" s="9"/>
      <c r="R270" s="9"/>
      <c r="S270" s="9"/>
      <c r="T270" s="9"/>
      <c r="U270" s="9"/>
      <c r="V270" s="9"/>
      <c r="W270" s="9"/>
      <c r="X270" s="9"/>
      <c r="Y270" s="9"/>
      <c r="Z270" s="9"/>
      <c r="AA270" s="9"/>
      <c r="AB270" s="9"/>
      <c r="AC270" s="9"/>
      <c r="AD270" s="9"/>
      <c r="AE270" s="9"/>
      <c r="AF270" s="9"/>
      <c r="AG270" s="9"/>
    </row>
    <row r="271" spans="1:33" ht="24" x14ac:dyDescent="0.2">
      <c r="A271" s="3" t="str">
        <f>HYPERLINK("https://docs.legis.wisconsin.gov/2019/proposals/reg/sen/bill/sb357","SB 0357")</f>
        <v>SB 0357</v>
      </c>
      <c r="B271" s="4" t="s">
        <v>153</v>
      </c>
      <c r="C271" s="19" t="s">
        <v>334</v>
      </c>
      <c r="D271" s="6">
        <v>43699</v>
      </c>
      <c r="E271" s="3" t="str">
        <f>HYPERLINK("https://docs.legis.wisconsin.gov/2019/proposals/ab387","AB 0387")</f>
        <v>AB 0387</v>
      </c>
      <c r="F271" s="7"/>
      <c r="G271" s="5"/>
      <c r="H271" s="5"/>
      <c r="I271" s="8"/>
      <c r="J271" s="8"/>
      <c r="K271" s="5"/>
      <c r="L271" s="14"/>
      <c r="M271" s="5"/>
      <c r="N271" s="5"/>
      <c r="O271" s="5"/>
      <c r="P271" s="9"/>
      <c r="Q271" s="9"/>
      <c r="R271" s="9"/>
      <c r="S271" s="9"/>
      <c r="T271" s="9"/>
      <c r="U271" s="9"/>
      <c r="V271" s="9"/>
      <c r="W271" s="9"/>
      <c r="X271" s="9"/>
      <c r="Y271" s="9"/>
      <c r="Z271" s="9"/>
      <c r="AA271" s="9"/>
      <c r="AB271" s="9"/>
      <c r="AC271" s="9"/>
      <c r="AD271" s="9"/>
      <c r="AE271" s="9"/>
      <c r="AF271" s="9"/>
      <c r="AG271" s="9"/>
    </row>
    <row r="272" spans="1:33" ht="24" x14ac:dyDescent="0.2">
      <c r="A272" s="3" t="str">
        <f>HYPERLINK("https://docs.legis.wisconsin.gov/2019/proposals/reg/sen/bill/sb358","SB 0358")</f>
        <v>SB 0358</v>
      </c>
      <c r="B272" s="4" t="s">
        <v>155</v>
      </c>
      <c r="C272" s="19" t="s">
        <v>334</v>
      </c>
      <c r="D272" s="6">
        <v>43699</v>
      </c>
      <c r="E272" s="3" t="str">
        <f>HYPERLINK("https://docs.legis.wisconsin.gov/2019/proposals/ab388","AB 0388")</f>
        <v>AB 0388</v>
      </c>
      <c r="F272" s="19"/>
      <c r="G272" s="5"/>
      <c r="H272" s="5"/>
      <c r="I272" s="8"/>
      <c r="J272" s="8"/>
      <c r="K272" s="5"/>
      <c r="L272" s="14"/>
      <c r="M272" s="5"/>
      <c r="N272" s="5"/>
      <c r="O272" s="5"/>
      <c r="P272" s="9"/>
      <c r="Q272" s="9"/>
      <c r="R272" s="9"/>
      <c r="S272" s="9"/>
      <c r="T272" s="9"/>
      <c r="U272" s="9"/>
      <c r="V272" s="9"/>
      <c r="W272" s="9"/>
      <c r="X272" s="9"/>
      <c r="Y272" s="9"/>
      <c r="Z272" s="9"/>
      <c r="AA272" s="9"/>
      <c r="AB272" s="9"/>
      <c r="AC272" s="9"/>
      <c r="AD272" s="9"/>
      <c r="AE272" s="9"/>
      <c r="AF272" s="9"/>
      <c r="AG272" s="9"/>
    </row>
    <row r="273" spans="1:33" ht="36" x14ac:dyDescent="0.2">
      <c r="A273" s="3" t="str">
        <f>HYPERLINK("https://docs.legis.wisconsin.gov/2019/proposals/reg/sen/bill/sb359","SB 0359")</f>
        <v>SB 0359</v>
      </c>
      <c r="B273" s="4" t="s">
        <v>157</v>
      </c>
      <c r="C273" s="19" t="s">
        <v>334</v>
      </c>
      <c r="D273" s="6">
        <v>43699</v>
      </c>
      <c r="E273" s="3" t="str">
        <f>HYPERLINK("https://docs.legis.wisconsin.gov/2019/proposals/ab390","AB 0390")</f>
        <v>AB 0390</v>
      </c>
      <c r="F273" s="7"/>
      <c r="G273" s="5"/>
      <c r="H273" s="5"/>
      <c r="I273" s="8"/>
      <c r="J273" s="8"/>
      <c r="K273" s="5"/>
      <c r="L273" s="14"/>
      <c r="M273" s="5"/>
      <c r="N273" s="5"/>
      <c r="O273" s="5"/>
      <c r="P273" s="9"/>
      <c r="Q273" s="9"/>
      <c r="R273" s="9"/>
      <c r="S273" s="9"/>
      <c r="T273" s="9"/>
      <c r="U273" s="9"/>
      <c r="V273" s="9"/>
      <c r="W273" s="9"/>
      <c r="X273" s="9"/>
      <c r="Y273" s="9"/>
      <c r="Z273" s="9"/>
      <c r="AA273" s="9"/>
      <c r="AB273" s="9"/>
      <c r="AC273" s="9"/>
      <c r="AD273" s="9"/>
      <c r="AE273" s="9"/>
      <c r="AF273" s="9"/>
      <c r="AG273" s="9"/>
    </row>
    <row r="274" spans="1:33" ht="36" x14ac:dyDescent="0.2">
      <c r="A274" s="3" t="str">
        <f>HYPERLINK("https://docs.legis.wisconsin.gov/2019/proposals/reg/sen/bill/sb360","SB 0360")</f>
        <v>SB 0360</v>
      </c>
      <c r="B274" s="4" t="s">
        <v>158</v>
      </c>
      <c r="C274" s="19" t="s">
        <v>334</v>
      </c>
      <c r="D274" s="6">
        <v>43699</v>
      </c>
      <c r="E274" s="3" t="str">
        <f>HYPERLINK("https://docs.legis.wisconsin.gov/2019/proposals/ab391","AB 0391")</f>
        <v>AB 0391</v>
      </c>
      <c r="F274" s="7"/>
      <c r="G274" s="5"/>
      <c r="H274" s="5"/>
      <c r="I274" s="8"/>
      <c r="J274" s="8"/>
      <c r="K274" s="5"/>
      <c r="L274" s="14"/>
      <c r="M274" s="5"/>
      <c r="N274" s="14"/>
      <c r="O274" s="5"/>
      <c r="P274" s="9"/>
      <c r="Q274" s="9"/>
      <c r="R274" s="9"/>
      <c r="S274" s="9"/>
      <c r="T274" s="9"/>
      <c r="U274" s="9"/>
      <c r="V274" s="9"/>
      <c r="W274" s="9"/>
      <c r="X274" s="9"/>
      <c r="Y274" s="9"/>
      <c r="Z274" s="9"/>
      <c r="AA274" s="9"/>
      <c r="AB274" s="9"/>
      <c r="AC274" s="9"/>
      <c r="AD274" s="9"/>
      <c r="AE274" s="9"/>
      <c r="AF274" s="9"/>
      <c r="AG274" s="9"/>
    </row>
    <row r="275" spans="1:33" ht="48" x14ac:dyDescent="0.2">
      <c r="A275" s="3" t="str">
        <f>HYPERLINK("https://docs.legis.wisconsin.gov/2019/proposals/reg/sen/bill/sb364","SB 0364")</f>
        <v>SB 0364</v>
      </c>
      <c r="B275" s="4" t="s">
        <v>166</v>
      </c>
      <c r="C275" s="19" t="s">
        <v>319</v>
      </c>
      <c r="D275" s="6">
        <v>43699</v>
      </c>
      <c r="E275" s="3" t="str">
        <f>HYPERLINK("https://docs.legis.wisconsin.gov/2019/proposals/ab422","AB 0422")</f>
        <v>AB 0422</v>
      </c>
      <c r="F275" s="7"/>
      <c r="G275" s="5"/>
      <c r="H275" s="5"/>
      <c r="I275" s="8"/>
      <c r="J275" s="8"/>
      <c r="K275" s="5"/>
      <c r="L275" s="14"/>
      <c r="M275" s="5"/>
      <c r="N275" s="5"/>
      <c r="O275" s="5"/>
      <c r="P275" s="9"/>
      <c r="Q275" s="9"/>
      <c r="R275" s="9"/>
      <c r="S275" s="9"/>
      <c r="T275" s="9"/>
      <c r="U275" s="9"/>
      <c r="V275" s="9"/>
      <c r="W275" s="9"/>
      <c r="X275" s="9"/>
      <c r="Y275" s="9"/>
      <c r="Z275" s="9"/>
      <c r="AA275" s="9"/>
      <c r="AB275" s="9"/>
      <c r="AC275" s="9"/>
      <c r="AD275" s="9"/>
      <c r="AE275" s="9"/>
      <c r="AF275" s="9"/>
      <c r="AG275" s="9"/>
    </row>
    <row r="276" spans="1:33" ht="24" x14ac:dyDescent="0.2">
      <c r="A276" s="3" t="str">
        <f>HYPERLINK("https://docs.legis.wisconsin.gov/2019/proposals/ab391","SB 0373")</f>
        <v>SB 0373</v>
      </c>
      <c r="B276" s="4" t="s">
        <v>160</v>
      </c>
      <c r="C276" s="19" t="s">
        <v>338</v>
      </c>
      <c r="D276" s="6">
        <v>43706</v>
      </c>
      <c r="E276" s="3" t="str">
        <f>HYPERLINK("https://docs.legis.wisconsin.gov/2019/proposals/ab393","AB 0393")</f>
        <v>AB 0393</v>
      </c>
      <c r="F276" s="19"/>
      <c r="G276" s="5"/>
      <c r="H276" s="5"/>
      <c r="I276" s="8"/>
      <c r="J276" s="8"/>
      <c r="K276" s="5"/>
      <c r="L276" s="14"/>
      <c r="M276" s="5"/>
      <c r="N276" s="5"/>
      <c r="O276" s="5"/>
      <c r="P276" s="9"/>
      <c r="Q276" s="9"/>
      <c r="R276" s="9"/>
      <c r="S276" s="9"/>
      <c r="T276" s="9"/>
      <c r="U276" s="9"/>
      <c r="V276" s="9"/>
      <c r="W276" s="9"/>
      <c r="X276" s="9"/>
      <c r="Y276" s="9"/>
      <c r="Z276" s="9"/>
      <c r="AA276" s="9"/>
      <c r="AB276" s="9"/>
      <c r="AC276" s="9"/>
      <c r="AD276" s="9"/>
      <c r="AE276" s="9"/>
      <c r="AF276" s="9"/>
      <c r="AG276" s="9"/>
    </row>
    <row r="277" spans="1:33" ht="60" x14ac:dyDescent="0.2">
      <c r="A277" s="3" t="str">
        <f>HYPERLINK("https://docs.legis.wisconsin.gov/2019/proposals/reg/sen/bill/sb378","SB 0378")</f>
        <v>SB 0378</v>
      </c>
      <c r="B277" s="4" t="s">
        <v>188</v>
      </c>
      <c r="C277" s="19" t="s">
        <v>315</v>
      </c>
      <c r="D277" s="6">
        <v>43706</v>
      </c>
      <c r="E277" s="3" t="str">
        <f>HYPERLINK("https://docs.legis.wisconsin.gov/2019/proposals/ab487","AB 0487")</f>
        <v>AB 0487</v>
      </c>
      <c r="F277" s="7"/>
      <c r="G277" s="5"/>
      <c r="H277" s="5"/>
      <c r="I277" s="8"/>
      <c r="J277" s="8"/>
      <c r="K277" s="5"/>
      <c r="L277" s="14"/>
      <c r="M277" s="5"/>
      <c r="N277" s="5"/>
      <c r="O277" s="5"/>
      <c r="P277" s="9"/>
      <c r="Q277" s="9"/>
      <c r="R277" s="9"/>
      <c r="S277" s="9"/>
      <c r="T277" s="9"/>
      <c r="U277" s="9"/>
      <c r="V277" s="9"/>
      <c r="W277" s="9"/>
      <c r="X277" s="9"/>
      <c r="Y277" s="9"/>
      <c r="Z277" s="9"/>
      <c r="AA277" s="9"/>
      <c r="AB277" s="9"/>
      <c r="AC277" s="9"/>
      <c r="AD277" s="9"/>
      <c r="AE277" s="9"/>
      <c r="AF277" s="9"/>
      <c r="AG277" s="9"/>
    </row>
    <row r="278" spans="1:33" ht="48" x14ac:dyDescent="0.2">
      <c r="A278" s="3" t="str">
        <f>HYPERLINK("https://docs.legis.wisconsin.gov/2019/proposals/reg/sen/bill/sb388","SB 0388")</f>
        <v>SB 0388</v>
      </c>
      <c r="B278" s="4" t="s">
        <v>141</v>
      </c>
      <c r="C278" s="19" t="s">
        <v>320</v>
      </c>
      <c r="D278" s="6">
        <v>43713</v>
      </c>
      <c r="E278" s="3" t="str">
        <f>HYPERLINK("https://docs.legis.wisconsin.gov/2019/proposals/ab370","AB 0370")</f>
        <v>AB 0370</v>
      </c>
      <c r="F278" s="7"/>
      <c r="G278" s="5"/>
      <c r="H278" s="5"/>
      <c r="I278" s="17"/>
      <c r="J278" s="17"/>
      <c r="K278" s="14"/>
      <c r="L278" s="14"/>
      <c r="M278" s="5"/>
      <c r="N278" s="14"/>
      <c r="O278" s="14"/>
      <c r="P278" s="9"/>
      <c r="Q278" s="9"/>
      <c r="R278" s="9"/>
      <c r="S278" s="9"/>
      <c r="T278" s="9"/>
      <c r="U278" s="9"/>
      <c r="V278" s="9"/>
      <c r="W278" s="9"/>
      <c r="X278" s="9"/>
      <c r="Y278" s="9"/>
      <c r="Z278" s="9"/>
      <c r="AA278" s="9"/>
      <c r="AB278" s="9"/>
      <c r="AC278" s="9"/>
      <c r="AD278" s="9"/>
      <c r="AE278" s="9"/>
      <c r="AF278" s="9"/>
      <c r="AG278" s="9"/>
    </row>
    <row r="279" spans="1:33" ht="24" x14ac:dyDescent="0.2">
      <c r="A279" s="3" t="str">
        <f>HYPERLINK("https://docs.legis.wisconsin.gov/2019/proposals/reg/sen/bill/sb397","SB 0397")</f>
        <v>SB 0397</v>
      </c>
      <c r="B279" s="4" t="s">
        <v>339</v>
      </c>
      <c r="C279" s="19" t="s">
        <v>329</v>
      </c>
      <c r="D279" s="6">
        <v>43724</v>
      </c>
      <c r="E279" s="3" t="str">
        <f>HYPERLINK("https://docs.legis.wisconsin.gov/2019/proposals/ab449","AB 0449")</f>
        <v>AB 0449</v>
      </c>
      <c r="F279" s="7"/>
      <c r="G279" s="5"/>
      <c r="H279" s="5"/>
      <c r="I279" s="8"/>
      <c r="J279" s="8"/>
      <c r="K279" s="5"/>
      <c r="L279" s="14"/>
      <c r="M279" s="5"/>
      <c r="N279" s="14"/>
      <c r="O279" s="14"/>
      <c r="P279" s="9"/>
      <c r="Q279" s="9"/>
      <c r="R279" s="9"/>
      <c r="S279" s="9"/>
      <c r="T279" s="9"/>
      <c r="U279" s="9"/>
      <c r="V279" s="9"/>
      <c r="W279" s="9"/>
      <c r="X279" s="9"/>
      <c r="Y279" s="9"/>
      <c r="Z279" s="9"/>
      <c r="AA279" s="9"/>
      <c r="AB279" s="9"/>
      <c r="AC279" s="9"/>
      <c r="AD279" s="9"/>
      <c r="AE279" s="9"/>
      <c r="AF279" s="9"/>
      <c r="AG279" s="9"/>
    </row>
    <row r="280" spans="1:33" ht="36" x14ac:dyDescent="0.2">
      <c r="A280" s="3" t="str">
        <f>HYPERLINK("https://docs.legis.wisconsin.gov/2019/proposals/reg/sen/bill/sb403","SB 0403")</f>
        <v>SB 0403</v>
      </c>
      <c r="B280" s="4" t="s">
        <v>169</v>
      </c>
      <c r="C280" s="19" t="s">
        <v>340</v>
      </c>
      <c r="D280" s="6">
        <v>43714</v>
      </c>
      <c r="E280" s="3" t="str">
        <f>HYPERLINK("https://docs.legis.wisconsin.gov/2019/proposals/ab444","AB 0444")</f>
        <v>AB 0444</v>
      </c>
      <c r="F280" s="7"/>
      <c r="G280" s="5"/>
      <c r="H280" s="5"/>
      <c r="I280" s="8"/>
      <c r="J280" s="8"/>
      <c r="K280" s="5"/>
      <c r="L280" s="14"/>
      <c r="M280" s="5"/>
      <c r="N280" s="5"/>
      <c r="O280" s="5"/>
      <c r="P280" s="9"/>
      <c r="Q280" s="9"/>
      <c r="R280" s="9"/>
      <c r="S280" s="9"/>
      <c r="T280" s="9"/>
      <c r="U280" s="9"/>
      <c r="V280" s="9"/>
      <c r="W280" s="9"/>
      <c r="X280" s="9"/>
      <c r="Y280" s="9"/>
      <c r="Z280" s="9"/>
      <c r="AA280" s="9"/>
      <c r="AB280" s="9"/>
      <c r="AC280" s="9"/>
      <c r="AD280" s="9"/>
      <c r="AE280" s="9"/>
      <c r="AF280" s="9"/>
      <c r="AG280" s="9"/>
    </row>
    <row r="281" spans="1:33" ht="24" x14ac:dyDescent="0.2">
      <c r="A281" s="3" t="str">
        <f>HYPERLINK("https://docs.legis.wisconsin.gov/2019/proposals/reg/sen/bill/sb407","SB 0407")</f>
        <v>SB 0407</v>
      </c>
      <c r="B281" s="4" t="s">
        <v>181</v>
      </c>
      <c r="C281" s="19" t="s">
        <v>313</v>
      </c>
      <c r="D281" s="6">
        <v>43724</v>
      </c>
      <c r="E281" s="3" t="str">
        <f>HYPERLINK("https://docs.legis.wisconsin.gov/2019/proposals/ab464","AB 0464")</f>
        <v>AB 0464</v>
      </c>
      <c r="F281" s="13" t="str">
        <f>HYPERLINK("https://docs.legis.wisconsin.gov/2019/related/fe/sb407","Y")</f>
        <v>Y</v>
      </c>
      <c r="G281" s="14"/>
      <c r="H281" s="14"/>
      <c r="I281" s="17"/>
      <c r="J281" s="17"/>
      <c r="K281" s="14"/>
      <c r="L281" s="14"/>
      <c r="M281" s="3" t="str">
        <f>HYPERLINK("https://docs.legis.wisconsin.gov/misc/lc/hearing_testimony_and_materials/2019/sb407","Information")</f>
        <v>Information</v>
      </c>
      <c r="N281" s="5"/>
      <c r="O281" s="5"/>
      <c r="P281" s="9"/>
      <c r="Q281" s="9"/>
      <c r="R281" s="9"/>
      <c r="S281" s="9"/>
      <c r="T281" s="9"/>
      <c r="U281" s="9"/>
      <c r="V281" s="9"/>
      <c r="W281" s="9"/>
      <c r="X281" s="9"/>
      <c r="Y281" s="9"/>
      <c r="Z281" s="9"/>
      <c r="AA281" s="9"/>
      <c r="AB281" s="9"/>
      <c r="AC281" s="9"/>
      <c r="AD281" s="9"/>
      <c r="AE281" s="9"/>
      <c r="AF281" s="9"/>
      <c r="AG281" s="9"/>
    </row>
    <row r="282" spans="1:33" ht="12.75" x14ac:dyDescent="0.2">
      <c r="A282" s="3" t="str">
        <f>HYPERLINK("https://docs.legis.wisconsin.gov/2019/proposals/reg/sen/bill/sb408","SB 0408")</f>
        <v>SB 0408</v>
      </c>
      <c r="B282" s="4" t="s">
        <v>182</v>
      </c>
      <c r="C282" s="19" t="s">
        <v>313</v>
      </c>
      <c r="D282" s="6">
        <v>43724</v>
      </c>
      <c r="E282" s="3" t="str">
        <f>HYPERLINK("https://docs.legis.wisconsin.gov/2019/proposals/ab465","AB 0465")</f>
        <v>AB 0465</v>
      </c>
      <c r="F282" s="13" t="str">
        <f>HYPERLINK("https://docs.legis.wisconsin.gov/2019/related/fe/sb408","Y")</f>
        <v>Y</v>
      </c>
      <c r="G282" s="14"/>
      <c r="H282" s="14"/>
      <c r="I282" s="17"/>
      <c r="J282" s="17"/>
      <c r="K282" s="14"/>
      <c r="L282" s="14"/>
      <c r="M282" s="3" t="str">
        <f>HYPERLINK("https://docs.legis.wisconsin.gov/misc/lc/hearing_testimony_and_materials/2019/sb408","Support")</f>
        <v>Support</v>
      </c>
      <c r="N282" s="14"/>
      <c r="O282" s="14"/>
      <c r="P282" s="9"/>
      <c r="Q282" s="9"/>
      <c r="R282" s="9"/>
      <c r="S282" s="9"/>
      <c r="T282" s="9"/>
      <c r="U282" s="9"/>
      <c r="V282" s="9"/>
      <c r="W282" s="9"/>
      <c r="X282" s="9"/>
      <c r="Y282" s="9"/>
      <c r="Z282" s="9"/>
      <c r="AA282" s="9"/>
      <c r="AB282" s="9"/>
      <c r="AC282" s="9"/>
      <c r="AD282" s="9"/>
      <c r="AE282" s="9"/>
      <c r="AF282" s="9"/>
      <c r="AG282" s="9"/>
    </row>
    <row r="283" spans="1:33" ht="36" x14ac:dyDescent="0.2">
      <c r="A283" s="3" t="str">
        <f>HYPERLINK("https://docs.legis.wisconsin.gov/2019/proposals/reg/sen/bill/sb409","SB 0409")</f>
        <v>SB 0409</v>
      </c>
      <c r="B283" s="4" t="s">
        <v>174</v>
      </c>
      <c r="C283" s="19" t="s">
        <v>313</v>
      </c>
      <c r="D283" s="6">
        <v>43724</v>
      </c>
      <c r="E283" s="3" t="str">
        <f>HYPERLINK("https://docs.legis.wisconsin.gov/2019/proposals/ab456","AB 0456")</f>
        <v>AB 0456</v>
      </c>
      <c r="F283" s="13" t="str">
        <f>HYPERLINK("https://docs.legis.wisconsin.gov/2019/related/fe/sb409","Y")</f>
        <v>Y</v>
      </c>
      <c r="G283" s="14"/>
      <c r="H283" s="14"/>
      <c r="I283" s="17"/>
      <c r="J283" s="17"/>
      <c r="K283" s="14"/>
      <c r="L283" s="14"/>
      <c r="M283" s="3" t="str">
        <f>HYPERLINK("https://docs.legis.wisconsin.gov/misc/lc/hearing_testimony_and_materials/2019/sb409","Information")</f>
        <v>Information</v>
      </c>
      <c r="N283" s="5"/>
      <c r="O283" s="5"/>
      <c r="P283" s="9"/>
      <c r="Q283" s="9"/>
      <c r="R283" s="9"/>
      <c r="S283" s="9"/>
      <c r="T283" s="9"/>
      <c r="U283" s="9"/>
      <c r="V283" s="9"/>
      <c r="W283" s="9"/>
      <c r="X283" s="9"/>
      <c r="Y283" s="9"/>
      <c r="Z283" s="9"/>
      <c r="AA283" s="9"/>
      <c r="AB283" s="9"/>
      <c r="AC283" s="9"/>
      <c r="AD283" s="9"/>
      <c r="AE283" s="9"/>
      <c r="AF283" s="9"/>
      <c r="AG283" s="9"/>
    </row>
    <row r="284" spans="1:33" ht="24" x14ac:dyDescent="0.2">
      <c r="A284" s="3" t="str">
        <f>HYPERLINK("https://docs.legis.wisconsin.gov/2019/proposals/reg/sen/bill/sb412","SB 0412")</f>
        <v>SB 0412</v>
      </c>
      <c r="B284" s="4" t="s">
        <v>168</v>
      </c>
      <c r="C284" s="19" t="s">
        <v>315</v>
      </c>
      <c r="D284" s="6">
        <v>43725</v>
      </c>
      <c r="E284" s="3" t="str">
        <f>HYPERLINK("https://docs.legis.wisconsin.gov/2019/proposals/ab442","AB 0442")</f>
        <v>AB 0442</v>
      </c>
      <c r="F284" s="13" t="str">
        <f>HYPERLINK("https://docs.legis.wisconsin.gov/2019/related/fe/sb412","Y")</f>
        <v>Y</v>
      </c>
      <c r="G284" s="14"/>
      <c r="H284" s="14"/>
      <c r="I284" s="17"/>
      <c r="J284" s="17"/>
      <c r="K284" s="14"/>
      <c r="L284" s="14"/>
      <c r="M284" s="3" t="str">
        <f>HYPERLINK("https://docs.legis.wisconsin.gov/misc/lc/hearing_testimony_and_materials/2019/sb412","Information")</f>
        <v>Information</v>
      </c>
      <c r="N284" s="5"/>
      <c r="O284" s="5"/>
      <c r="P284" s="9"/>
      <c r="Q284" s="9"/>
      <c r="R284" s="9"/>
      <c r="S284" s="9"/>
      <c r="T284" s="9"/>
      <c r="U284" s="9"/>
      <c r="V284" s="9"/>
      <c r="W284" s="9"/>
      <c r="X284" s="9"/>
      <c r="Y284" s="9"/>
      <c r="Z284" s="9"/>
      <c r="AA284" s="9"/>
      <c r="AB284" s="9"/>
      <c r="AC284" s="9"/>
      <c r="AD284" s="9"/>
      <c r="AE284" s="9"/>
      <c r="AF284" s="9"/>
      <c r="AG284" s="9"/>
    </row>
    <row r="285" spans="1:33" ht="36" x14ac:dyDescent="0.2">
      <c r="A285" s="3" t="str">
        <f>HYPERLINK("https://docs.legis.wisconsin.gov/2019/proposals/reg/sen/bill/sb413","SB 0413")</f>
        <v>SB 0413</v>
      </c>
      <c r="B285" s="4" t="s">
        <v>167</v>
      </c>
      <c r="C285" s="19" t="s">
        <v>315</v>
      </c>
      <c r="D285" s="6">
        <v>43725</v>
      </c>
      <c r="E285" s="3" t="str">
        <f>HYPERLINK("https://docs.legis.wisconsin.gov/2019/proposals/ab441","AB 0441")</f>
        <v>AB 0441</v>
      </c>
      <c r="F285" s="13" t="str">
        <f>HYPERLINK("https://docs.legis.wisconsin.gov/2019/related/fe/sb413","Y")</f>
        <v>Y</v>
      </c>
      <c r="G285" s="14"/>
      <c r="H285" s="14"/>
      <c r="I285" s="17"/>
      <c r="J285" s="17"/>
      <c r="K285" s="14"/>
      <c r="L285" s="14"/>
      <c r="M285" s="3" t="str">
        <f>HYPERLINK("https://docs.legis.wisconsin.gov/misc/lc/hearing_testimony_and_materials/2019/sb413","Information")</f>
        <v>Information</v>
      </c>
      <c r="N285" s="5"/>
      <c r="O285" s="5"/>
      <c r="P285" s="9"/>
      <c r="Q285" s="9"/>
      <c r="R285" s="9"/>
      <c r="S285" s="9"/>
      <c r="T285" s="9"/>
      <c r="U285" s="9"/>
      <c r="V285" s="9"/>
      <c r="W285" s="9"/>
      <c r="X285" s="9"/>
      <c r="Y285" s="9"/>
      <c r="Z285" s="9"/>
      <c r="AA285" s="9"/>
      <c r="AB285" s="9"/>
      <c r="AC285" s="9"/>
      <c r="AD285" s="9"/>
      <c r="AE285" s="9"/>
      <c r="AF285" s="9"/>
      <c r="AG285" s="9"/>
    </row>
    <row r="286" spans="1:33" ht="36" x14ac:dyDescent="0.2">
      <c r="A286" s="3" t="str">
        <f>HYPERLINK("https://docs.legis.wisconsin.gov/2019/proposals/reg/sen/bill/sb414","SB 0414")</f>
        <v>SB 0414</v>
      </c>
      <c r="B286" s="4" t="s">
        <v>175</v>
      </c>
      <c r="C286" s="19" t="s">
        <v>313</v>
      </c>
      <c r="D286" s="6">
        <v>43725</v>
      </c>
      <c r="E286" s="3" t="str">
        <f>HYPERLINK("https://docs.legis.wisconsin.gov/2019/proposals/ab459","AB 0459")</f>
        <v>AB 0459</v>
      </c>
      <c r="F286" s="13" t="str">
        <f>HYPERLINK("https://docs.legis.wisconsin.gov/2019/related/fe/sb414","Y")</f>
        <v>Y</v>
      </c>
      <c r="G286" s="14"/>
      <c r="H286" s="14"/>
      <c r="I286" s="17"/>
      <c r="J286" s="17"/>
      <c r="K286" s="14"/>
      <c r="L286" s="14"/>
      <c r="M286" s="3" t="str">
        <f>HYPERLINK("https://docs.legis.wisconsin.gov/misc/lc/hearing_testimony_and_materials/2019/sb414","Information")</f>
        <v>Information</v>
      </c>
      <c r="N286" s="5"/>
      <c r="O286" s="5"/>
      <c r="P286" s="9"/>
      <c r="Q286" s="9"/>
      <c r="R286" s="9"/>
      <c r="S286" s="9"/>
      <c r="T286" s="9"/>
      <c r="U286" s="9"/>
      <c r="V286" s="9"/>
      <c r="W286" s="9"/>
      <c r="X286" s="9"/>
      <c r="Y286" s="9"/>
      <c r="Z286" s="9"/>
      <c r="AA286" s="9"/>
      <c r="AB286" s="9"/>
      <c r="AC286" s="9"/>
      <c r="AD286" s="9"/>
      <c r="AE286" s="9"/>
      <c r="AF286" s="9"/>
      <c r="AG286" s="9"/>
    </row>
    <row r="287" spans="1:33" ht="24" x14ac:dyDescent="0.2">
      <c r="A287" s="3" t="str">
        <f>HYPERLINK("https://docs.legis.wisconsin.gov/2019/proposals/reg/sen/bill/sb415","SB 0415")</f>
        <v>SB 0415</v>
      </c>
      <c r="B287" s="4" t="s">
        <v>178</v>
      </c>
      <c r="C287" s="19" t="s">
        <v>313</v>
      </c>
      <c r="D287" s="6">
        <v>43725</v>
      </c>
      <c r="E287" s="3" t="str">
        <f>HYPERLINK("https://docs.legis.wisconsin.gov/2019/proposals/ab461","AB 0461")</f>
        <v>AB 0461</v>
      </c>
      <c r="F287" s="13" t="str">
        <f>HYPERLINK("https://docs.legis.wisconsin.gov/2019/related/fe/sb415","Y")</f>
        <v>Y</v>
      </c>
      <c r="G287" s="14"/>
      <c r="H287" s="14"/>
      <c r="I287" s="17"/>
      <c r="J287" s="17"/>
      <c r="K287" s="14"/>
      <c r="L287" s="14"/>
      <c r="M287" s="3" t="str">
        <f>HYPERLINK("https://docs.legis.wisconsin.gov/misc/lc/hearing_testimony_and_materials/2019/sb415","Information")</f>
        <v>Information</v>
      </c>
      <c r="N287" s="5"/>
      <c r="O287" s="5"/>
      <c r="P287" s="9"/>
      <c r="Q287" s="9"/>
      <c r="R287" s="9"/>
      <c r="S287" s="9"/>
      <c r="T287" s="9"/>
      <c r="U287" s="9"/>
      <c r="V287" s="9"/>
      <c r="W287" s="9"/>
      <c r="X287" s="9"/>
      <c r="Y287" s="9"/>
      <c r="Z287" s="9"/>
      <c r="AA287" s="9"/>
      <c r="AB287" s="9"/>
      <c r="AC287" s="9"/>
      <c r="AD287" s="9"/>
      <c r="AE287" s="9"/>
      <c r="AF287" s="9"/>
      <c r="AG287" s="9"/>
    </row>
    <row r="288" spans="1:33" ht="36" x14ac:dyDescent="0.2">
      <c r="A288" s="3" t="str">
        <f>HYPERLINK("https://docs.legis.wisconsin.gov/2019/proposals/reg/sen/bill/sb417","SB 0417")</f>
        <v>SB 0417</v>
      </c>
      <c r="B288" s="4" t="s">
        <v>180</v>
      </c>
      <c r="C288" s="19" t="s">
        <v>341</v>
      </c>
      <c r="D288" s="6">
        <v>43725</v>
      </c>
      <c r="E288" s="3" t="str">
        <f>HYPERLINK("https://docs.legis.wisconsin.gov/2019/proposals/ab463","AB 0463")</f>
        <v>AB 0463</v>
      </c>
      <c r="F288" s="7"/>
      <c r="G288" s="5"/>
      <c r="H288" s="5"/>
      <c r="I288" s="8"/>
      <c r="J288" s="8"/>
      <c r="K288" s="5"/>
      <c r="L288" s="14"/>
      <c r="M288" s="5"/>
      <c r="N288" s="14"/>
      <c r="O288" s="14"/>
      <c r="P288" s="9"/>
      <c r="Q288" s="9"/>
      <c r="R288" s="9"/>
      <c r="S288" s="9"/>
      <c r="T288" s="9"/>
      <c r="U288" s="9"/>
      <c r="V288" s="9"/>
      <c r="W288" s="9"/>
      <c r="X288" s="9"/>
      <c r="Y288" s="9"/>
      <c r="Z288" s="9"/>
      <c r="AA288" s="9"/>
      <c r="AB288" s="9"/>
      <c r="AC288" s="9"/>
      <c r="AD288" s="9"/>
      <c r="AE288" s="9"/>
      <c r="AF288" s="9"/>
      <c r="AG288" s="9"/>
    </row>
    <row r="289" spans="1:33" ht="12.75" x14ac:dyDescent="0.2">
      <c r="A289" s="3" t="str">
        <f>HYPERLINK("https://docs.legis.wisconsin.gov/2019/proposals/reg/sen/bill/sb420","SB 0420")</f>
        <v>SB 0420</v>
      </c>
      <c r="B289" s="4" t="s">
        <v>342</v>
      </c>
      <c r="C289" s="19" t="s">
        <v>321</v>
      </c>
      <c r="D289" s="6">
        <v>43725</v>
      </c>
      <c r="E289" s="3" t="str">
        <f>HYPERLINK("https://docs.legis.wisconsin.gov/2019/proposals/ab378","AB 0378")</f>
        <v>AB 0378</v>
      </c>
      <c r="F289" s="13" t="str">
        <f>HYPERLINK("https://docs.legis.wisconsin.gov/2019/related/fe/sb420","Y")</f>
        <v>Y</v>
      </c>
      <c r="G289" s="14"/>
      <c r="H289" s="5"/>
      <c r="I289" s="8"/>
      <c r="J289" s="8"/>
      <c r="K289" s="5"/>
      <c r="L289" s="14"/>
      <c r="M289" s="5"/>
      <c r="N289" s="5"/>
      <c r="O289" s="5"/>
      <c r="P289" s="9"/>
      <c r="Q289" s="9"/>
      <c r="R289" s="9"/>
      <c r="S289" s="9"/>
      <c r="T289" s="9"/>
      <c r="U289" s="9"/>
      <c r="V289" s="9"/>
      <c r="W289" s="9"/>
      <c r="X289" s="9"/>
      <c r="Y289" s="9"/>
      <c r="Z289" s="9"/>
      <c r="AA289" s="9"/>
      <c r="AB289" s="9"/>
      <c r="AC289" s="9"/>
      <c r="AD289" s="9"/>
      <c r="AE289" s="9"/>
      <c r="AF289" s="9"/>
      <c r="AG289" s="9"/>
    </row>
    <row r="290" spans="1:33" ht="48" x14ac:dyDescent="0.2">
      <c r="A290" s="3" t="str">
        <f>HYPERLINK("https://docs.legis.wisconsin.gov/2019/proposals/reg/sen/bill/sb423","SB 0423")</f>
        <v>SB 0423</v>
      </c>
      <c r="B290" s="4" t="s">
        <v>187</v>
      </c>
      <c r="C290" s="19" t="s">
        <v>320</v>
      </c>
      <c r="D290" s="6">
        <v>43725</v>
      </c>
      <c r="E290" s="3" t="str">
        <f>HYPERLINK("https://docs.legis.wisconsin.gov/2019/proposals/ab476","AB 0476")</f>
        <v>AB 0476</v>
      </c>
      <c r="F290" s="13" t="str">
        <f>HYPERLINK("https://docs.legis.wisconsin.gov/2019/related/fe/sb423","Y")</f>
        <v>Y</v>
      </c>
      <c r="G290" s="14"/>
      <c r="H290" s="14"/>
      <c r="I290" s="17"/>
      <c r="J290" s="17"/>
      <c r="K290" s="14"/>
      <c r="L290" s="14"/>
      <c r="M290" s="3" t="str">
        <f>HYPERLINK("https://docs.legis.wisconsin.gov/misc/lc/hearing_testimony_and_materials/2019/sb423","Information")</f>
        <v>Information</v>
      </c>
      <c r="N290" s="5"/>
      <c r="O290" s="5"/>
      <c r="P290" s="9"/>
      <c r="Q290" s="9"/>
      <c r="R290" s="9"/>
      <c r="S290" s="9"/>
      <c r="T290" s="9"/>
      <c r="U290" s="9"/>
      <c r="V290" s="9"/>
      <c r="W290" s="9"/>
      <c r="X290" s="9"/>
      <c r="Y290" s="9"/>
      <c r="Z290" s="9"/>
      <c r="AA290" s="9"/>
      <c r="AB290" s="9"/>
      <c r="AC290" s="9"/>
      <c r="AD290" s="9"/>
      <c r="AE290" s="9"/>
      <c r="AF290" s="9"/>
      <c r="AG290" s="9"/>
    </row>
    <row r="291" spans="1:33" ht="24" x14ac:dyDescent="0.2">
      <c r="A291" s="3" t="str">
        <f>HYPERLINK("https://docs.legis.wisconsin.gov/2019/proposals/reg/sen/bill/sb431","SB 0431")</f>
        <v>SB 0431</v>
      </c>
      <c r="B291" s="4" t="s">
        <v>343</v>
      </c>
      <c r="C291" s="19" t="s">
        <v>319</v>
      </c>
      <c r="D291" s="6">
        <v>43725</v>
      </c>
      <c r="E291" s="3" t="str">
        <f>HYPERLINK("https://docs.legis.wisconsin.gov/2019/proposals/ab474","AB 0474")</f>
        <v>AB 0474</v>
      </c>
      <c r="F291" s="13" t="str">
        <f>HYPERLINK("https://docs.legis.wisconsin.gov/2019/related/fe/sb431","Y")</f>
        <v>Y</v>
      </c>
      <c r="G291" s="14"/>
      <c r="H291" s="5"/>
      <c r="I291" s="8"/>
      <c r="J291" s="8"/>
      <c r="K291" s="5"/>
      <c r="L291" s="14"/>
      <c r="M291" s="5"/>
      <c r="N291" s="5"/>
      <c r="O291" s="5"/>
      <c r="P291" s="9"/>
      <c r="Q291" s="9"/>
      <c r="R291" s="9"/>
      <c r="S291" s="9"/>
      <c r="T291" s="9"/>
      <c r="U291" s="9"/>
      <c r="V291" s="9"/>
      <c r="W291" s="9"/>
      <c r="X291" s="9"/>
      <c r="Y291" s="9"/>
      <c r="Z291" s="9"/>
      <c r="AA291" s="9"/>
      <c r="AB291" s="9"/>
      <c r="AC291" s="9"/>
      <c r="AD291" s="9"/>
      <c r="AE291" s="9"/>
      <c r="AF291" s="9"/>
      <c r="AG291" s="9"/>
    </row>
    <row r="292" spans="1:33" ht="12.75" x14ac:dyDescent="0.2">
      <c r="A292" s="3" t="str">
        <f>HYPERLINK("https://docs.legis.wisconsin.gov/2019/proposals/reg/sen/bill/sb437","SB 0437")</f>
        <v>SB 0437</v>
      </c>
      <c r="B292" s="4" t="s">
        <v>183</v>
      </c>
      <c r="C292" s="19" t="s">
        <v>320</v>
      </c>
      <c r="D292" s="6">
        <v>43731</v>
      </c>
      <c r="E292" s="3" t="str">
        <f>HYPERLINK("https://docs.legis.wisconsin.gov/2019/proposals/ab473","AB 0473")</f>
        <v>AB 0473</v>
      </c>
      <c r="F292" s="13" t="str">
        <f>HYPERLINK("https://docs.legis.wisconsin.gov/2019/related/fe/sb437","Y")</f>
        <v>Y</v>
      </c>
      <c r="G292" s="14"/>
      <c r="H292" s="14"/>
      <c r="I292" s="17"/>
      <c r="J292" s="17"/>
      <c r="K292" s="14"/>
      <c r="L292" s="14"/>
      <c r="M292" s="3" t="str">
        <f>HYPERLINK("https://docs.legis.wisconsin.gov/misc/lc/hearing_testimony_and_materials/2019/sb437","Information")</f>
        <v>Information</v>
      </c>
      <c r="N292" s="3" t="str">
        <f>HYPERLINK("https://docs.legis.wisconsin.gov/2019/related/acts/176","176")</f>
        <v>176</v>
      </c>
      <c r="O292" s="14" t="s">
        <v>273</v>
      </c>
      <c r="P292" s="9"/>
      <c r="Q292" s="9"/>
      <c r="R292" s="9"/>
      <c r="S292" s="9"/>
      <c r="T292" s="9"/>
      <c r="U292" s="9"/>
      <c r="V292" s="9"/>
      <c r="W292" s="9"/>
      <c r="X292" s="9"/>
      <c r="Y292" s="9"/>
      <c r="Z292" s="9"/>
      <c r="AA292" s="9"/>
      <c r="AB292" s="9"/>
      <c r="AC292" s="9"/>
      <c r="AD292" s="9"/>
      <c r="AE292" s="9"/>
      <c r="AF292" s="9"/>
      <c r="AG292" s="9"/>
    </row>
    <row r="293" spans="1:33" ht="24" x14ac:dyDescent="0.2">
      <c r="A293" s="3" t="str">
        <f>HYPERLINK("https://docs.legis.wisconsin.gov/2019/proposals/reg/sen/bill/sb442","SB 0442")</f>
        <v>SB 0442</v>
      </c>
      <c r="B293" s="4" t="s">
        <v>189</v>
      </c>
      <c r="C293" s="19" t="s">
        <v>303</v>
      </c>
      <c r="D293" s="6">
        <v>43731</v>
      </c>
      <c r="E293" s="3" t="str">
        <f>HYPERLINK("https://docs.legis.wisconsin.gov/2019/proposals/ab491","AB 0491")</f>
        <v>AB 0491</v>
      </c>
      <c r="F293" s="7"/>
      <c r="G293" s="5"/>
      <c r="H293" s="5"/>
      <c r="I293" s="8"/>
      <c r="J293" s="8"/>
      <c r="K293" s="5"/>
      <c r="L293" s="14"/>
      <c r="M293" s="14"/>
      <c r="N293" s="14"/>
      <c r="O293" s="14"/>
      <c r="P293" s="9"/>
      <c r="Q293" s="9"/>
      <c r="R293" s="9"/>
      <c r="S293" s="9"/>
      <c r="T293" s="9"/>
      <c r="U293" s="9"/>
      <c r="V293" s="9"/>
      <c r="W293" s="9"/>
      <c r="X293" s="9"/>
      <c r="Y293" s="9"/>
      <c r="Z293" s="9"/>
      <c r="AA293" s="9"/>
      <c r="AB293" s="9"/>
      <c r="AC293" s="9"/>
      <c r="AD293" s="9"/>
      <c r="AE293" s="9"/>
      <c r="AF293" s="9"/>
      <c r="AG293" s="9"/>
    </row>
    <row r="294" spans="1:33" ht="36" x14ac:dyDescent="0.2">
      <c r="A294" s="3" t="str">
        <f>HYPERLINK("https://docs.legis.wisconsin.gov/2019/proposals/reg/sen/bill/sb444","SB 0444")</f>
        <v>SB 0444</v>
      </c>
      <c r="B294" s="4" t="s">
        <v>344</v>
      </c>
      <c r="C294" s="19" t="s">
        <v>334</v>
      </c>
      <c r="D294" s="6">
        <v>43731</v>
      </c>
      <c r="E294" s="14"/>
      <c r="F294" s="7"/>
      <c r="G294" s="5"/>
      <c r="H294" s="5"/>
      <c r="I294" s="77"/>
      <c r="J294" s="77"/>
      <c r="K294" s="78"/>
      <c r="L294" s="14"/>
      <c r="M294" s="5"/>
      <c r="N294" s="14"/>
      <c r="O294" s="14"/>
      <c r="P294" s="9"/>
      <c r="Q294" s="9"/>
      <c r="R294" s="9"/>
      <c r="S294" s="9"/>
      <c r="T294" s="9"/>
      <c r="U294" s="9"/>
      <c r="V294" s="9"/>
      <c r="W294" s="9"/>
      <c r="X294" s="9"/>
      <c r="Y294" s="9"/>
      <c r="Z294" s="9"/>
      <c r="AA294" s="9"/>
      <c r="AB294" s="9"/>
      <c r="AC294" s="9"/>
      <c r="AD294" s="9"/>
      <c r="AE294" s="9"/>
      <c r="AF294" s="9"/>
      <c r="AG294" s="9"/>
    </row>
    <row r="295" spans="1:33" ht="24" x14ac:dyDescent="0.2">
      <c r="A295" s="3" t="str">
        <f>HYPERLINK("https://docs.legis.wisconsin.gov/2019/proposals/reg/sen/bill/sb446","SB 0446")</f>
        <v>SB 0446</v>
      </c>
      <c r="B295" s="4" t="s">
        <v>345</v>
      </c>
      <c r="C295" s="19" t="s">
        <v>346</v>
      </c>
      <c r="D295" s="6">
        <v>43731</v>
      </c>
      <c r="E295" s="3" t="str">
        <f>HYPERLINK("https://docs.legis.wisconsin.gov/2019/proposals/ab452","AB 0452")</f>
        <v>AB 0452</v>
      </c>
      <c r="F295" s="7"/>
      <c r="G295" s="5"/>
      <c r="H295" s="5"/>
      <c r="I295" s="8"/>
      <c r="J295" s="8"/>
      <c r="K295" s="5"/>
      <c r="L295" s="14"/>
      <c r="M295" s="5"/>
      <c r="N295" s="5"/>
      <c r="O295" s="5"/>
      <c r="P295" s="9"/>
      <c r="Q295" s="9"/>
      <c r="R295" s="9"/>
      <c r="S295" s="9"/>
      <c r="T295" s="9"/>
      <c r="U295" s="9"/>
      <c r="V295" s="9"/>
      <c r="W295" s="9"/>
      <c r="X295" s="9"/>
      <c r="Y295" s="9"/>
      <c r="Z295" s="9"/>
      <c r="AA295" s="9"/>
      <c r="AB295" s="9"/>
      <c r="AC295" s="9"/>
      <c r="AD295" s="9"/>
      <c r="AE295" s="9"/>
      <c r="AF295" s="9"/>
      <c r="AG295" s="9"/>
    </row>
    <row r="296" spans="1:33" ht="24" x14ac:dyDescent="0.2">
      <c r="A296" s="3" t="str">
        <f>HYPERLINK("https://docs.legis.wisconsin.gov/2019/proposals/reg/sen/bill/sb448","SB 0448")</f>
        <v>SB 0448</v>
      </c>
      <c r="B296" s="4" t="s">
        <v>190</v>
      </c>
      <c r="C296" s="19" t="s">
        <v>316</v>
      </c>
      <c r="D296" s="6">
        <v>43735</v>
      </c>
      <c r="E296" s="3" t="str">
        <f>HYPERLINK("https://docs.legis.wisconsin.gov/2019/proposals/ab494","AB 0494")</f>
        <v>AB 0494</v>
      </c>
      <c r="F296" s="7"/>
      <c r="G296" s="5"/>
      <c r="H296" s="5"/>
      <c r="I296" s="8"/>
      <c r="J296" s="8"/>
      <c r="K296" s="5"/>
      <c r="L296" s="14"/>
      <c r="M296" s="5"/>
      <c r="N296" s="5"/>
      <c r="O296" s="5"/>
      <c r="P296" s="9"/>
      <c r="Q296" s="9"/>
      <c r="R296" s="9"/>
      <c r="S296" s="9"/>
      <c r="T296" s="9"/>
      <c r="U296" s="9"/>
      <c r="V296" s="9"/>
      <c r="W296" s="9"/>
      <c r="X296" s="9"/>
      <c r="Y296" s="9"/>
      <c r="Z296" s="9"/>
      <c r="AA296" s="9"/>
      <c r="AB296" s="9"/>
      <c r="AC296" s="9"/>
      <c r="AD296" s="9"/>
      <c r="AE296" s="9"/>
      <c r="AF296" s="9"/>
      <c r="AG296" s="9"/>
    </row>
    <row r="297" spans="1:33" ht="24" x14ac:dyDescent="0.2">
      <c r="A297" s="3" t="str">
        <f>HYPERLINK("https://docs.legis.wisconsin.gov/2019/proposals/reg/sen/bill/sb459","SB 0459")</f>
        <v>SB 0459</v>
      </c>
      <c r="B297" s="4" t="s">
        <v>215</v>
      </c>
      <c r="C297" s="19" t="s">
        <v>347</v>
      </c>
      <c r="D297" s="6">
        <v>43735</v>
      </c>
      <c r="E297" s="3" t="str">
        <f>HYPERLINK("https://docs.legis.wisconsin.gov/2019/proposals/ab587","AB 0587")</f>
        <v>AB 0587</v>
      </c>
      <c r="F297" s="13" t="str">
        <f>HYPERLINK("https://docs.legis.wisconsin.gov/2019/related/fe/sb459","Y")</f>
        <v>Y</v>
      </c>
      <c r="G297" s="14"/>
      <c r="H297" s="5"/>
      <c r="I297" s="48"/>
      <c r="J297" s="48"/>
      <c r="K297" s="49" t="s">
        <v>348</v>
      </c>
      <c r="L297" s="14"/>
      <c r="M297" s="5"/>
      <c r="N297" s="5"/>
      <c r="O297" s="5"/>
      <c r="P297" s="9"/>
      <c r="Q297" s="9"/>
      <c r="R297" s="9"/>
      <c r="S297" s="9"/>
      <c r="T297" s="9"/>
      <c r="U297" s="9"/>
      <c r="V297" s="9"/>
      <c r="W297" s="9"/>
      <c r="X297" s="9"/>
      <c r="Y297" s="9"/>
      <c r="Z297" s="9"/>
      <c r="AA297" s="9"/>
      <c r="AB297" s="9"/>
      <c r="AC297" s="9"/>
      <c r="AD297" s="9"/>
      <c r="AE297" s="9"/>
      <c r="AF297" s="9"/>
      <c r="AG297" s="9"/>
    </row>
    <row r="298" spans="1:33" ht="60" x14ac:dyDescent="0.2">
      <c r="A298" s="3" t="str">
        <f>HYPERLINK("https://docs.legis.wisconsin.gov/2019/proposals/reg/sen/bill/sb472","SB 0472")</f>
        <v>SB 0472</v>
      </c>
      <c r="B298" s="4" t="s">
        <v>197</v>
      </c>
      <c r="C298" s="19" t="s">
        <v>349</v>
      </c>
      <c r="D298" s="6">
        <v>43742</v>
      </c>
      <c r="E298" s="3" t="str">
        <f>HYPERLINK("https://docs.legis.wisconsin.gov/2019/proposals/ab519","AB 0519")</f>
        <v>AB 0519</v>
      </c>
      <c r="F298" s="19"/>
      <c r="G298" s="5"/>
      <c r="H298" s="5"/>
      <c r="I298" s="8"/>
      <c r="J298" s="8"/>
      <c r="K298" s="5"/>
      <c r="L298" s="14"/>
      <c r="M298" s="5"/>
      <c r="N298" s="5"/>
      <c r="O298" s="5"/>
      <c r="P298" s="9"/>
      <c r="Q298" s="9"/>
      <c r="R298" s="9"/>
      <c r="S298" s="9"/>
      <c r="T298" s="9"/>
      <c r="U298" s="9"/>
      <c r="V298" s="9"/>
      <c r="W298" s="9"/>
      <c r="X298" s="9"/>
      <c r="Y298" s="9"/>
      <c r="Z298" s="9"/>
      <c r="AA298" s="9"/>
      <c r="AB298" s="9"/>
      <c r="AC298" s="9"/>
      <c r="AD298" s="9"/>
      <c r="AE298" s="9"/>
      <c r="AF298" s="9"/>
      <c r="AG298" s="9"/>
    </row>
    <row r="299" spans="1:33" ht="24" x14ac:dyDescent="0.2">
      <c r="A299" s="3" t="str">
        <f>HYPERLINK("https://docs.legis.wisconsin.gov/2019/proposals/reg/sen/bill/sb480","SB 0480")</f>
        <v>SB 0480</v>
      </c>
      <c r="B299" s="4" t="s">
        <v>196</v>
      </c>
      <c r="C299" s="19" t="s">
        <v>309</v>
      </c>
      <c r="D299" s="6">
        <v>43742</v>
      </c>
      <c r="E299" s="3" t="str">
        <f>HYPERLINK("https://docs.legis.wisconsin.gov/2019/proposals/ab509","AB 0509")</f>
        <v>AB 0509</v>
      </c>
      <c r="F299" s="13" t="str">
        <f>HYPERLINK("https://docs.legis.wisconsin.gov/2019/related/fe/sb480","Y")</f>
        <v>Y</v>
      </c>
      <c r="G299" s="14"/>
      <c r="H299" s="5"/>
      <c r="I299" s="17"/>
      <c r="J299" s="17"/>
      <c r="K299" s="14"/>
      <c r="L299" s="14"/>
      <c r="M299" s="5"/>
      <c r="N299" s="5"/>
      <c r="O299" s="5"/>
      <c r="P299" s="9"/>
      <c r="Q299" s="9"/>
      <c r="R299" s="9"/>
      <c r="S299" s="9"/>
      <c r="T299" s="9"/>
      <c r="U299" s="9"/>
      <c r="V299" s="9"/>
      <c r="W299" s="9"/>
      <c r="X299" s="9"/>
      <c r="Y299" s="9"/>
      <c r="Z299" s="9"/>
      <c r="AA299" s="9"/>
      <c r="AB299" s="9"/>
      <c r="AC299" s="9"/>
      <c r="AD299" s="9"/>
      <c r="AE299" s="9"/>
      <c r="AF299" s="9"/>
      <c r="AG299" s="9"/>
    </row>
    <row r="300" spans="1:33" ht="24" x14ac:dyDescent="0.2">
      <c r="A300" s="3" t="str">
        <f>HYPERLINK("https://docs.legis.wisconsin.gov/2019/proposals/reg/sen/bill/sb481","SB 0481")</f>
        <v>SB 0481</v>
      </c>
      <c r="B300" s="4" t="s">
        <v>350</v>
      </c>
      <c r="C300" s="19" t="s">
        <v>305</v>
      </c>
      <c r="D300" s="6">
        <v>43742</v>
      </c>
      <c r="E300" s="3" t="str">
        <f>HYPERLINK("https://docs.legis.wisconsin.gov/2019/proposals/ab536","AB 0536")</f>
        <v>AB 0536</v>
      </c>
      <c r="F300" s="7"/>
      <c r="G300" s="5"/>
      <c r="H300" s="5"/>
      <c r="I300" s="8"/>
      <c r="J300" s="8"/>
      <c r="K300" s="5"/>
      <c r="L300" s="14"/>
      <c r="M300" s="5"/>
      <c r="N300" s="5"/>
      <c r="O300" s="5"/>
      <c r="P300" s="79"/>
      <c r="Q300" s="79"/>
      <c r="R300" s="79"/>
      <c r="S300" s="79"/>
      <c r="T300" s="79"/>
      <c r="U300" s="79"/>
      <c r="V300" s="79"/>
      <c r="W300" s="79"/>
      <c r="X300" s="79"/>
      <c r="Y300" s="79"/>
      <c r="Z300" s="79"/>
      <c r="AA300" s="79"/>
      <c r="AB300" s="79"/>
      <c r="AC300" s="79"/>
      <c r="AD300" s="79"/>
      <c r="AE300" s="79"/>
      <c r="AF300" s="79"/>
      <c r="AG300" s="79"/>
    </row>
    <row r="301" spans="1:33" ht="72" x14ac:dyDescent="0.2">
      <c r="A301" s="3" t="str">
        <f>HYPERLINK("https://docs.legis.wisconsin.gov/2019/proposals/reg/sen/bill/sb486","SB 0486")</f>
        <v>SB 0486</v>
      </c>
      <c r="B301" s="4" t="s">
        <v>351</v>
      </c>
      <c r="C301" s="19" t="s">
        <v>319</v>
      </c>
      <c r="D301" s="6">
        <v>43748</v>
      </c>
      <c r="E301" s="3" t="str">
        <f>HYPERLINK("https://docs.legis.wisconsin.gov/2019/proposals/ab372","AB 0372")</f>
        <v>AB 0372</v>
      </c>
      <c r="F301" s="7"/>
      <c r="G301" s="5"/>
      <c r="H301" s="5"/>
      <c r="I301" s="17"/>
      <c r="J301" s="17"/>
      <c r="K301" s="14"/>
      <c r="L301" s="14"/>
      <c r="M301" s="5"/>
      <c r="N301" s="5"/>
      <c r="O301" s="5"/>
      <c r="P301" s="79"/>
      <c r="Q301" s="79"/>
      <c r="R301" s="79"/>
      <c r="S301" s="79"/>
      <c r="T301" s="79"/>
      <c r="U301" s="79"/>
      <c r="V301" s="79"/>
      <c r="W301" s="79"/>
      <c r="X301" s="79"/>
      <c r="Y301" s="79"/>
      <c r="Z301" s="79"/>
      <c r="AA301" s="79"/>
      <c r="AB301" s="79"/>
      <c r="AC301" s="79"/>
      <c r="AD301" s="79"/>
      <c r="AE301" s="79"/>
      <c r="AF301" s="79"/>
      <c r="AG301" s="79"/>
    </row>
    <row r="302" spans="1:33" ht="24" x14ac:dyDescent="0.2">
      <c r="A302" s="3" t="str">
        <f>HYPERLINK("https://docs.legis.wisconsin.gov/2019/proposals/reg/sen/bill/sb494","SB 0494")</f>
        <v>SB 0494</v>
      </c>
      <c r="B302" s="4" t="s">
        <v>120</v>
      </c>
      <c r="C302" s="19" t="s">
        <v>313</v>
      </c>
      <c r="D302" s="6">
        <v>43748</v>
      </c>
      <c r="E302" s="3" t="str">
        <f>HYPERLINK("https://docs.legis.wisconsin.gov/2019/proposals/ab553","AB 0553")</f>
        <v>AB 0553</v>
      </c>
      <c r="F302" s="13" t="str">
        <f>HYPERLINK("https://docs.legis.wisconsin.gov/2019/related/fe/sb494","Y")</f>
        <v>Y</v>
      </c>
      <c r="G302" s="14"/>
      <c r="H302" s="14"/>
      <c r="I302" s="17"/>
      <c r="J302" s="17"/>
      <c r="K302" s="14"/>
      <c r="L302" s="14"/>
      <c r="M302" s="3" t="str">
        <f>HYPERLINK("https://docs.legis.wisconsin.gov/misc/lc/hearing_testimony_and_materials/2019/sb494","Information")</f>
        <v>Information</v>
      </c>
      <c r="N302" s="5"/>
      <c r="O302" s="5"/>
      <c r="P302" s="9"/>
      <c r="Q302" s="9"/>
      <c r="R302" s="9"/>
      <c r="S302" s="9"/>
      <c r="T302" s="9"/>
      <c r="U302" s="9"/>
      <c r="V302" s="9"/>
      <c r="W302" s="9"/>
      <c r="X302" s="9"/>
      <c r="Y302" s="9"/>
      <c r="Z302" s="9"/>
      <c r="AA302" s="9"/>
      <c r="AB302" s="9"/>
      <c r="AC302" s="9"/>
      <c r="AD302" s="9"/>
      <c r="AE302" s="9"/>
      <c r="AF302" s="9"/>
      <c r="AG302" s="9"/>
    </row>
    <row r="303" spans="1:33" ht="48" x14ac:dyDescent="0.2">
      <c r="A303" s="3" t="str">
        <f>HYPERLINK("https://docs.legis.wisconsin.gov/2019/proposals/reg/sen/bill/sb495","SB 0495")</f>
        <v>SB 0495</v>
      </c>
      <c r="B303" s="4" t="s">
        <v>211</v>
      </c>
      <c r="C303" s="19" t="s">
        <v>313</v>
      </c>
      <c r="D303" s="6">
        <v>43748</v>
      </c>
      <c r="E303" s="3" t="str">
        <f>HYPERLINK("https://docs.legis.wisconsin.gov/2019/proposals/ab554","AB 0554")</f>
        <v>AB 0554</v>
      </c>
      <c r="F303" s="7"/>
      <c r="G303" s="5"/>
      <c r="H303" s="14"/>
      <c r="I303" s="17"/>
      <c r="J303" s="17"/>
      <c r="K303" s="14"/>
      <c r="L303" s="14"/>
      <c r="M303" s="3" t="str">
        <f>HYPERLINK("https://docs.legis.wisconsin.gov/misc/lc/hearing_testimony_and_materials/2019/sb495","Support")</f>
        <v>Support</v>
      </c>
      <c r="N303" s="3" t="str">
        <f>HYPERLINK("https://docs.legis.wisconsin.gov/2019/related/acts/55","55")</f>
        <v>55</v>
      </c>
      <c r="O303" s="3" t="str">
        <f>HYPERLINK("https://docs.legis.wisconsin.gov/2019/related/lcactmemo/act055.pdf","Y")</f>
        <v>Y</v>
      </c>
      <c r="P303" s="79"/>
      <c r="Q303" s="79"/>
      <c r="R303" s="79"/>
      <c r="S303" s="79"/>
      <c r="T303" s="79"/>
      <c r="U303" s="79"/>
      <c r="V303" s="79"/>
      <c r="W303" s="79"/>
      <c r="X303" s="79"/>
      <c r="Y303" s="79"/>
      <c r="Z303" s="79"/>
      <c r="AA303" s="79"/>
      <c r="AB303" s="79"/>
      <c r="AC303" s="79"/>
      <c r="AD303" s="79"/>
      <c r="AE303" s="79"/>
      <c r="AF303" s="79"/>
      <c r="AG303" s="79"/>
    </row>
    <row r="304" spans="1:33" ht="24" x14ac:dyDescent="0.2">
      <c r="A304" s="3" t="str">
        <f>HYPERLINK("https://docs.legis.wisconsin.gov/2019/proposals/reg/sen/bill/sb496","SB 0496")</f>
        <v>SB 0496</v>
      </c>
      <c r="B304" s="4" t="s">
        <v>206</v>
      </c>
      <c r="C304" s="19" t="s">
        <v>313</v>
      </c>
      <c r="D304" s="6">
        <v>43748</v>
      </c>
      <c r="E304" s="3" t="str">
        <f>HYPERLINK("https://docs.legis.wisconsin.gov/2019/proposals/ab531","AB 0531")</f>
        <v>AB 0531</v>
      </c>
      <c r="F304" s="13" t="str">
        <f>HYPERLINK("https://docs.legis.wisconsin.gov/2019/related/fe/ab531","Y")</f>
        <v>Y</v>
      </c>
      <c r="G304" s="14"/>
      <c r="H304" s="5"/>
      <c r="I304" s="17"/>
      <c r="J304" s="17"/>
      <c r="K304" s="14"/>
      <c r="L304" s="14"/>
      <c r="M304" s="5"/>
      <c r="N304" s="5"/>
      <c r="O304" s="5"/>
      <c r="P304" s="9"/>
      <c r="Q304" s="9"/>
      <c r="R304" s="9"/>
      <c r="S304" s="9"/>
      <c r="T304" s="9"/>
      <c r="U304" s="9"/>
      <c r="V304" s="9"/>
      <c r="W304" s="9"/>
      <c r="X304" s="9"/>
      <c r="Y304" s="9"/>
      <c r="Z304" s="9"/>
      <c r="AA304" s="9"/>
      <c r="AB304" s="9"/>
      <c r="AC304" s="9"/>
      <c r="AD304" s="9"/>
      <c r="AE304" s="9"/>
      <c r="AF304" s="9"/>
      <c r="AG304" s="9"/>
    </row>
    <row r="305" spans="1:33" ht="24" x14ac:dyDescent="0.2">
      <c r="A305" s="3" t="str">
        <f>HYPERLINK("https://docs.legis.wisconsin.gov/2019/proposals/reg/sen/bill/sb497","SB 0497")</f>
        <v>SB 0497</v>
      </c>
      <c r="B305" s="4" t="s">
        <v>213</v>
      </c>
      <c r="C305" s="19" t="s">
        <v>319</v>
      </c>
      <c r="D305" s="6">
        <v>43748</v>
      </c>
      <c r="E305" s="3" t="str">
        <f>HYPERLINK("https://docs.legis.wisconsin.gov/2019/proposals/ab556","AB 0556")</f>
        <v>AB 0556</v>
      </c>
      <c r="F305" s="7"/>
      <c r="G305" s="5"/>
      <c r="H305" s="5"/>
      <c r="I305" s="8"/>
      <c r="J305" s="8"/>
      <c r="K305" s="5"/>
      <c r="L305" s="14"/>
      <c r="M305" s="5"/>
      <c r="N305" s="14"/>
      <c r="O305" s="5"/>
      <c r="P305" s="79"/>
      <c r="Q305" s="79"/>
      <c r="R305" s="79"/>
      <c r="S305" s="79"/>
      <c r="T305" s="79"/>
      <c r="U305" s="79"/>
      <c r="V305" s="79"/>
      <c r="W305" s="79"/>
      <c r="X305" s="79"/>
      <c r="Y305" s="79"/>
      <c r="Z305" s="79"/>
      <c r="AA305" s="79"/>
      <c r="AB305" s="79"/>
      <c r="AC305" s="79"/>
      <c r="AD305" s="79"/>
      <c r="AE305" s="79"/>
      <c r="AF305" s="79"/>
      <c r="AG305" s="79"/>
    </row>
    <row r="306" spans="1:33" ht="36" x14ac:dyDescent="0.2">
      <c r="A306" s="3" t="str">
        <f>HYPERLINK("https://docs.legis.wisconsin.gov/2019/proposals/reg/sen/bill/sb498","SB 0498")</f>
        <v>SB 0498</v>
      </c>
      <c r="B306" s="4" t="s">
        <v>201</v>
      </c>
      <c r="C306" s="19" t="s">
        <v>315</v>
      </c>
      <c r="D306" s="6">
        <v>43748</v>
      </c>
      <c r="E306" s="3" t="str">
        <f>HYPERLINK("https://docs.legis.wisconsin.gov/2019/proposals/ab528","AB 0528")</f>
        <v>AB 0528</v>
      </c>
      <c r="F306" s="13" t="str">
        <f>HYPERLINK("https://docs.legis.wisconsin.gov/2019/related/fe/sb498","Y")</f>
        <v>Y</v>
      </c>
      <c r="G306" s="14"/>
      <c r="H306" s="5" t="s">
        <v>251</v>
      </c>
      <c r="I306" s="77"/>
      <c r="J306" s="77"/>
      <c r="K306" s="78"/>
      <c r="L306" s="14"/>
      <c r="M306" s="3" t="str">
        <f>HYPERLINK("https://docs.legis.wisconsin.gov/misc/lc/hearing_testimony_and_materials/2019/sb498","Support")</f>
        <v>Support</v>
      </c>
      <c r="N306" s="5"/>
      <c r="O306" s="5"/>
      <c r="P306" s="9"/>
      <c r="Q306" s="9"/>
      <c r="R306" s="9"/>
      <c r="S306" s="9"/>
      <c r="T306" s="9"/>
      <c r="U306" s="9"/>
      <c r="V306" s="9"/>
      <c r="W306" s="9"/>
      <c r="X306" s="9"/>
      <c r="Y306" s="9"/>
      <c r="Z306" s="9"/>
      <c r="AA306" s="9"/>
      <c r="AB306" s="9"/>
      <c r="AC306" s="9"/>
      <c r="AD306" s="9"/>
      <c r="AE306" s="9"/>
      <c r="AF306" s="9"/>
      <c r="AG306" s="9"/>
    </row>
    <row r="307" spans="1:33" ht="24" x14ac:dyDescent="0.2">
      <c r="A307" s="3" t="str">
        <f>HYPERLINK("https://docs.legis.wisconsin.gov/2019/proposals/reg/sen/bill/sb506","SB 0506")</f>
        <v>SB 0506</v>
      </c>
      <c r="B307" s="4" t="s">
        <v>202</v>
      </c>
      <c r="C307" s="19" t="s">
        <v>313</v>
      </c>
      <c r="D307" s="6">
        <v>43756</v>
      </c>
      <c r="E307" s="3" t="str">
        <f>HYPERLINK("https://docs.legis.wisconsin.gov/2019/proposals/ab529","AB 0529")</f>
        <v>AB 0529</v>
      </c>
      <c r="F307" s="13" t="str">
        <f>HYPERLINK("https://docs.legis.wisconsin.gov/2019/related/fe/sb506","Y")</f>
        <v>Y</v>
      </c>
      <c r="G307" s="14"/>
      <c r="H307" s="5" t="s">
        <v>251</v>
      </c>
      <c r="I307" s="8"/>
      <c r="J307" s="8"/>
      <c r="K307" s="5"/>
      <c r="L307" s="14"/>
      <c r="M307" s="5"/>
      <c r="N307" s="5"/>
      <c r="O307" s="5"/>
      <c r="P307" s="9"/>
      <c r="Q307" s="9"/>
      <c r="R307" s="9"/>
      <c r="S307" s="9"/>
      <c r="T307" s="9"/>
      <c r="U307" s="9"/>
      <c r="V307" s="9"/>
      <c r="W307" s="9"/>
      <c r="X307" s="9"/>
      <c r="Y307" s="9"/>
      <c r="Z307" s="9"/>
      <c r="AA307" s="9"/>
      <c r="AB307" s="9"/>
      <c r="AC307" s="9"/>
      <c r="AD307" s="9"/>
      <c r="AE307" s="9"/>
      <c r="AF307" s="9"/>
      <c r="AG307" s="9"/>
    </row>
    <row r="308" spans="1:33" ht="27" customHeight="1" x14ac:dyDescent="0.2">
      <c r="A308" s="3" t="str">
        <f>HYPERLINK("https://docs.legis.wisconsin.gov/2019/proposals/reg/sen/bill/sb520","SB 0520")</f>
        <v>SB 0520</v>
      </c>
      <c r="B308" s="4" t="s">
        <v>352</v>
      </c>
      <c r="C308" s="19" t="s">
        <v>237</v>
      </c>
      <c r="D308" s="6">
        <v>43763</v>
      </c>
      <c r="E308" s="3" t="str">
        <f>HYPERLINK("https://docs.legis.wisconsin.gov/2019/proposals/ab526","AB 0526")</f>
        <v>AB 0526</v>
      </c>
      <c r="F308" s="7"/>
      <c r="G308" s="5"/>
      <c r="H308" s="5"/>
      <c r="I308" s="8"/>
      <c r="J308" s="8"/>
      <c r="K308" s="5"/>
      <c r="L308" s="14"/>
      <c r="M308" s="5"/>
      <c r="N308" s="5"/>
      <c r="O308" s="5"/>
      <c r="P308" s="79"/>
      <c r="Q308" s="79"/>
      <c r="R308" s="79"/>
      <c r="S308" s="79"/>
      <c r="T308" s="79"/>
      <c r="U308" s="79"/>
      <c r="V308" s="79"/>
      <c r="W308" s="79"/>
      <c r="X308" s="79"/>
      <c r="Y308" s="79"/>
      <c r="Z308" s="79"/>
      <c r="AA308" s="79"/>
      <c r="AB308" s="79"/>
      <c r="AC308" s="79"/>
      <c r="AD308" s="79"/>
      <c r="AE308" s="79"/>
      <c r="AF308" s="79"/>
      <c r="AG308" s="79"/>
    </row>
    <row r="309" spans="1:33" ht="18" customHeight="1" x14ac:dyDescent="0.2">
      <c r="A309" s="3" t="str">
        <f>HYPERLINK("https://docs.legis.wisconsin.gov/2019/proposals/reg/sen/bill/sb527","SB 0527")</f>
        <v>SB 0527</v>
      </c>
      <c r="B309" s="4" t="s">
        <v>214</v>
      </c>
      <c r="C309" s="19" t="s">
        <v>313</v>
      </c>
      <c r="D309" s="6">
        <v>43763</v>
      </c>
      <c r="E309" s="3" t="str">
        <f>HYPERLINK("https://docs.legis.wisconsin.gov/2019/proposals/ab585","AB 0585")</f>
        <v>AB 0585</v>
      </c>
      <c r="F309" s="19"/>
      <c r="G309" s="5"/>
      <c r="H309" s="14"/>
      <c r="I309" s="50"/>
      <c r="J309" s="50"/>
      <c r="K309" s="51" t="s">
        <v>353</v>
      </c>
      <c r="L309" s="14"/>
      <c r="M309" s="3" t="str">
        <f>HYPERLINK("https://docs.legis.wisconsin.gov/misc/lc/hearing_testimony_and_materials/2019/sb527","Information")</f>
        <v>Information</v>
      </c>
      <c r="N309" s="3" t="str">
        <f>HYPERLINK("https://docs.legis.wisconsin.gov/2019/related/acts/118","118")</f>
        <v>118</v>
      </c>
      <c r="O309" s="3" t="str">
        <f>HYPERLINK("https://docs.legis.wisconsin.gov/2019/related/lcactmemo/act118.pdf","Y")</f>
        <v>Y</v>
      </c>
      <c r="P309" s="79"/>
      <c r="Q309" s="79"/>
      <c r="R309" s="79"/>
      <c r="S309" s="79"/>
      <c r="T309" s="79"/>
      <c r="U309" s="79"/>
      <c r="V309" s="79"/>
      <c r="W309" s="79"/>
      <c r="X309" s="79"/>
      <c r="Y309" s="79"/>
      <c r="Z309" s="79"/>
      <c r="AA309" s="79"/>
      <c r="AB309" s="79"/>
      <c r="AC309" s="79"/>
      <c r="AD309" s="79"/>
      <c r="AE309" s="79"/>
      <c r="AF309" s="79"/>
      <c r="AG309" s="79"/>
    </row>
    <row r="310" spans="1:33" ht="41.25" customHeight="1" x14ac:dyDescent="0.2">
      <c r="A310" s="3" t="str">
        <f>HYPERLINK("https://docs.legis.wisconsin.gov/2019/proposals/reg/sen/bill/sb529","SB 0529")</f>
        <v>SB 0529</v>
      </c>
      <c r="B310" s="4" t="s">
        <v>223</v>
      </c>
      <c r="C310" s="19" t="s">
        <v>305</v>
      </c>
      <c r="D310" s="6">
        <v>43763</v>
      </c>
      <c r="E310" s="3" t="str">
        <f>HYPERLINK("https://docs.legis.wisconsin.gov/2019/proposals/ab599","AB 0599")</f>
        <v>AB 0599</v>
      </c>
      <c r="F310" s="7"/>
      <c r="G310" s="5"/>
      <c r="H310" s="5"/>
      <c r="I310" s="8"/>
      <c r="J310" s="8"/>
      <c r="K310" s="5"/>
      <c r="L310" s="14"/>
      <c r="M310" s="5"/>
      <c r="N310" s="5"/>
      <c r="O310" s="5"/>
      <c r="P310" s="79"/>
      <c r="Q310" s="79"/>
      <c r="R310" s="79"/>
      <c r="S310" s="79"/>
      <c r="T310" s="79"/>
      <c r="U310" s="79"/>
      <c r="V310" s="79"/>
      <c r="W310" s="79"/>
      <c r="X310" s="79"/>
      <c r="Y310" s="79"/>
      <c r="Z310" s="79"/>
      <c r="AA310" s="79"/>
      <c r="AB310" s="79"/>
      <c r="AC310" s="79"/>
      <c r="AD310" s="79"/>
      <c r="AE310" s="79"/>
      <c r="AF310" s="79"/>
      <c r="AG310" s="79"/>
    </row>
    <row r="311" spans="1:33" ht="24" x14ac:dyDescent="0.2">
      <c r="A311" s="3" t="str">
        <f>HYPERLINK("https://docs.legis.wisconsin.gov/2019/proposals/reg/sen/bill/sb552","SB 0552")</f>
        <v>SB 0552</v>
      </c>
      <c r="B311" s="4" t="s">
        <v>224</v>
      </c>
      <c r="C311" s="19" t="s">
        <v>226</v>
      </c>
      <c r="D311" s="6">
        <v>43777</v>
      </c>
      <c r="E311" s="3" t="str">
        <f>HYPERLINK("https://docs.legis.wisconsin.gov/2019/proposals/ab601","AB 0601")</f>
        <v>AB 0601</v>
      </c>
      <c r="F311" s="13" t="str">
        <f>HYPERLINK("https://docs.legis.wisconsin.gov/2019/related/fe/sb552","Y")</f>
        <v>Y</v>
      </c>
      <c r="G311" s="14"/>
      <c r="H311" s="5" t="s">
        <v>251</v>
      </c>
      <c r="I311" s="8"/>
      <c r="J311" s="8"/>
      <c r="K311" s="5"/>
      <c r="L311" s="14"/>
      <c r="M311" s="5"/>
      <c r="N311" s="5"/>
      <c r="O311" s="5"/>
      <c r="P311" s="9"/>
      <c r="Q311" s="9"/>
      <c r="R311" s="9"/>
      <c r="S311" s="9"/>
      <c r="T311" s="9"/>
      <c r="U311" s="9"/>
      <c r="V311" s="9"/>
      <c r="W311" s="9"/>
      <c r="X311" s="9"/>
      <c r="Y311" s="9"/>
      <c r="Z311" s="9"/>
      <c r="AA311" s="9"/>
      <c r="AB311" s="9"/>
      <c r="AC311" s="9"/>
      <c r="AD311" s="9"/>
      <c r="AE311" s="9"/>
      <c r="AF311" s="9"/>
      <c r="AG311" s="9"/>
    </row>
    <row r="312" spans="1:33" ht="12.75" x14ac:dyDescent="0.2">
      <c r="A312" s="3" t="str">
        <f>HYPERLINK("https://docs.legis.wisconsin.gov/2019/proposals/reg/sen/bill/sb553","SB 0553")</f>
        <v>SB 0553</v>
      </c>
      <c r="B312" s="4" t="s">
        <v>225</v>
      </c>
      <c r="C312" s="19" t="s">
        <v>226</v>
      </c>
      <c r="D312" s="6">
        <v>43777</v>
      </c>
      <c r="E312" s="3" t="str">
        <f>HYPERLINK("https://docs.legis.wisconsin.gov/2019/proposals/ab602","AB 0602")</f>
        <v>AB 0602</v>
      </c>
      <c r="F312" s="7"/>
      <c r="G312" s="5"/>
      <c r="H312" s="5"/>
      <c r="I312" s="8"/>
      <c r="J312" s="8"/>
      <c r="K312" s="5"/>
      <c r="L312" s="14"/>
      <c r="M312" s="5"/>
      <c r="N312" s="5"/>
      <c r="O312" s="5"/>
      <c r="P312" s="79"/>
      <c r="Q312" s="79"/>
      <c r="R312" s="79"/>
      <c r="S312" s="79"/>
      <c r="T312" s="79"/>
      <c r="U312" s="79"/>
      <c r="V312" s="79"/>
      <c r="W312" s="79"/>
      <c r="X312" s="79"/>
      <c r="Y312" s="79"/>
      <c r="Z312" s="79"/>
      <c r="AA312" s="79"/>
      <c r="AB312" s="79"/>
      <c r="AC312" s="79"/>
      <c r="AD312" s="79"/>
      <c r="AE312" s="79"/>
      <c r="AF312" s="79"/>
      <c r="AG312" s="79"/>
    </row>
    <row r="313" spans="1:33" ht="48" x14ac:dyDescent="0.2">
      <c r="A313" s="3" t="s">
        <v>354</v>
      </c>
      <c r="B313" s="4" t="s">
        <v>218</v>
      </c>
      <c r="C313" s="19" t="s">
        <v>237</v>
      </c>
      <c r="D313" s="6">
        <v>43777</v>
      </c>
      <c r="E313" s="3" t="str">
        <f>HYPERLINK("https://docs.legis.wisconsin.gov/2019/proposals/ab594","AB 0594")</f>
        <v>AB 0594</v>
      </c>
      <c r="F313" s="13" t="str">
        <f>HYPERLINK("https://docs.legis.wisconsin.gov/2019/related/fe/sb554","Y")</f>
        <v>Y</v>
      </c>
      <c r="G313" s="14"/>
      <c r="H313" s="5" t="s">
        <v>251</v>
      </c>
      <c r="I313" s="8"/>
      <c r="J313" s="8"/>
      <c r="K313" s="5"/>
      <c r="L313" s="14"/>
      <c r="M313" s="5"/>
      <c r="N313" s="5"/>
      <c r="O313" s="5"/>
      <c r="P313" s="9"/>
      <c r="Q313" s="9"/>
      <c r="R313" s="9"/>
      <c r="S313" s="9"/>
      <c r="T313" s="9"/>
      <c r="U313" s="9"/>
      <c r="V313" s="9"/>
      <c r="W313" s="9"/>
      <c r="X313" s="9"/>
      <c r="Y313" s="9"/>
      <c r="Z313" s="9"/>
      <c r="AA313" s="9"/>
      <c r="AB313" s="9"/>
      <c r="AC313" s="9"/>
      <c r="AD313" s="9"/>
      <c r="AE313" s="9"/>
      <c r="AF313" s="9"/>
      <c r="AG313" s="9"/>
    </row>
    <row r="314" spans="1:33" ht="36" x14ac:dyDescent="0.2">
      <c r="A314" s="3" t="str">
        <f>HYPERLINK("https://docs.legis.wisconsin.gov/2019/proposals/reg/sen/bill/sb555","SB 0555")</f>
        <v>SB 0555</v>
      </c>
      <c r="B314" s="4" t="s">
        <v>355</v>
      </c>
      <c r="C314" s="19" t="s">
        <v>237</v>
      </c>
      <c r="D314" s="6">
        <v>43777</v>
      </c>
      <c r="E314" s="3" t="str">
        <f>HYPERLINK("https://docs.legis.wisconsin.gov/2019/proposals/ab595","AB 0595")</f>
        <v>AB 0595</v>
      </c>
      <c r="F314" s="13" t="str">
        <f>HYPERLINK("https://docs.legis.wisconsin.gov/2019/related/fe/sb555","Y")</f>
        <v>Y</v>
      </c>
      <c r="G314" s="14"/>
      <c r="H314" s="5" t="s">
        <v>251</v>
      </c>
      <c r="I314" s="8"/>
      <c r="J314" s="8"/>
      <c r="K314" s="5"/>
      <c r="L314" s="14"/>
      <c r="M314" s="5"/>
      <c r="N314" s="5"/>
      <c r="O314" s="5"/>
      <c r="P314" s="9"/>
      <c r="Q314" s="9"/>
      <c r="R314" s="9"/>
      <c r="S314" s="9"/>
      <c r="T314" s="9"/>
      <c r="U314" s="9"/>
      <c r="V314" s="9"/>
      <c r="W314" s="9"/>
      <c r="X314" s="9"/>
      <c r="Y314" s="9"/>
      <c r="Z314" s="9"/>
      <c r="AA314" s="9"/>
      <c r="AB314" s="9"/>
      <c r="AC314" s="9"/>
      <c r="AD314" s="9"/>
      <c r="AE314" s="9"/>
      <c r="AF314" s="9"/>
      <c r="AG314" s="9"/>
    </row>
    <row r="315" spans="1:33" ht="24" x14ac:dyDescent="0.2">
      <c r="A315" s="3" t="str">
        <f>HYPERLINK("https://docs.legis.wisconsin.gov/2019/proposals/reg/sen/bill/sb563","SB 0563")</f>
        <v>SB 0563</v>
      </c>
      <c r="B315" s="4" t="s">
        <v>356</v>
      </c>
      <c r="C315" s="19" t="s">
        <v>319</v>
      </c>
      <c r="D315" s="6">
        <v>43784</v>
      </c>
      <c r="E315" s="3" t="str">
        <f>HYPERLINK("https://docs.legis.wisconsin.gov/2019/proposals/ab627","AB 0627")</f>
        <v>AB 0627</v>
      </c>
      <c r="F315" s="7"/>
      <c r="G315" s="5"/>
      <c r="H315" s="5"/>
      <c r="I315" s="8"/>
      <c r="J315" s="8"/>
      <c r="K315" s="5"/>
      <c r="L315" s="14"/>
      <c r="M315" s="5"/>
      <c r="N315" s="5"/>
      <c r="O315" s="5"/>
      <c r="P315" s="79"/>
      <c r="Q315" s="79"/>
      <c r="R315" s="79"/>
      <c r="S315" s="79"/>
      <c r="T315" s="79"/>
      <c r="U315" s="79"/>
      <c r="V315" s="79"/>
      <c r="W315" s="79"/>
      <c r="X315" s="79"/>
      <c r="Y315" s="79"/>
      <c r="Z315" s="79"/>
      <c r="AA315" s="79"/>
      <c r="AB315" s="79"/>
      <c r="AC315" s="79"/>
      <c r="AD315" s="79"/>
      <c r="AE315" s="79"/>
      <c r="AF315" s="79"/>
      <c r="AG315" s="79"/>
    </row>
    <row r="316" spans="1:33" ht="12.75" x14ac:dyDescent="0.2">
      <c r="A316" s="3" t="str">
        <f>HYPERLINK("https://docs.legis.wisconsin.gov/2019/proposals/reg/sen/bill/sb569","SB 0569")</f>
        <v>SB 0569</v>
      </c>
      <c r="B316" s="4" t="s">
        <v>357</v>
      </c>
      <c r="C316" s="19" t="s">
        <v>358</v>
      </c>
      <c r="D316" s="6">
        <v>43791</v>
      </c>
      <c r="E316" s="3" t="str">
        <f>HYPERLINK("https://docs.legis.wisconsin.gov/2019/proposals/ab603","AB 0603")</f>
        <v>AB 0603</v>
      </c>
      <c r="F316" s="19"/>
      <c r="G316" s="5"/>
      <c r="H316" s="5"/>
      <c r="I316" s="8"/>
      <c r="J316" s="8"/>
      <c r="K316" s="5"/>
      <c r="L316" s="14"/>
      <c r="M316" s="5"/>
      <c r="N316" s="5"/>
      <c r="O316" s="5"/>
      <c r="P316" s="79"/>
      <c r="Q316" s="79"/>
      <c r="R316" s="79"/>
      <c r="S316" s="79"/>
      <c r="T316" s="79"/>
      <c r="U316" s="79"/>
      <c r="V316" s="79"/>
      <c r="W316" s="79"/>
      <c r="X316" s="79"/>
      <c r="Y316" s="79"/>
      <c r="Z316" s="79"/>
      <c r="AA316" s="79"/>
      <c r="AB316" s="79"/>
      <c r="AC316" s="79"/>
      <c r="AD316" s="79"/>
      <c r="AE316" s="79"/>
      <c r="AF316" s="79"/>
      <c r="AG316" s="79"/>
    </row>
    <row r="317" spans="1:33" ht="24" x14ac:dyDescent="0.2">
      <c r="A317" s="3" t="str">
        <f>HYPERLINK("https://docs.legis.wisconsin.gov/2019/proposals/reg/sen/bill/sb571","SB 0571")</f>
        <v>SB 0571</v>
      </c>
      <c r="B317" s="4" t="s">
        <v>228</v>
      </c>
      <c r="C317" s="19" t="s">
        <v>358</v>
      </c>
      <c r="D317" s="6">
        <v>43791</v>
      </c>
      <c r="E317" s="3" t="str">
        <f>HYPERLINK("https://docs.legis.wisconsin.gov/2019/proposals/ab604","AB 0604")</f>
        <v>AB 0604</v>
      </c>
      <c r="F317" s="13" t="str">
        <f>HYPERLINK("https://docs.legis.wisconsin.gov/2019/related/fe/sb571","Y")</f>
        <v>Y</v>
      </c>
      <c r="G317" s="14"/>
      <c r="H317" s="5" t="s">
        <v>251</v>
      </c>
      <c r="I317" s="8"/>
      <c r="J317" s="8"/>
      <c r="K317" s="5"/>
      <c r="L317" s="14"/>
      <c r="M317" s="5"/>
      <c r="N317" s="5"/>
      <c r="O317" s="5"/>
      <c r="P317" s="9"/>
      <c r="Q317" s="9"/>
      <c r="R317" s="9"/>
      <c r="S317" s="9"/>
      <c r="T317" s="9"/>
      <c r="U317" s="9"/>
      <c r="V317" s="9"/>
      <c r="W317" s="9"/>
      <c r="X317" s="9"/>
      <c r="Y317" s="9"/>
      <c r="Z317" s="9"/>
      <c r="AA317" s="9"/>
      <c r="AB317" s="9"/>
      <c r="AC317" s="9"/>
      <c r="AD317" s="9"/>
      <c r="AE317" s="9"/>
      <c r="AF317" s="9"/>
      <c r="AG317" s="9"/>
    </row>
    <row r="318" spans="1:33" ht="12.75" x14ac:dyDescent="0.2">
      <c r="A318" s="3" t="str">
        <f>HYPERLINK("https://docs.legis.wisconsin.gov/2019/proposals/reg/sen/bill/sb578","SB 0578")</f>
        <v>SB 0578</v>
      </c>
      <c r="B318" s="4" t="s">
        <v>236</v>
      </c>
      <c r="C318" s="19" t="s">
        <v>237</v>
      </c>
      <c r="D318" s="6">
        <v>43791</v>
      </c>
      <c r="E318" s="3" t="str">
        <f>HYPERLINK("https://docs.legis.wisconsin.gov/2019/proposals/ab632","AB 0632")</f>
        <v>AB 0632</v>
      </c>
      <c r="F318" s="13" t="str">
        <f>HYPERLINK("https://docs.legis.wisconsin.gov/2019/related/fe/sb578","Y")</f>
        <v>Y</v>
      </c>
      <c r="G318" s="14"/>
      <c r="H318" s="5" t="s">
        <v>251</v>
      </c>
      <c r="I318" s="8"/>
      <c r="J318" s="8"/>
      <c r="K318" s="5"/>
      <c r="L318" s="14"/>
      <c r="M318" s="3" t="str">
        <f>HYPERLINK("https://docs.legis.wisconsin.gov/misc/lc/hearing_testimony_and_materials/2019/sb578","Oppose")</f>
        <v>Oppose</v>
      </c>
      <c r="N318" s="5"/>
      <c r="O318" s="5"/>
      <c r="P318" s="9"/>
      <c r="Q318" s="9"/>
      <c r="R318" s="9"/>
      <c r="S318" s="9"/>
      <c r="T318" s="9"/>
      <c r="U318" s="9"/>
      <c r="V318" s="9"/>
      <c r="W318" s="9"/>
      <c r="X318" s="9"/>
      <c r="Y318" s="9"/>
      <c r="Z318" s="9"/>
      <c r="AA318" s="9"/>
      <c r="AB318" s="9"/>
      <c r="AC318" s="9"/>
      <c r="AD318" s="9"/>
      <c r="AE318" s="9"/>
      <c r="AF318" s="9"/>
      <c r="AG318" s="9"/>
    </row>
    <row r="319" spans="1:33" ht="24" x14ac:dyDescent="0.2">
      <c r="A319" s="3" t="str">
        <f>HYPERLINK("https://docs.legis.wisconsin.gov/2019/proposals/reg/sen/bill/sb579","SB 0579")</f>
        <v>SB 0579</v>
      </c>
      <c r="B319" s="4" t="s">
        <v>238</v>
      </c>
      <c r="C319" s="19" t="s">
        <v>237</v>
      </c>
      <c r="D319" s="6">
        <v>43791</v>
      </c>
      <c r="E319" s="3" t="str">
        <f>HYPERLINK("https://docs.legis.wisconsin.gov/2019/proposals/ab635","AB 0635")</f>
        <v>AB 0635</v>
      </c>
      <c r="F319" s="13" t="str">
        <f>HYPERLINK("https://docs.legis.wisconsin.gov/2019/related/fe/sb579","Y")</f>
        <v>Y</v>
      </c>
      <c r="G319" s="14"/>
      <c r="H319" s="5"/>
      <c r="I319" s="8"/>
      <c r="J319" s="8"/>
      <c r="K319" s="5"/>
      <c r="L319" s="14"/>
      <c r="M319" s="5"/>
      <c r="N319" s="5"/>
      <c r="O319" s="5"/>
      <c r="P319" s="9"/>
      <c r="Q319" s="9"/>
      <c r="R319" s="9"/>
      <c r="S319" s="9"/>
      <c r="T319" s="9"/>
      <c r="U319" s="9"/>
      <c r="V319" s="9"/>
      <c r="W319" s="9"/>
      <c r="X319" s="9"/>
      <c r="Y319" s="9"/>
      <c r="Z319" s="9"/>
      <c r="AA319" s="9"/>
      <c r="AB319" s="9"/>
      <c r="AC319" s="9"/>
      <c r="AD319" s="9"/>
      <c r="AE319" s="9"/>
      <c r="AF319" s="9"/>
      <c r="AG319" s="9"/>
    </row>
    <row r="320" spans="1:33" ht="24" x14ac:dyDescent="0.2">
      <c r="A320" s="3" t="str">
        <f>HYPERLINK("https://docs.legis.wisconsin.gov/2019/proposals/reg/sen/bill/sb589","SB 0589")</f>
        <v>SB 0589</v>
      </c>
      <c r="B320" s="4" t="s">
        <v>176</v>
      </c>
      <c r="C320" s="19" t="s">
        <v>338</v>
      </c>
      <c r="D320" s="6">
        <v>43796</v>
      </c>
      <c r="E320" s="3" t="str">
        <f>HYPERLINK("https://docs.legis.wisconsin.gov/2019/proposals/ab460","AB 0460")</f>
        <v>AB 0460</v>
      </c>
      <c r="F320" s="13" t="str">
        <f>HYPERLINK("https://docs.legis.wisconsin.gov/2019/related/fe/sb589","Y")</f>
        <v>Y</v>
      </c>
      <c r="G320" s="14"/>
      <c r="H320" s="5"/>
      <c r="I320" s="8"/>
      <c r="J320" s="8"/>
      <c r="K320" s="5"/>
      <c r="L320" s="14"/>
      <c r="M320" s="5"/>
      <c r="N320" s="5"/>
      <c r="O320" s="5"/>
      <c r="P320" s="9"/>
      <c r="Q320" s="9"/>
      <c r="R320" s="9"/>
      <c r="S320" s="9"/>
      <c r="T320" s="9"/>
      <c r="U320" s="9"/>
      <c r="V320" s="9"/>
      <c r="W320" s="9"/>
      <c r="X320" s="9"/>
      <c r="Y320" s="9"/>
      <c r="Z320" s="9"/>
      <c r="AA320" s="9"/>
      <c r="AB320" s="9"/>
      <c r="AC320" s="9"/>
      <c r="AD320" s="9"/>
      <c r="AE320" s="9"/>
      <c r="AF320" s="9"/>
      <c r="AG320" s="9"/>
    </row>
    <row r="321" spans="1:33" ht="24" x14ac:dyDescent="0.2">
      <c r="A321" s="3" t="str">
        <f>HYPERLINK("https://docs.legis.wisconsin.gov/2019/proposals/reg/sen/bill/sb595","SB 0595")</f>
        <v>SB 0595</v>
      </c>
      <c r="B321" s="4" t="s">
        <v>240</v>
      </c>
      <c r="C321" s="19" t="s">
        <v>315</v>
      </c>
      <c r="D321" s="6">
        <v>43796</v>
      </c>
      <c r="E321" s="3" t="str">
        <f>HYPERLINK("https://docs.legis.wisconsin.gov/2019/proposals/ab662","AB 0662")</f>
        <v>AB 0662</v>
      </c>
      <c r="F321" s="13" t="str">
        <f>HYPERLINK("https://docs.legis.wisconsin.gov/2019/related/fe/sb595","Y")</f>
        <v>Y</v>
      </c>
      <c r="G321" s="14"/>
      <c r="H321" s="5" t="s">
        <v>251</v>
      </c>
      <c r="I321" s="8"/>
      <c r="J321" s="8"/>
      <c r="K321" s="5"/>
      <c r="L321" s="14"/>
      <c r="M321" s="15" t="s">
        <v>42</v>
      </c>
      <c r="N321" s="3" t="str">
        <f>HYPERLINK("https://docs.legis.wisconsin.gov/2019/related/acts/170","170")</f>
        <v>170</v>
      </c>
      <c r="O321" s="3" t="str">
        <f>HYPERLINK("https://docs.legis.wisconsin.gov/2019/related/lcactmemo/act170.pdf","Y")</f>
        <v>Y</v>
      </c>
      <c r="P321" s="9"/>
      <c r="Q321" s="9"/>
      <c r="R321" s="9"/>
      <c r="S321" s="9"/>
      <c r="T321" s="9"/>
      <c r="U321" s="9"/>
      <c r="V321" s="9"/>
      <c r="W321" s="9"/>
      <c r="X321" s="9"/>
      <c r="Y321" s="9"/>
      <c r="Z321" s="9"/>
      <c r="AA321" s="9"/>
      <c r="AB321" s="9"/>
      <c r="AC321" s="9"/>
      <c r="AD321" s="9"/>
      <c r="AE321" s="9"/>
      <c r="AF321" s="9"/>
      <c r="AG321" s="9"/>
    </row>
    <row r="322" spans="1:33" ht="36" x14ac:dyDescent="0.2">
      <c r="A322" s="3" t="str">
        <f>HYPERLINK("https://docs.legis.wisconsin.gov/2019/proposals/reg/sen/bill/sb639","SB 0639")</f>
        <v>SB 0639</v>
      </c>
      <c r="B322" s="4" t="s">
        <v>295</v>
      </c>
      <c r="C322" s="19" t="s">
        <v>312</v>
      </c>
      <c r="D322" s="6">
        <v>43838</v>
      </c>
      <c r="E322" s="3" t="str">
        <f>HYPERLINK("https://docs.legis.wisconsin.gov/2019/proposals/ab702","AB 0702")</f>
        <v>AB 0702</v>
      </c>
      <c r="F322" s="19"/>
      <c r="G322" s="14"/>
      <c r="H322" s="5"/>
      <c r="I322" s="8"/>
      <c r="J322" s="8"/>
      <c r="K322" s="5"/>
      <c r="L322" s="14"/>
      <c r="M322" s="14"/>
      <c r="N322" s="5"/>
      <c r="O322" s="5"/>
      <c r="P322" s="79"/>
      <c r="Q322" s="79"/>
      <c r="R322" s="79"/>
      <c r="S322" s="79"/>
      <c r="T322" s="79"/>
      <c r="U322" s="79"/>
      <c r="V322" s="79"/>
      <c r="W322" s="79"/>
      <c r="X322" s="79"/>
      <c r="Y322" s="79"/>
      <c r="Z322" s="79"/>
      <c r="AA322" s="79"/>
      <c r="AB322" s="79"/>
      <c r="AC322" s="79"/>
      <c r="AD322" s="79"/>
      <c r="AE322" s="79"/>
      <c r="AF322" s="79"/>
      <c r="AG322" s="79"/>
    </row>
    <row r="323" spans="1:33" ht="24" x14ac:dyDescent="0.2">
      <c r="A323" s="3" t="str">
        <f>HYPERLINK("https://docs.legis.wisconsin.gov/2019/proposals/reg/sen/bill/sb653","SB 0653")</f>
        <v>SB 0653</v>
      </c>
      <c r="B323" s="4" t="s">
        <v>359</v>
      </c>
      <c r="C323" s="19" t="s">
        <v>334</v>
      </c>
      <c r="D323" s="6">
        <v>43838</v>
      </c>
      <c r="E323" s="3" t="str">
        <f>HYPERLINK("https://docs.legis.wisconsin.gov/2019/proposals/ab767","AB 0767")</f>
        <v>AB 0767</v>
      </c>
      <c r="F323" s="13" t="str">
        <f>HYPERLINK("https://docs.legis.wisconsin.gov/2019/related/fe/sb653","Y")</f>
        <v>Y</v>
      </c>
      <c r="G323" s="14"/>
      <c r="H323" s="5" t="s">
        <v>243</v>
      </c>
      <c r="I323" s="8"/>
      <c r="J323" s="8"/>
      <c r="K323" s="5"/>
      <c r="L323" s="14"/>
      <c r="M323" s="3" t="str">
        <f>HYPERLINK("https://docs.legis.wisconsin.gov/misc/lc/hearing_testimony_and_materials/2019/sb595","Support")</f>
        <v>Support</v>
      </c>
      <c r="N323" s="5"/>
      <c r="O323" s="5"/>
      <c r="P323" s="9"/>
      <c r="Q323" s="9"/>
      <c r="R323" s="9"/>
      <c r="S323" s="9"/>
      <c r="T323" s="9"/>
      <c r="U323" s="9"/>
      <c r="V323" s="9"/>
      <c r="W323" s="9"/>
      <c r="X323" s="9"/>
      <c r="Y323" s="9"/>
      <c r="Z323" s="9"/>
      <c r="AA323" s="9"/>
      <c r="AB323" s="9"/>
      <c r="AC323" s="9"/>
      <c r="AD323" s="9"/>
      <c r="AE323" s="9"/>
      <c r="AF323" s="9"/>
      <c r="AG323" s="9"/>
    </row>
    <row r="324" spans="1:33" ht="24" x14ac:dyDescent="0.2">
      <c r="A324" s="3" t="str">
        <f>HYPERLINK("https://docs.legis.wisconsin.gov/2019/proposals/reg/sen/bill/sb658","SB 0658")</f>
        <v>SB 0658</v>
      </c>
      <c r="B324" s="4" t="s">
        <v>360</v>
      </c>
      <c r="C324" s="19" t="s">
        <v>317</v>
      </c>
      <c r="D324" s="6">
        <v>43838</v>
      </c>
      <c r="E324" s="3" t="str">
        <f>HYPERLINK("https://docs.legis.wisconsin.gov/2019/proposals/ab730","AB 0730")</f>
        <v>AB 0730</v>
      </c>
      <c r="F324" s="19"/>
      <c r="G324" s="14"/>
      <c r="H324" s="5"/>
      <c r="I324" s="17"/>
      <c r="J324" s="17"/>
      <c r="K324" s="3" t="str">
        <f>HYPERLINK("http://www.thewheelerreport.com/wheeler_docs/files/19lrb4156csm.pdf","CM-Erpenbach")</f>
        <v>CM-Erpenbach</v>
      </c>
      <c r="L324" s="14"/>
      <c r="M324" s="5"/>
      <c r="N324" s="5"/>
      <c r="O324" s="5"/>
      <c r="P324" s="9"/>
      <c r="Q324" s="9"/>
      <c r="R324" s="9"/>
      <c r="S324" s="9"/>
      <c r="T324" s="9"/>
      <c r="U324" s="9"/>
      <c r="V324" s="9"/>
      <c r="W324" s="9"/>
      <c r="X324" s="9"/>
      <c r="Y324" s="9"/>
      <c r="Z324" s="9"/>
      <c r="AA324" s="9"/>
      <c r="AB324" s="9"/>
      <c r="AC324" s="9"/>
      <c r="AD324" s="9"/>
      <c r="AE324" s="9"/>
      <c r="AF324" s="9"/>
      <c r="AG324" s="9"/>
    </row>
    <row r="325" spans="1:33" ht="24" x14ac:dyDescent="0.2">
      <c r="A325" s="3" t="str">
        <f>HYPERLINK("https://docs.legis.wisconsin.gov/2019/proposals/reg/sen/bill/sb659","SB 0659")</f>
        <v>SB 0659</v>
      </c>
      <c r="B325" s="4" t="s">
        <v>361</v>
      </c>
      <c r="C325" s="19" t="s">
        <v>317</v>
      </c>
      <c r="D325" s="6">
        <v>43473</v>
      </c>
      <c r="E325" s="3" t="str">
        <f>HYPERLINK("https://docs.legis.wisconsin.gov/2019/proposals/ab727","AB 0727")</f>
        <v>AB 0727</v>
      </c>
      <c r="F325" s="19"/>
      <c r="G325" s="14"/>
      <c r="H325" s="5"/>
      <c r="I325" s="17"/>
      <c r="J325" s="17"/>
      <c r="K325" s="14"/>
      <c r="L325" s="14"/>
      <c r="M325" s="5"/>
      <c r="N325" s="5"/>
      <c r="O325" s="5"/>
      <c r="P325" s="9"/>
      <c r="Q325" s="9"/>
      <c r="R325" s="9"/>
      <c r="S325" s="9"/>
      <c r="T325" s="9"/>
      <c r="U325" s="9"/>
      <c r="V325" s="9"/>
      <c r="W325" s="9"/>
      <c r="X325" s="9"/>
      <c r="Y325" s="9"/>
      <c r="Z325" s="9"/>
      <c r="AA325" s="9"/>
      <c r="AB325" s="9"/>
      <c r="AC325" s="9"/>
      <c r="AD325" s="9"/>
      <c r="AE325" s="9"/>
      <c r="AF325" s="9"/>
      <c r="AG325" s="9"/>
    </row>
    <row r="326" spans="1:33" ht="36" x14ac:dyDescent="0.2">
      <c r="A326" s="3" t="str">
        <f>HYPERLINK("https://docs.legis.wisconsin.gov/2019/proposals/reg/sen/bill/sb660","SB 0660")</f>
        <v>SB 0660</v>
      </c>
      <c r="B326" s="4" t="s">
        <v>362</v>
      </c>
      <c r="C326" s="19" t="s">
        <v>317</v>
      </c>
      <c r="D326" s="6">
        <v>43838</v>
      </c>
      <c r="E326" s="3" t="str">
        <f>HYPERLINK("https://docs.legis.wisconsin.gov/2019/proposals/ab728","AB 0728")</f>
        <v>AB 0728</v>
      </c>
      <c r="F326" s="13" t="str">
        <f>HYPERLINK("https://docs.legis.wisconsin.gov/2019/related/fe/sb660","Y")</f>
        <v>Y</v>
      </c>
      <c r="G326" s="14"/>
      <c r="H326" s="5"/>
      <c r="I326" s="8"/>
      <c r="J326" s="8"/>
      <c r="K326" s="5"/>
      <c r="L326" s="14"/>
      <c r="M326" s="5"/>
      <c r="N326" s="5"/>
      <c r="O326" s="5"/>
      <c r="P326" s="9"/>
      <c r="Q326" s="9"/>
      <c r="R326" s="9"/>
      <c r="S326" s="9"/>
      <c r="T326" s="9"/>
      <c r="U326" s="9"/>
      <c r="V326" s="9"/>
      <c r="W326" s="9"/>
      <c r="X326" s="9"/>
      <c r="Y326" s="9"/>
      <c r="Z326" s="9"/>
      <c r="AA326" s="9"/>
      <c r="AB326" s="9"/>
      <c r="AC326" s="9"/>
      <c r="AD326" s="9"/>
      <c r="AE326" s="9"/>
      <c r="AF326" s="9"/>
      <c r="AG326" s="9"/>
    </row>
    <row r="327" spans="1:33" ht="36" x14ac:dyDescent="0.2">
      <c r="A327" s="3" t="str">
        <f>HYPERLINK("https://docs.legis.wisconsin.gov/2019/proposals/reg/sen/bill/sb661","SB 0661")</f>
        <v>SB 0661</v>
      </c>
      <c r="B327" s="4" t="s">
        <v>363</v>
      </c>
      <c r="C327" s="19" t="s">
        <v>331</v>
      </c>
      <c r="D327" s="6">
        <v>43838</v>
      </c>
      <c r="E327" s="3" t="str">
        <f>HYPERLINK("https://docs.legis.wisconsin.gov/2019/proposals/ab729","AB 0729")</f>
        <v>AB 0729</v>
      </c>
      <c r="F327" s="19"/>
      <c r="G327" s="14"/>
      <c r="H327" s="5"/>
      <c r="I327" s="17"/>
      <c r="J327" s="17"/>
      <c r="K327" s="3" t="str">
        <f>HYPERLINK("http://www.thewheelerreport.com/wheeler_docs/files/19lrb5044csm.pdf","CM-Bewley")</f>
        <v>CM-Bewley</v>
      </c>
      <c r="L327" s="14"/>
      <c r="M327" s="5"/>
      <c r="N327" s="5"/>
      <c r="O327" s="5"/>
      <c r="P327" s="9"/>
      <c r="Q327" s="9"/>
      <c r="R327" s="9"/>
      <c r="S327" s="9"/>
      <c r="T327" s="9"/>
      <c r="U327" s="9"/>
      <c r="V327" s="9"/>
      <c r="W327" s="9"/>
      <c r="X327" s="9"/>
      <c r="Y327" s="9"/>
      <c r="Z327" s="9"/>
      <c r="AA327" s="9"/>
      <c r="AB327" s="9"/>
      <c r="AC327" s="9"/>
      <c r="AD327" s="9"/>
      <c r="AE327" s="9"/>
      <c r="AF327" s="9"/>
      <c r="AG327" s="9"/>
    </row>
    <row r="328" spans="1:33" ht="12.75" x14ac:dyDescent="0.2">
      <c r="A328" s="3" t="str">
        <f>HYPERLINK("https://docs.legis.wisconsin.gov/2019/proposals/sb688","SB 0688")</f>
        <v>SB 0688</v>
      </c>
      <c r="B328" s="4" t="s">
        <v>246</v>
      </c>
      <c r="C328" s="19" t="s">
        <v>313</v>
      </c>
      <c r="D328" s="6">
        <v>43846</v>
      </c>
      <c r="E328" s="3" t="str">
        <f>HYPERLINK("https://docs.legis.wisconsin.gov/2019/proposals/ab737","AB 0737")</f>
        <v>AB 0737</v>
      </c>
      <c r="F328" s="19"/>
      <c r="G328" s="14"/>
      <c r="H328" s="5"/>
      <c r="I328" s="8"/>
      <c r="J328" s="8"/>
      <c r="K328" s="5"/>
      <c r="L328" s="14"/>
      <c r="M328" s="5"/>
      <c r="N328" s="5"/>
      <c r="O328" s="5"/>
      <c r="P328" s="79"/>
      <c r="Q328" s="79"/>
      <c r="R328" s="79"/>
      <c r="S328" s="79"/>
      <c r="T328" s="79"/>
      <c r="U328" s="79"/>
      <c r="V328" s="79"/>
      <c r="W328" s="79"/>
      <c r="X328" s="79"/>
      <c r="Y328" s="79"/>
      <c r="Z328" s="79"/>
      <c r="AA328" s="79"/>
      <c r="AB328" s="79"/>
      <c r="AC328" s="79"/>
      <c r="AD328" s="79"/>
      <c r="AE328" s="79"/>
      <c r="AF328" s="79"/>
      <c r="AG328" s="79"/>
    </row>
    <row r="329" spans="1:33" ht="24" x14ac:dyDescent="0.2">
      <c r="A329" s="3" t="str">
        <f>HYPERLINK("https://docs.legis.wisconsin.gov/2019/proposals/sb692","SB 0692")</f>
        <v>SB 0692</v>
      </c>
      <c r="B329" s="4" t="s">
        <v>250</v>
      </c>
      <c r="C329" s="19" t="s">
        <v>364</v>
      </c>
      <c r="D329" s="6">
        <v>43846</v>
      </c>
      <c r="E329" s="3" t="str">
        <f>HYPERLINK("https://docs.legis.wisconsin.gov/2019/proposals/reg/asm/bill/ab761","AB 0761")</f>
        <v>AB 0761</v>
      </c>
      <c r="F329" s="13" t="str">
        <f>HYPERLINK("https://docs.legis.wisconsin.gov/2019/related/fe/sb692","Y")</f>
        <v>Y</v>
      </c>
      <c r="G329" s="14" t="s">
        <v>273</v>
      </c>
      <c r="H329" s="5" t="s">
        <v>251</v>
      </c>
      <c r="I329" s="17"/>
      <c r="J329" s="17"/>
      <c r="K329" s="14"/>
      <c r="L329" s="14" t="s">
        <v>365</v>
      </c>
      <c r="M329" s="5"/>
      <c r="N329" s="5"/>
      <c r="O329" s="5"/>
      <c r="P329" s="52"/>
      <c r="Q329" s="52"/>
      <c r="R329" s="52"/>
      <c r="S329" s="52"/>
      <c r="T329" s="52"/>
      <c r="U329" s="52"/>
      <c r="V329" s="52"/>
      <c r="W329" s="52"/>
      <c r="X329" s="52"/>
      <c r="Y329" s="52"/>
      <c r="Z329" s="52"/>
      <c r="AA329" s="52"/>
      <c r="AB329" s="52"/>
      <c r="AC329" s="52"/>
      <c r="AD329" s="52"/>
      <c r="AE329" s="52"/>
      <c r="AF329" s="52"/>
      <c r="AG329" s="52"/>
    </row>
    <row r="330" spans="1:33" ht="36" x14ac:dyDescent="0.2">
      <c r="A330" s="3" t="str">
        <f>HYPERLINK("https://docs.legis.wisconsin.gov/2019/proposals/sb693","SB 0693")</f>
        <v>SB 0693</v>
      </c>
      <c r="B330" s="4" t="s">
        <v>366</v>
      </c>
      <c r="C330" s="19" t="s">
        <v>322</v>
      </c>
      <c r="D330" s="6">
        <v>43846</v>
      </c>
      <c r="E330" s="3" t="str">
        <f>HYPERLINK("https://docs.legis.wisconsin.gov/2019/proposals/reg/asm/bill/ab759","AB 0759")</f>
        <v>AB 0759</v>
      </c>
      <c r="F330" s="13" t="str">
        <f>HYPERLINK("https://docs.legis.wisconsin.gov/2019/related/fe/sb693","Y (other agencies)")</f>
        <v>Y (other agencies)</v>
      </c>
      <c r="G330" s="14"/>
      <c r="H330" s="5" t="s">
        <v>243</v>
      </c>
      <c r="I330" s="8"/>
      <c r="J330" s="8"/>
      <c r="K330" s="5"/>
      <c r="L330" s="14"/>
      <c r="M330" s="5"/>
      <c r="N330" s="5"/>
      <c r="O330" s="5"/>
      <c r="P330" s="52"/>
      <c r="Q330" s="52"/>
      <c r="R330" s="52"/>
      <c r="S330" s="52"/>
      <c r="T330" s="52"/>
      <c r="U330" s="52"/>
      <c r="V330" s="52"/>
      <c r="W330" s="52"/>
      <c r="X330" s="52"/>
      <c r="Y330" s="52"/>
      <c r="Z330" s="52"/>
      <c r="AA330" s="52"/>
      <c r="AB330" s="52"/>
      <c r="AC330" s="52"/>
      <c r="AD330" s="52"/>
      <c r="AE330" s="52"/>
      <c r="AF330" s="52"/>
      <c r="AG330" s="52"/>
    </row>
    <row r="331" spans="1:33" ht="24" x14ac:dyDescent="0.2">
      <c r="A331" s="3" t="str">
        <f>HYPERLINK("https://docs.legis.wisconsin.gov/2019/proposals/sb705","SB 0705")</f>
        <v>SB 0705</v>
      </c>
      <c r="B331" s="4" t="s">
        <v>367</v>
      </c>
      <c r="C331" s="19" t="s">
        <v>321</v>
      </c>
      <c r="D331" s="6">
        <v>43854</v>
      </c>
      <c r="E331" s="3" t="str">
        <f>HYPERLINK("https://docs.legis.wisconsin.gov/2019/proposals/reg/asm/bill/ab779","AB 0779")</f>
        <v>AB 0779</v>
      </c>
      <c r="F331" s="13" t="str">
        <f>HYPERLINK("https://docs.legis.wisconsin.gov/2019/related/fe/sb705","Y")</f>
        <v>Y</v>
      </c>
      <c r="G331" s="14"/>
      <c r="H331" s="5" t="s">
        <v>243</v>
      </c>
      <c r="I331" s="8"/>
      <c r="J331" s="8"/>
      <c r="K331" s="5"/>
      <c r="L331" s="14"/>
      <c r="M331" s="14"/>
      <c r="N331" s="14"/>
      <c r="O331" s="14"/>
      <c r="P331" s="52"/>
      <c r="Q331" s="52"/>
      <c r="R331" s="52"/>
      <c r="S331" s="52"/>
      <c r="T331" s="52"/>
      <c r="U331" s="52"/>
      <c r="V331" s="52"/>
      <c r="W331" s="52"/>
      <c r="X331" s="52"/>
      <c r="Y331" s="52"/>
      <c r="Z331" s="52"/>
      <c r="AA331" s="52"/>
      <c r="AB331" s="52"/>
      <c r="AC331" s="52"/>
      <c r="AD331" s="52"/>
      <c r="AE331" s="52"/>
      <c r="AF331" s="52"/>
      <c r="AG331" s="52"/>
    </row>
    <row r="332" spans="1:33" ht="24" x14ac:dyDescent="0.2">
      <c r="A332" s="3" t="str">
        <f>HYPERLINK("https://docs.legis.wisconsin.gov/2019/proposals/reg/sen/bill/sb712","SB 0712")</f>
        <v>SB 0712</v>
      </c>
      <c r="B332" s="4" t="s">
        <v>368</v>
      </c>
      <c r="C332" s="19" t="s">
        <v>315</v>
      </c>
      <c r="D332" s="6">
        <v>43854</v>
      </c>
      <c r="E332" s="3" t="str">
        <f>HYPERLINK("https://docs.legis.wisconsin.gov/2019/proposals/ab801","AB 0801")</f>
        <v>AB 0801</v>
      </c>
      <c r="F332" s="19"/>
      <c r="G332" s="14"/>
      <c r="H332" s="5"/>
      <c r="I332" s="8"/>
      <c r="J332" s="8"/>
      <c r="K332" s="5"/>
      <c r="L332" s="14"/>
      <c r="M332" s="5"/>
      <c r="N332" s="5"/>
      <c r="O332" s="5"/>
      <c r="P332" s="52"/>
      <c r="Q332" s="52"/>
      <c r="R332" s="52"/>
      <c r="S332" s="52"/>
      <c r="T332" s="52"/>
      <c r="U332" s="52"/>
      <c r="V332" s="52"/>
      <c r="W332" s="52"/>
      <c r="X332" s="52"/>
      <c r="Y332" s="52"/>
      <c r="Z332" s="52"/>
      <c r="AA332" s="52"/>
      <c r="AB332" s="52"/>
      <c r="AC332" s="52"/>
      <c r="AD332" s="52"/>
      <c r="AE332" s="52"/>
      <c r="AF332" s="52"/>
      <c r="AG332" s="52"/>
    </row>
    <row r="333" spans="1:33" ht="72" x14ac:dyDescent="0.2">
      <c r="A333" s="3" t="str">
        <f>HYPERLINK("https://docs.legis.wisconsin.gov/2019/proposals/sb722","SB 0722")</f>
        <v>SB 0722</v>
      </c>
      <c r="B333" s="4" t="s">
        <v>369</v>
      </c>
      <c r="C333" s="19" t="s">
        <v>316</v>
      </c>
      <c r="D333" s="6">
        <v>43854</v>
      </c>
      <c r="E333" s="3" t="str">
        <f>HYPERLINK("https://docs.legis.wisconsin.gov/2019/proposals/ab800","AB 0800")</f>
        <v>AB 0800</v>
      </c>
      <c r="F333" s="19"/>
      <c r="G333" s="14"/>
      <c r="H333" s="5"/>
      <c r="I333" s="8"/>
      <c r="J333" s="8"/>
      <c r="K333" s="5"/>
      <c r="L333" s="14"/>
      <c r="M333" s="5"/>
      <c r="N333" s="5"/>
      <c r="O333" s="5"/>
      <c r="P333" s="52"/>
      <c r="Q333" s="52"/>
      <c r="R333" s="52"/>
      <c r="S333" s="52"/>
      <c r="T333" s="52"/>
      <c r="U333" s="52"/>
      <c r="V333" s="52"/>
      <c r="W333" s="52"/>
      <c r="X333" s="52"/>
      <c r="Y333" s="52"/>
      <c r="Z333" s="52"/>
      <c r="AA333" s="52"/>
      <c r="AB333" s="52"/>
      <c r="AC333" s="52"/>
      <c r="AD333" s="52"/>
      <c r="AE333" s="52"/>
      <c r="AF333" s="52"/>
      <c r="AG333" s="52"/>
    </row>
    <row r="334" spans="1:33" ht="24" x14ac:dyDescent="0.2">
      <c r="A334" s="3" t="str">
        <f>HYPERLINK("https://docs.legis.wisconsin.gov/2019/proposals/sb742","SB 0742")</f>
        <v>SB 0742</v>
      </c>
      <c r="B334" s="4" t="s">
        <v>262</v>
      </c>
      <c r="C334" s="19" t="s">
        <v>370</v>
      </c>
      <c r="D334" s="6">
        <v>43859</v>
      </c>
      <c r="E334" s="3" t="str">
        <f>HYPERLINK("https://docs.legis.wisconsin.gov/2019/proposals/ab835","AB 0835")</f>
        <v>AB 0835</v>
      </c>
      <c r="F334" s="19"/>
      <c r="G334" s="14"/>
      <c r="H334" s="5"/>
      <c r="I334" s="17"/>
      <c r="J334" s="17"/>
      <c r="K334" s="14"/>
      <c r="L334" s="14"/>
      <c r="M334" s="14"/>
      <c r="N334" s="14"/>
      <c r="O334" s="14"/>
      <c r="P334" s="52"/>
      <c r="Q334" s="52"/>
      <c r="R334" s="52"/>
      <c r="S334" s="52"/>
      <c r="T334" s="52"/>
      <c r="U334" s="52"/>
      <c r="V334" s="52"/>
      <c r="W334" s="52"/>
      <c r="X334" s="52"/>
      <c r="Y334" s="52"/>
      <c r="Z334" s="52"/>
      <c r="AA334" s="52"/>
      <c r="AB334" s="52"/>
      <c r="AC334" s="52"/>
      <c r="AD334" s="52"/>
      <c r="AE334" s="52"/>
      <c r="AF334" s="52"/>
      <c r="AG334" s="52"/>
    </row>
    <row r="335" spans="1:33" ht="36" x14ac:dyDescent="0.2">
      <c r="A335" s="3" t="str">
        <f>HYPERLINK("https://docs.legis.wisconsin.gov/2019/proposals/reg/sen/bill/sb744","SB 0744")</f>
        <v>SB 0744</v>
      </c>
      <c r="B335" s="4" t="s">
        <v>371</v>
      </c>
      <c r="C335" s="19" t="s">
        <v>315</v>
      </c>
      <c r="D335" s="6">
        <v>43859</v>
      </c>
      <c r="E335" s="3" t="str">
        <f>HYPERLINK("https://docs.legis.wisconsin.gov/2019/proposals/ab816","AB 0816")</f>
        <v>AB 0816</v>
      </c>
      <c r="F335" s="80" t="s">
        <v>273</v>
      </c>
      <c r="G335" s="14"/>
      <c r="H335" s="5" t="s">
        <v>251</v>
      </c>
      <c r="I335" s="8"/>
      <c r="J335" s="8"/>
      <c r="K335" s="5"/>
      <c r="L335" s="14"/>
      <c r="M335" s="5"/>
      <c r="N335" s="5"/>
      <c r="O335" s="5"/>
      <c r="P335" s="52"/>
      <c r="Q335" s="52"/>
      <c r="R335" s="52"/>
      <c r="S335" s="52"/>
      <c r="T335" s="52"/>
      <c r="U335" s="52"/>
      <c r="V335" s="52"/>
      <c r="W335" s="52"/>
      <c r="X335" s="52"/>
      <c r="Y335" s="52"/>
      <c r="Z335" s="52"/>
      <c r="AA335" s="52"/>
      <c r="AB335" s="52"/>
      <c r="AC335" s="52"/>
      <c r="AD335" s="52"/>
      <c r="AE335" s="52"/>
      <c r="AF335" s="52"/>
      <c r="AG335" s="52"/>
    </row>
    <row r="336" spans="1:33" ht="48" x14ac:dyDescent="0.2">
      <c r="A336" s="3" t="str">
        <f>HYPERLINK("https://docs.legis.wisconsin.gov/2019/proposals/reg/sen/bill/sb750","SB 0750")</f>
        <v>SB 0750</v>
      </c>
      <c r="B336" s="4" t="s">
        <v>269</v>
      </c>
      <c r="C336" s="19" t="s">
        <v>347</v>
      </c>
      <c r="D336" s="6">
        <v>43859</v>
      </c>
      <c r="E336" s="3" t="str">
        <f>HYPERLINK("https://docs.legis.wisconsin.gov/2019/proposals/ab888","AB 0888")</f>
        <v>AB 0888</v>
      </c>
      <c r="F336" s="19"/>
      <c r="G336" s="14"/>
      <c r="H336" s="5"/>
      <c r="I336" s="8"/>
      <c r="J336" s="8"/>
      <c r="K336" s="5"/>
      <c r="L336" s="14"/>
      <c r="M336" s="5"/>
      <c r="N336" s="5"/>
      <c r="O336" s="5"/>
      <c r="P336" s="52"/>
      <c r="Q336" s="52"/>
      <c r="R336" s="52"/>
      <c r="S336" s="52"/>
      <c r="T336" s="52"/>
      <c r="U336" s="52"/>
      <c r="V336" s="52"/>
      <c r="W336" s="52"/>
      <c r="X336" s="52"/>
      <c r="Y336" s="52"/>
      <c r="Z336" s="52"/>
      <c r="AA336" s="52"/>
      <c r="AB336" s="52"/>
      <c r="AC336" s="52"/>
      <c r="AD336" s="52"/>
      <c r="AE336" s="52"/>
      <c r="AF336" s="52"/>
      <c r="AG336" s="52"/>
    </row>
    <row r="337" spans="1:33" ht="24" x14ac:dyDescent="0.2">
      <c r="A337" s="3" t="str">
        <f>HYPERLINK("https://docs.legis.wisconsin.gov/2019/proposals/reg/sen/bill/sb757","SB 0757")</f>
        <v>SB 0757</v>
      </c>
      <c r="B337" s="4" t="s">
        <v>271</v>
      </c>
      <c r="C337" s="19" t="s">
        <v>329</v>
      </c>
      <c r="D337" s="6">
        <v>43859</v>
      </c>
      <c r="E337" s="3" t="str">
        <f>HYPERLINK("https://docs.legis.wisconsin.gov/2019/proposals/ab889","AB 0889")</f>
        <v>AB 0889</v>
      </c>
      <c r="F337" s="19"/>
      <c r="G337" s="14"/>
      <c r="H337" s="5"/>
      <c r="I337" s="8"/>
      <c r="J337" s="8"/>
      <c r="K337" s="5"/>
      <c r="L337" s="14"/>
      <c r="M337" s="5"/>
      <c r="N337" s="5"/>
      <c r="O337" s="5"/>
      <c r="P337" s="52"/>
      <c r="Q337" s="52"/>
      <c r="R337" s="52"/>
      <c r="S337" s="52"/>
      <c r="T337" s="52"/>
      <c r="U337" s="52"/>
      <c r="V337" s="52"/>
      <c r="W337" s="52"/>
      <c r="X337" s="52"/>
      <c r="Y337" s="52"/>
      <c r="Z337" s="52"/>
      <c r="AA337" s="52"/>
      <c r="AB337" s="52"/>
      <c r="AC337" s="52"/>
      <c r="AD337" s="52"/>
      <c r="AE337" s="52"/>
      <c r="AF337" s="52"/>
      <c r="AG337" s="52"/>
    </row>
    <row r="338" spans="1:33" ht="12.75" x14ac:dyDescent="0.2">
      <c r="A338" s="3" t="str">
        <f>HYPERLINK("https://docs.legis.wisconsin.gov/2019/proposals/sb789","SB 0789")</f>
        <v>SB 0789</v>
      </c>
      <c r="B338" s="4" t="s">
        <v>264</v>
      </c>
      <c r="C338" s="19" t="s">
        <v>315</v>
      </c>
      <c r="D338" s="6">
        <v>43867</v>
      </c>
      <c r="E338" s="3" t="str">
        <f>HYPERLINK("https://docs.legis.wisconsin.gov/2019/proposals/ab849","AB 0849")</f>
        <v>AB 0849</v>
      </c>
      <c r="F338" s="19"/>
      <c r="G338" s="14"/>
      <c r="H338" s="5"/>
      <c r="I338" s="8"/>
      <c r="J338" s="8"/>
      <c r="K338" s="5"/>
      <c r="L338" s="14"/>
      <c r="M338" s="5"/>
      <c r="N338" s="5"/>
      <c r="O338" s="5"/>
      <c r="P338" s="52"/>
      <c r="Q338" s="52"/>
      <c r="R338" s="52"/>
      <c r="S338" s="52"/>
      <c r="T338" s="52"/>
      <c r="U338" s="52"/>
      <c r="V338" s="52"/>
      <c r="W338" s="52"/>
      <c r="X338" s="52"/>
      <c r="Y338" s="52"/>
      <c r="Z338" s="52"/>
      <c r="AA338" s="52"/>
      <c r="AB338" s="52"/>
      <c r="AC338" s="52"/>
      <c r="AD338" s="52"/>
      <c r="AE338" s="52"/>
      <c r="AF338" s="52"/>
      <c r="AG338" s="52"/>
    </row>
    <row r="339" spans="1:33" ht="12.75" x14ac:dyDescent="0.2">
      <c r="A339" s="3" t="str">
        <f>HYPERLINK("https://docs.legis.wisconsin.gov/2019/proposals/sb790","SB 0790")</f>
        <v>SB 0790</v>
      </c>
      <c r="B339" s="4" t="s">
        <v>267</v>
      </c>
      <c r="C339" s="19" t="s">
        <v>338</v>
      </c>
      <c r="D339" s="6">
        <v>43867</v>
      </c>
      <c r="E339" s="3" t="str">
        <f>HYPERLINK("https://docs.legis.wisconsin.gov/2019/proposals/ab868","AB 0868")</f>
        <v>AB 0868</v>
      </c>
      <c r="F339" s="19"/>
      <c r="G339" s="14"/>
      <c r="H339" s="5"/>
      <c r="I339" s="8"/>
      <c r="J339" s="8"/>
      <c r="K339" s="5"/>
      <c r="L339" s="14"/>
      <c r="M339" s="5"/>
      <c r="N339" s="5"/>
      <c r="O339" s="5"/>
      <c r="P339" s="52"/>
      <c r="Q339" s="52"/>
      <c r="R339" s="52"/>
      <c r="S339" s="52"/>
      <c r="T339" s="52"/>
      <c r="U339" s="52"/>
      <c r="V339" s="52"/>
      <c r="W339" s="52"/>
      <c r="X339" s="52"/>
      <c r="Y339" s="52"/>
      <c r="Z339" s="52"/>
      <c r="AA339" s="52"/>
      <c r="AB339" s="52"/>
      <c r="AC339" s="52"/>
      <c r="AD339" s="52"/>
      <c r="AE339" s="52"/>
      <c r="AF339" s="52"/>
      <c r="AG339" s="52"/>
    </row>
    <row r="340" spans="1:33" ht="12.75" x14ac:dyDescent="0.2">
      <c r="A340" s="24" t="str">
        <f>HYPERLINK("https://docs.legis.wisconsin.gov/2019/proposals/sb796","SB 0796")</f>
        <v>SB 0796</v>
      </c>
      <c r="B340" s="53" t="s">
        <v>265</v>
      </c>
      <c r="C340" s="75" t="s">
        <v>358</v>
      </c>
      <c r="D340" s="61">
        <v>43872</v>
      </c>
      <c r="E340" s="24" t="str">
        <f>HYPERLINK("https://docs.legis.wisconsin.gov/2019/proposals/ab851","AB 0851")</f>
        <v>AB 0851</v>
      </c>
      <c r="F340" s="34"/>
      <c r="G340" s="35"/>
      <c r="H340" s="59"/>
      <c r="I340" s="61"/>
      <c r="J340" s="61"/>
      <c r="K340" s="58"/>
      <c r="L340" s="62"/>
      <c r="M340" s="58"/>
      <c r="N340" s="58"/>
      <c r="O340" s="58"/>
      <c r="P340" s="58"/>
      <c r="Q340" s="58"/>
      <c r="R340" s="58"/>
      <c r="S340" s="58"/>
      <c r="T340" s="58"/>
      <c r="U340" s="58"/>
      <c r="V340" s="58"/>
      <c r="W340" s="58"/>
      <c r="X340" s="58"/>
      <c r="Y340" s="58"/>
      <c r="Z340" s="58"/>
      <c r="AA340" s="58"/>
      <c r="AB340" s="58"/>
      <c r="AC340" s="58"/>
      <c r="AD340" s="58"/>
      <c r="AE340" s="58"/>
      <c r="AF340" s="58"/>
      <c r="AG340" s="58"/>
    </row>
    <row r="341" spans="1:33" ht="12.75" x14ac:dyDescent="0.2">
      <c r="A341" s="24" t="str">
        <f>HYPERLINK("https://docs.legis.wisconsin.gov/2019/proposals/sb797","SB 0797")</f>
        <v>SB 0797</v>
      </c>
      <c r="B341" s="53" t="s">
        <v>276</v>
      </c>
      <c r="C341" s="75" t="s">
        <v>321</v>
      </c>
      <c r="D341" s="61">
        <v>43872</v>
      </c>
      <c r="E341" s="24" t="str">
        <f>HYPERLINK("https://docs.legis.wisconsin.gov/2019/proposals/ab934","AB 0934")</f>
        <v>AB 0934</v>
      </c>
      <c r="F341" s="34"/>
      <c r="G341" s="35"/>
      <c r="H341" s="59"/>
      <c r="I341" s="61"/>
      <c r="J341" s="61"/>
      <c r="K341" s="58"/>
      <c r="L341" s="62"/>
      <c r="M341" s="58"/>
      <c r="N341" s="58"/>
      <c r="O341" s="58"/>
      <c r="P341" s="58"/>
      <c r="Q341" s="58"/>
      <c r="R341" s="58"/>
      <c r="S341" s="58"/>
      <c r="T341" s="58"/>
      <c r="U341" s="58"/>
      <c r="V341" s="58"/>
      <c r="W341" s="58"/>
      <c r="X341" s="58"/>
      <c r="Y341" s="58"/>
      <c r="Z341" s="58"/>
      <c r="AA341" s="58"/>
      <c r="AB341" s="58"/>
      <c r="AC341" s="58"/>
      <c r="AD341" s="58"/>
      <c r="AE341" s="58"/>
      <c r="AF341" s="58"/>
      <c r="AG341" s="58"/>
    </row>
    <row r="342" spans="1:33" ht="60" x14ac:dyDescent="0.2">
      <c r="A342" s="24" t="str">
        <f>HYPERLINK("https://docs.legis.wisconsin.gov/2019/proposals/sb809","SB 0809")</f>
        <v>SB 0809</v>
      </c>
      <c r="B342" s="53" t="s">
        <v>372</v>
      </c>
      <c r="C342" s="75" t="s">
        <v>303</v>
      </c>
      <c r="D342" s="61">
        <v>43873</v>
      </c>
      <c r="E342" s="24" t="str">
        <f>HYPERLINK("https://docs.legis.wisconsin.gov/2019/proposals/ab844","AB 0844")</f>
        <v>AB 0844</v>
      </c>
      <c r="F342" s="34"/>
      <c r="G342" s="35"/>
      <c r="H342" s="59"/>
      <c r="I342" s="61"/>
      <c r="J342" s="61"/>
      <c r="K342" s="58"/>
      <c r="L342" s="62"/>
      <c r="M342" s="58"/>
      <c r="N342" s="58"/>
      <c r="O342" s="58"/>
      <c r="P342" s="58"/>
      <c r="Q342" s="58"/>
      <c r="R342" s="58"/>
      <c r="S342" s="58"/>
      <c r="T342" s="58"/>
      <c r="U342" s="58"/>
      <c r="V342" s="58"/>
      <c r="W342" s="58"/>
      <c r="X342" s="58"/>
      <c r="Y342" s="58"/>
      <c r="Z342" s="58"/>
      <c r="AA342" s="58"/>
      <c r="AB342" s="58"/>
      <c r="AC342" s="58"/>
      <c r="AD342" s="58"/>
      <c r="AE342" s="58"/>
      <c r="AF342" s="58"/>
      <c r="AG342" s="58"/>
    </row>
    <row r="343" spans="1:33" ht="24" x14ac:dyDescent="0.2">
      <c r="A343" s="24" t="str">
        <f>HYPERLINK("https://docs.legis.wisconsin.gov/2019/proposals/sb814","SB 0814")</f>
        <v>SB 0814</v>
      </c>
      <c r="B343" s="53" t="s">
        <v>254</v>
      </c>
      <c r="C343" s="75" t="s">
        <v>327</v>
      </c>
      <c r="D343" s="61">
        <v>43873</v>
      </c>
      <c r="E343" s="24" t="str">
        <f>HYPERLINK("https://docs.legis.wisconsin.gov/2019/proposals/ab768","AB 0768")</f>
        <v>AB 0768</v>
      </c>
      <c r="F343" s="34"/>
      <c r="G343" s="35"/>
      <c r="H343" s="59"/>
      <c r="I343" s="61"/>
      <c r="J343" s="61"/>
      <c r="K343" s="58"/>
      <c r="L343" s="62"/>
      <c r="M343" s="58"/>
      <c r="N343" s="58"/>
      <c r="O343" s="58"/>
      <c r="P343" s="58"/>
      <c r="Q343" s="58"/>
      <c r="R343" s="58"/>
      <c r="S343" s="58"/>
      <c r="T343" s="58"/>
      <c r="U343" s="58"/>
      <c r="V343" s="58"/>
      <c r="W343" s="58"/>
      <c r="X343" s="58"/>
      <c r="Y343" s="58"/>
      <c r="Z343" s="58"/>
      <c r="AA343" s="58"/>
      <c r="AB343" s="58"/>
      <c r="AC343" s="58"/>
      <c r="AD343" s="58"/>
      <c r="AE343" s="58"/>
      <c r="AF343" s="58"/>
      <c r="AG343" s="58"/>
    </row>
    <row r="344" spans="1:33" ht="60" x14ac:dyDescent="0.2">
      <c r="A344" s="24" t="str">
        <f>HYPERLINK("https://docs.legis.wisconsin.gov/2019/proposals/sb816","SB 0816")</f>
        <v>SB 0816</v>
      </c>
      <c r="B344" s="53" t="s">
        <v>277</v>
      </c>
      <c r="C344" s="75" t="s">
        <v>338</v>
      </c>
      <c r="D344" s="61">
        <v>43873</v>
      </c>
      <c r="E344" s="24" t="str">
        <f>HYPERLINK("https://docs.legis.wisconsin.gov/2019/proposals/ab935","AB 0935")</f>
        <v>AB 0935</v>
      </c>
      <c r="F344" s="34"/>
      <c r="G344" s="35"/>
      <c r="H344" s="59"/>
      <c r="I344" s="61"/>
      <c r="J344" s="61"/>
      <c r="K344" s="58"/>
      <c r="L344" s="62"/>
      <c r="M344" s="58"/>
      <c r="N344" s="58"/>
      <c r="O344" s="58"/>
      <c r="P344" s="58"/>
      <c r="Q344" s="58"/>
      <c r="R344" s="58"/>
      <c r="S344" s="58"/>
      <c r="T344" s="58"/>
      <c r="U344" s="58"/>
      <c r="V344" s="58"/>
      <c r="W344" s="58"/>
      <c r="X344" s="58"/>
      <c r="Y344" s="58"/>
      <c r="Z344" s="58"/>
      <c r="AA344" s="58"/>
      <c r="AB344" s="58"/>
      <c r="AC344" s="58"/>
      <c r="AD344" s="58"/>
      <c r="AE344" s="58"/>
      <c r="AF344" s="58"/>
      <c r="AG344" s="58"/>
    </row>
    <row r="345" spans="1:33" ht="48" x14ac:dyDescent="0.2">
      <c r="A345" s="24" t="str">
        <f>HYPERLINK("https://docs.legis.wisconsin.gov/2019/proposals/sb817","SB 0817")</f>
        <v>SB 0817</v>
      </c>
      <c r="B345" s="53" t="s">
        <v>373</v>
      </c>
      <c r="C345" s="75" t="s">
        <v>316</v>
      </c>
      <c r="D345" s="61">
        <v>43873</v>
      </c>
      <c r="E345" s="59"/>
      <c r="F345" s="34" t="s">
        <v>374</v>
      </c>
      <c r="G345" s="34" t="s">
        <v>374</v>
      </c>
      <c r="H345" s="34" t="s">
        <v>374</v>
      </c>
      <c r="I345" s="61"/>
      <c r="J345" s="61"/>
      <c r="K345" s="58"/>
      <c r="L345" s="62"/>
      <c r="M345" s="58"/>
      <c r="N345" s="58"/>
      <c r="O345" s="58"/>
      <c r="P345" s="58"/>
      <c r="Q345" s="58"/>
      <c r="R345" s="58"/>
      <c r="S345" s="58"/>
      <c r="T345" s="58"/>
      <c r="U345" s="58"/>
      <c r="V345" s="58"/>
      <c r="W345" s="58"/>
      <c r="X345" s="58"/>
      <c r="Y345" s="58"/>
      <c r="Z345" s="58"/>
      <c r="AA345" s="58"/>
      <c r="AB345" s="58"/>
      <c r="AC345" s="58"/>
      <c r="AD345" s="58"/>
      <c r="AE345" s="58"/>
      <c r="AF345" s="58"/>
      <c r="AG345" s="58"/>
    </row>
    <row r="346" spans="1:33" ht="60" x14ac:dyDescent="0.2">
      <c r="A346" s="24" t="str">
        <f>HYPERLINK("https://docs.legis.wisconsin.gov/2019/proposals/sb821","SB 0821")</f>
        <v>SB 0821</v>
      </c>
      <c r="B346" s="53" t="s">
        <v>375</v>
      </c>
      <c r="C346" s="75" t="s">
        <v>307</v>
      </c>
      <c r="D346" s="61">
        <v>43875</v>
      </c>
      <c r="E346" s="24" t="str">
        <f>HYPERLINK("https://docs.legis.wisconsin.gov/2019/proposals/ab910","AB 0910")</f>
        <v>AB 0910</v>
      </c>
      <c r="F346" s="34" t="s">
        <v>374</v>
      </c>
      <c r="G346" s="34" t="s">
        <v>374</v>
      </c>
      <c r="H346" s="34" t="s">
        <v>374</v>
      </c>
      <c r="I346" s="61"/>
      <c r="J346" s="61"/>
      <c r="K346" s="58"/>
      <c r="L346" s="62"/>
      <c r="M346" s="58"/>
      <c r="N346" s="58"/>
      <c r="O346" s="58"/>
      <c r="P346" s="58"/>
      <c r="Q346" s="58"/>
      <c r="R346" s="58"/>
      <c r="S346" s="58"/>
      <c r="T346" s="58"/>
      <c r="U346" s="58"/>
      <c r="V346" s="58"/>
      <c r="W346" s="58"/>
      <c r="X346" s="58"/>
      <c r="Y346" s="58"/>
      <c r="Z346" s="58"/>
      <c r="AA346" s="58"/>
      <c r="AB346" s="58"/>
      <c r="AC346" s="58"/>
      <c r="AD346" s="58"/>
      <c r="AE346" s="58"/>
      <c r="AF346" s="58"/>
      <c r="AG346" s="58"/>
    </row>
    <row r="347" spans="1:33" ht="24" x14ac:dyDescent="0.2">
      <c r="A347" s="24" t="str">
        <f>HYPERLINK("https://docs.legis.wisconsin.gov/2019/proposals/sb823","SB 0823")</f>
        <v>SB 0823</v>
      </c>
      <c r="B347" s="53" t="s">
        <v>272</v>
      </c>
      <c r="C347" s="75" t="s">
        <v>370</v>
      </c>
      <c r="D347" s="61">
        <v>43880</v>
      </c>
      <c r="E347" s="24" t="str">
        <f>HYPERLINK("https://docs.legis.wisconsin.gov/2019/proposals/ab908","AB 0908")</f>
        <v>AB 0908</v>
      </c>
      <c r="F347" s="60" t="str">
        <f>HYPERLINK("https://docs.legis.wisconsin.gov/2019/related/fe/sb823/sb823_DPI.pdf","Y")</f>
        <v>Y</v>
      </c>
      <c r="G347" s="35"/>
      <c r="H347" s="59"/>
      <c r="I347" s="61"/>
      <c r="J347" s="61"/>
      <c r="K347" s="58"/>
      <c r="L347" s="62"/>
      <c r="M347" s="58"/>
      <c r="N347" s="58"/>
      <c r="O347" s="58"/>
      <c r="P347" s="58"/>
      <c r="Q347" s="58"/>
      <c r="R347" s="58"/>
      <c r="S347" s="58"/>
      <c r="T347" s="58"/>
      <c r="U347" s="58"/>
      <c r="V347" s="58"/>
      <c r="W347" s="58"/>
      <c r="X347" s="58"/>
      <c r="Y347" s="58"/>
      <c r="Z347" s="58"/>
      <c r="AA347" s="58"/>
      <c r="AB347" s="58"/>
      <c r="AC347" s="58"/>
      <c r="AD347" s="58"/>
      <c r="AE347" s="58"/>
      <c r="AF347" s="58"/>
      <c r="AG347" s="58"/>
    </row>
    <row r="348" spans="1:33" ht="12.75" x14ac:dyDescent="0.2">
      <c r="A348" s="24" t="str">
        <f>HYPERLINK("https://docs.legis.wisconsin.gov/2019/proposals/sb824","SB 0824")</f>
        <v>SB 0824</v>
      </c>
      <c r="B348" s="53" t="s">
        <v>285</v>
      </c>
      <c r="C348" s="75" t="s">
        <v>320</v>
      </c>
      <c r="D348" s="55">
        <v>43881</v>
      </c>
      <c r="E348" s="59"/>
      <c r="F348" s="80" t="s">
        <v>273</v>
      </c>
      <c r="G348" s="35"/>
      <c r="H348" s="54" t="s">
        <v>251</v>
      </c>
      <c r="I348" s="61">
        <v>43886</v>
      </c>
      <c r="J348" s="57">
        <f>I348+14</f>
        <v>43900</v>
      </c>
      <c r="K348" s="58"/>
      <c r="L348" s="62" t="s">
        <v>376</v>
      </c>
      <c r="M348" s="58"/>
      <c r="N348" s="58"/>
      <c r="O348" s="58"/>
      <c r="P348" s="58"/>
      <c r="Q348" s="58"/>
      <c r="R348" s="58"/>
      <c r="S348" s="58"/>
      <c r="T348" s="58"/>
      <c r="U348" s="58"/>
      <c r="V348" s="58"/>
      <c r="W348" s="58"/>
      <c r="X348" s="58"/>
      <c r="Y348" s="58"/>
      <c r="Z348" s="58"/>
      <c r="AA348" s="58"/>
      <c r="AB348" s="58"/>
      <c r="AC348" s="58"/>
      <c r="AD348" s="58"/>
      <c r="AE348" s="58"/>
      <c r="AF348" s="58"/>
      <c r="AG348" s="58"/>
    </row>
    <row r="349" spans="1:33" ht="24" x14ac:dyDescent="0.2">
      <c r="A349" s="24" t="str">
        <f>HYPERLINK("https://docs.legis.wisconsin.gov/2019/proposals/sb826","SB 0826")</f>
        <v>SB 0826</v>
      </c>
      <c r="B349" s="53" t="s">
        <v>279</v>
      </c>
      <c r="C349" s="75" t="s">
        <v>377</v>
      </c>
      <c r="D349" s="55">
        <v>43881</v>
      </c>
      <c r="E349" s="24" t="str">
        <f>HYPERLINK("https://docs.legis.wisconsin.gov/2019/proposals/ab938","AB 0938")</f>
        <v>AB 0938</v>
      </c>
      <c r="F349" s="34"/>
      <c r="G349" s="35"/>
      <c r="H349" s="56"/>
      <c r="I349" s="57"/>
      <c r="J349" s="57"/>
      <c r="K349" s="58"/>
      <c r="L349" s="62"/>
      <c r="M349" s="58"/>
      <c r="N349" s="58"/>
      <c r="O349" s="58"/>
      <c r="P349" s="58"/>
      <c r="Q349" s="58"/>
      <c r="R349" s="58"/>
      <c r="S349" s="58"/>
      <c r="T349" s="58"/>
      <c r="U349" s="58"/>
      <c r="V349" s="58"/>
      <c r="W349" s="58"/>
      <c r="X349" s="58"/>
      <c r="Y349" s="58"/>
      <c r="Z349" s="58"/>
      <c r="AA349" s="58"/>
      <c r="AB349" s="58"/>
      <c r="AC349" s="58"/>
      <c r="AD349" s="58"/>
      <c r="AE349" s="58"/>
      <c r="AF349" s="58"/>
      <c r="AG349" s="58"/>
    </row>
    <row r="350" spans="1:33" ht="24" x14ac:dyDescent="0.2">
      <c r="A350" s="24" t="str">
        <f>HYPERLINK("https://docs.legis.wisconsin.gov/2019/proposals/sb831","SB 0831")</f>
        <v>SB 0831</v>
      </c>
      <c r="B350" s="53" t="s">
        <v>244</v>
      </c>
      <c r="C350" s="75" t="s">
        <v>377</v>
      </c>
      <c r="D350" s="55">
        <v>43881</v>
      </c>
      <c r="E350" s="24" t="str">
        <f>HYPERLINK("https://docs.legis.wisconsin.gov/2019/proposals/ab675","AB 0675")</f>
        <v>AB 0675</v>
      </c>
      <c r="F350" s="80" t="s">
        <v>273</v>
      </c>
      <c r="G350" s="63" t="str">
        <f>HYPERLINK("https://drive.google.com/drive/u/0/folders/1QJnelaXXozgdQrEXRjLFmrNYuioLNVEF","Y")</f>
        <v>Y</v>
      </c>
      <c r="H350" s="54" t="s">
        <v>251</v>
      </c>
      <c r="I350" s="61" t="s">
        <v>378</v>
      </c>
      <c r="J350" s="61">
        <v>43885</v>
      </c>
      <c r="K350" s="58"/>
      <c r="L350" s="62" t="s">
        <v>365</v>
      </c>
      <c r="M350" s="58"/>
      <c r="N350" s="58"/>
      <c r="O350" s="58"/>
      <c r="P350" s="58"/>
      <c r="Q350" s="58"/>
      <c r="R350" s="58"/>
      <c r="S350" s="58"/>
      <c r="T350" s="58"/>
      <c r="U350" s="58"/>
      <c r="V350" s="58"/>
      <c r="W350" s="58"/>
      <c r="X350" s="58"/>
      <c r="Y350" s="58"/>
      <c r="Z350" s="58"/>
      <c r="AA350" s="58"/>
      <c r="AB350" s="58"/>
      <c r="AC350" s="58"/>
      <c r="AD350" s="58"/>
      <c r="AE350" s="58"/>
      <c r="AF350" s="58"/>
      <c r="AG350" s="58"/>
    </row>
    <row r="351" spans="1:33" ht="36" x14ac:dyDescent="0.2">
      <c r="A351" s="24" t="str">
        <f>HYPERLINK("https://docs.legis.wisconsin.gov/2019/proposals/sb849","SB 0849")</f>
        <v>SB 0849</v>
      </c>
      <c r="B351" s="53" t="s">
        <v>379</v>
      </c>
      <c r="C351" s="75" t="s">
        <v>338</v>
      </c>
      <c r="D351" s="55">
        <v>43881</v>
      </c>
      <c r="E351" s="59"/>
      <c r="F351" s="80" t="s">
        <v>273</v>
      </c>
      <c r="G351" s="35"/>
      <c r="H351" s="54" t="s">
        <v>251</v>
      </c>
      <c r="I351" s="61">
        <v>43884</v>
      </c>
      <c r="J351" s="61">
        <v>43896</v>
      </c>
      <c r="K351" s="58"/>
      <c r="L351" s="62" t="s">
        <v>380</v>
      </c>
      <c r="M351" s="58"/>
      <c r="N351" s="58"/>
      <c r="O351" s="58"/>
      <c r="P351" s="58"/>
      <c r="Q351" s="58"/>
      <c r="R351" s="58"/>
      <c r="S351" s="58"/>
      <c r="T351" s="58"/>
      <c r="U351" s="58"/>
      <c r="V351" s="58"/>
      <c r="W351" s="58"/>
      <c r="X351" s="58"/>
      <c r="Y351" s="58"/>
      <c r="Z351" s="58"/>
      <c r="AA351" s="58"/>
      <c r="AB351" s="58"/>
      <c r="AC351" s="58"/>
      <c r="AD351" s="58"/>
      <c r="AE351" s="58"/>
      <c r="AF351" s="58"/>
      <c r="AG351" s="58"/>
    </row>
    <row r="352" spans="1:33" ht="24" x14ac:dyDescent="0.2">
      <c r="A352" s="24" t="str">
        <f>HYPERLINK("https://docs.legis.wisconsin.gov/2019/proposals/sb852","SB 0852")</f>
        <v>SB 0852</v>
      </c>
      <c r="B352" s="53" t="s">
        <v>381</v>
      </c>
      <c r="C352" s="75" t="s">
        <v>341</v>
      </c>
      <c r="D352" s="55">
        <v>43881</v>
      </c>
      <c r="E352" s="59"/>
      <c r="F352" s="25"/>
      <c r="G352" s="27" t="s">
        <v>374</v>
      </c>
      <c r="H352" s="54" t="s">
        <v>374</v>
      </c>
      <c r="I352" s="57"/>
      <c r="J352" s="57"/>
      <c r="K352" s="58"/>
      <c r="L352" s="62"/>
      <c r="M352" s="58"/>
      <c r="N352" s="58"/>
      <c r="O352" s="58"/>
      <c r="P352" s="58"/>
      <c r="Q352" s="58"/>
      <c r="R352" s="58"/>
      <c r="S352" s="58"/>
      <c r="T352" s="58"/>
      <c r="U352" s="58"/>
      <c r="V352" s="58"/>
      <c r="W352" s="58"/>
      <c r="X352" s="58"/>
      <c r="Y352" s="58"/>
      <c r="Z352" s="58"/>
      <c r="AA352" s="58"/>
      <c r="AB352" s="58"/>
      <c r="AC352" s="58"/>
      <c r="AD352" s="58"/>
      <c r="AE352" s="58"/>
      <c r="AF352" s="58"/>
      <c r="AG352" s="58"/>
    </row>
    <row r="353" spans="1:33" ht="24" x14ac:dyDescent="0.2">
      <c r="A353" s="24" t="str">
        <f>HYPERLINK("https://docs.legis.wisconsin.gov/2019/proposals/sb854","SB 0854")</f>
        <v>SB 0854</v>
      </c>
      <c r="B353" s="53" t="s">
        <v>382</v>
      </c>
      <c r="C353" s="75" t="s">
        <v>338</v>
      </c>
      <c r="D353" s="55">
        <v>43881</v>
      </c>
      <c r="E353" s="59"/>
      <c r="F353" s="60" t="str">
        <f>HYPERLINK("https://docs.legis.wisconsin.gov/2019/related/fe/sb854","Y")</f>
        <v>Y</v>
      </c>
      <c r="G353" s="27" t="s">
        <v>374</v>
      </c>
      <c r="H353" s="54" t="s">
        <v>374</v>
      </c>
      <c r="I353" s="57"/>
      <c r="J353" s="57"/>
      <c r="K353" s="58"/>
      <c r="L353" s="62"/>
      <c r="M353" s="58"/>
      <c r="N353" s="58"/>
      <c r="O353" s="58"/>
      <c r="P353" s="58"/>
      <c r="Q353" s="58"/>
      <c r="R353" s="58"/>
      <c r="S353" s="58"/>
      <c r="T353" s="58"/>
      <c r="U353" s="58"/>
      <c r="V353" s="58"/>
      <c r="W353" s="58"/>
      <c r="X353" s="58"/>
      <c r="Y353" s="58"/>
      <c r="Z353" s="58"/>
      <c r="AA353" s="58"/>
      <c r="AB353" s="58"/>
      <c r="AC353" s="58"/>
      <c r="AD353" s="58"/>
      <c r="AE353" s="58"/>
      <c r="AF353" s="58"/>
      <c r="AG353" s="58"/>
    </row>
    <row r="354" spans="1:33" ht="12.75" x14ac:dyDescent="0.2">
      <c r="A354" s="24" t="str">
        <f>HYPERLINK("https://docs.legis.wisconsin.gov/2019/related/proposals/sb866.pdf","SB 0866")</f>
        <v>SB 0866</v>
      </c>
      <c r="B354" s="53" t="s">
        <v>383</v>
      </c>
      <c r="C354" s="75" t="s">
        <v>237</v>
      </c>
      <c r="D354" s="55">
        <v>43881</v>
      </c>
      <c r="E354" s="24" t="str">
        <f>HYPERLINK("https://docs.legis.wisconsin.gov/2019/proposals/reg/asm/bill/ab973","AB 0973")</f>
        <v>AB 0973</v>
      </c>
      <c r="F354" s="80" t="s">
        <v>273</v>
      </c>
      <c r="G354" s="27" t="s">
        <v>374</v>
      </c>
      <c r="H354" s="54" t="s">
        <v>374</v>
      </c>
      <c r="I354" s="57"/>
      <c r="J354" s="57"/>
      <c r="K354" s="58"/>
      <c r="L354" s="62"/>
      <c r="M354" s="58"/>
      <c r="N354" s="58"/>
      <c r="O354" s="58"/>
      <c r="P354" s="58"/>
      <c r="Q354" s="58"/>
      <c r="R354" s="58"/>
      <c r="S354" s="58"/>
      <c r="T354" s="58"/>
      <c r="U354" s="58"/>
      <c r="V354" s="58"/>
      <c r="W354" s="58"/>
      <c r="X354" s="58"/>
      <c r="Y354" s="58"/>
      <c r="Z354" s="58"/>
      <c r="AA354" s="58"/>
      <c r="AB354" s="58"/>
      <c r="AC354" s="58"/>
      <c r="AD354" s="58"/>
      <c r="AE354" s="58"/>
      <c r="AF354" s="58"/>
      <c r="AG354" s="58"/>
    </row>
    <row r="355" spans="1:33" ht="36" x14ac:dyDescent="0.2">
      <c r="A355" s="24" t="str">
        <f>HYPERLINK("https://docs.legis.wisconsin.gov/2019/proposals/reg/sen/bill/sb882","SB 0882")</f>
        <v>SB 0882</v>
      </c>
      <c r="B355" s="53" t="s">
        <v>289</v>
      </c>
      <c r="C355" s="75" t="s">
        <v>316</v>
      </c>
      <c r="D355" s="55">
        <v>43889</v>
      </c>
      <c r="E355" s="24" t="str">
        <f>HYPERLINK("https://docs.legis.wisconsin.gov/2019/proposals/ab1000","AB 1000")</f>
        <v>AB 1000</v>
      </c>
      <c r="F355" s="25"/>
      <c r="G355" s="27"/>
      <c r="H355" s="54"/>
      <c r="I355" s="57"/>
      <c r="J355" s="57"/>
      <c r="K355" s="58"/>
      <c r="L355" s="62"/>
      <c r="M355" s="58"/>
      <c r="N355" s="58"/>
      <c r="O355" s="58"/>
      <c r="P355" s="58"/>
      <c r="Q355" s="58"/>
      <c r="R355" s="58"/>
      <c r="S355" s="58"/>
      <c r="T355" s="58"/>
      <c r="U355" s="58"/>
      <c r="V355" s="58"/>
      <c r="W355" s="58"/>
      <c r="X355" s="58"/>
      <c r="Y355" s="58"/>
      <c r="Z355" s="58"/>
      <c r="AA355" s="58"/>
      <c r="AB355" s="58"/>
      <c r="AC355" s="58"/>
      <c r="AD355" s="58"/>
      <c r="AE355" s="58"/>
      <c r="AF355" s="58"/>
      <c r="AG355" s="58"/>
    </row>
    <row r="356" spans="1:33" ht="36" x14ac:dyDescent="0.2">
      <c r="A356" s="24" t="str">
        <f>HYPERLINK("https://docs.legis.wisconsin.gov/2019/proposals/sb885","SB 0885")</f>
        <v>SB 0885</v>
      </c>
      <c r="B356" s="53" t="s">
        <v>292</v>
      </c>
      <c r="C356" s="75" t="s">
        <v>338</v>
      </c>
      <c r="D356" s="55">
        <v>43896</v>
      </c>
      <c r="E356" s="24" t="str">
        <f>HYPERLINK("https://docs.legis.wisconsin.gov/2019/proposals/ab1003","AB 1003")</f>
        <v>AB 1003</v>
      </c>
      <c r="F356" s="25"/>
      <c r="G356" s="35"/>
      <c r="H356" s="56"/>
      <c r="I356" s="57"/>
      <c r="J356" s="57"/>
      <c r="K356" s="58"/>
      <c r="L356" s="62"/>
      <c r="M356" s="58"/>
      <c r="N356" s="58"/>
      <c r="O356" s="58"/>
      <c r="P356" s="58"/>
      <c r="Q356" s="58"/>
      <c r="R356" s="58"/>
      <c r="S356" s="58"/>
      <c r="T356" s="58"/>
      <c r="U356" s="58"/>
      <c r="V356" s="58"/>
      <c r="W356" s="58"/>
      <c r="X356" s="58"/>
      <c r="Y356" s="58"/>
      <c r="Z356" s="58"/>
      <c r="AA356" s="58"/>
      <c r="AB356" s="58"/>
      <c r="AC356" s="58"/>
      <c r="AD356" s="58"/>
      <c r="AE356" s="58"/>
      <c r="AF356" s="58"/>
      <c r="AG356" s="58"/>
    </row>
    <row r="357" spans="1:33" ht="12.75" x14ac:dyDescent="0.2">
      <c r="A357" s="24" t="str">
        <f>HYPERLINK("https://docs.legis.wisconsin.gov/2019/proposals/sb905","SB 0905")</f>
        <v>SB 0905</v>
      </c>
      <c r="B357" s="53" t="s">
        <v>384</v>
      </c>
      <c r="C357" s="75" t="s">
        <v>327</v>
      </c>
      <c r="D357" s="55">
        <v>43916</v>
      </c>
      <c r="E357" s="59"/>
      <c r="F357" s="25"/>
      <c r="G357" s="35"/>
      <c r="H357" s="56"/>
      <c r="I357" s="57"/>
      <c r="J357" s="57"/>
      <c r="K357" s="58"/>
      <c r="L357" s="62"/>
      <c r="M357" s="58"/>
      <c r="N357" s="58"/>
      <c r="O357" s="58"/>
      <c r="P357" s="58"/>
      <c r="Q357" s="58"/>
      <c r="R357" s="58"/>
      <c r="S357" s="58"/>
      <c r="T357" s="58"/>
      <c r="U357" s="58"/>
      <c r="V357" s="58"/>
      <c r="W357" s="58"/>
      <c r="X357" s="58"/>
      <c r="Y357" s="58"/>
      <c r="Z357" s="58"/>
      <c r="AA357" s="58"/>
      <c r="AB357" s="58"/>
      <c r="AC357" s="58"/>
      <c r="AD357" s="58"/>
      <c r="AE357" s="58"/>
      <c r="AF357" s="58"/>
      <c r="AG357" s="58"/>
    </row>
    <row r="358" spans="1:33" ht="84" x14ac:dyDescent="0.2">
      <c r="A358" s="24" t="str">
        <f>HYPERLINK("https://docs.legis.wisconsin.gov/2019/proposals/sb923","SB 0923")</f>
        <v>SB 0923</v>
      </c>
      <c r="B358" s="53" t="s">
        <v>293</v>
      </c>
      <c r="C358" s="75" t="s">
        <v>370</v>
      </c>
      <c r="D358" s="55">
        <v>43916</v>
      </c>
      <c r="E358" s="24" t="str">
        <f>HYPERLINK("https://docs.legis.wisconsin.gov/2019/proposals/ab1037","AB 1037")</f>
        <v>AB 1037</v>
      </c>
      <c r="F358" s="25"/>
      <c r="G358" s="35"/>
      <c r="H358" s="56"/>
      <c r="I358" s="57"/>
      <c r="J358" s="57"/>
      <c r="K358" s="58"/>
      <c r="L358" s="62"/>
      <c r="M358" s="58"/>
      <c r="N358" s="58"/>
      <c r="O358" s="58"/>
      <c r="P358" s="58"/>
      <c r="Q358" s="58"/>
      <c r="R358" s="58"/>
      <c r="S358" s="58"/>
      <c r="T358" s="58"/>
      <c r="U358" s="58"/>
      <c r="V358" s="58"/>
      <c r="W358" s="58"/>
      <c r="X358" s="58"/>
      <c r="Y358" s="58"/>
      <c r="Z358" s="58"/>
      <c r="AA358" s="58"/>
      <c r="AB358" s="58"/>
      <c r="AC358" s="58"/>
      <c r="AD358" s="58"/>
      <c r="AE358" s="58"/>
      <c r="AF358" s="58"/>
      <c r="AG358" s="58"/>
    </row>
    <row r="359" spans="1:33" ht="24" x14ac:dyDescent="0.2">
      <c r="A359" s="24" t="str">
        <f>HYPERLINK("https://docs.legis.wisconsin.gov/2019/proposals/sb930","SB 0930")</f>
        <v>SB 0930</v>
      </c>
      <c r="B359" s="53" t="s">
        <v>385</v>
      </c>
      <c r="C359" s="75" t="s">
        <v>312</v>
      </c>
      <c r="D359" s="55">
        <v>43916</v>
      </c>
      <c r="E359" s="59"/>
      <c r="F359" s="25"/>
      <c r="G359" s="35"/>
      <c r="H359" s="56"/>
      <c r="I359" s="57"/>
      <c r="J359" s="57"/>
      <c r="K359" s="58"/>
      <c r="L359" s="62"/>
      <c r="M359" s="58"/>
      <c r="N359" s="58"/>
      <c r="O359" s="58"/>
      <c r="P359" s="58"/>
      <c r="Q359" s="58"/>
      <c r="R359" s="58"/>
      <c r="S359" s="58"/>
      <c r="T359" s="58"/>
      <c r="U359" s="58"/>
      <c r="V359" s="58"/>
      <c r="W359" s="58"/>
      <c r="X359" s="58"/>
      <c r="Y359" s="58"/>
      <c r="Z359" s="58"/>
      <c r="AA359" s="58"/>
      <c r="AB359" s="58"/>
      <c r="AC359" s="58"/>
      <c r="AD359" s="58"/>
      <c r="AE359" s="58"/>
      <c r="AF359" s="58"/>
      <c r="AG359" s="58"/>
    </row>
    <row r="360" spans="1:33" ht="12.75" x14ac:dyDescent="0.2">
      <c r="A360" s="24" t="str">
        <f>HYPERLINK("https://docs.legis.wisconsin.gov/2019/proposals/sb932","SB 0932")</f>
        <v>SB 0932</v>
      </c>
      <c r="B360" s="53" t="s">
        <v>386</v>
      </c>
      <c r="C360" s="75"/>
      <c r="D360" s="55">
        <v>43934</v>
      </c>
      <c r="E360" s="24" t="str">
        <f>HYPERLINK("https://docs.legis.wisconsin.gov/2019/proposals/ab1038","AB 1038")</f>
        <v>AB 1038</v>
      </c>
      <c r="F360" s="25"/>
      <c r="G360" s="35"/>
      <c r="H360" s="56"/>
      <c r="I360" s="57"/>
      <c r="J360" s="57"/>
      <c r="K360" s="58"/>
      <c r="L360" s="62"/>
      <c r="M360" s="58"/>
      <c r="N360" s="58"/>
      <c r="O360" s="58"/>
      <c r="P360" s="58"/>
      <c r="Q360" s="58"/>
      <c r="R360" s="58"/>
      <c r="S360" s="58"/>
      <c r="T360" s="58"/>
      <c r="U360" s="58"/>
      <c r="V360" s="58"/>
      <c r="W360" s="58"/>
      <c r="X360" s="58"/>
      <c r="Y360" s="58"/>
      <c r="Z360" s="58"/>
      <c r="AA360" s="58"/>
      <c r="AB360" s="58"/>
      <c r="AC360" s="58"/>
      <c r="AD360" s="58"/>
      <c r="AE360" s="58"/>
      <c r="AF360" s="58"/>
      <c r="AG360" s="58"/>
    </row>
    <row r="361" spans="1:33" ht="24" x14ac:dyDescent="0.2">
      <c r="A361" s="24" t="str">
        <f>HYPERLINK("https://docs.legis.wisconsin.gov/2019/proposals/sjr89","SJR 0089")</f>
        <v>SJR 0089</v>
      </c>
      <c r="B361" s="53" t="s">
        <v>387</v>
      </c>
      <c r="C361" s="75" t="s">
        <v>313</v>
      </c>
      <c r="D361" s="55">
        <v>43859</v>
      </c>
      <c r="E361" s="24" t="str">
        <f>HYPERLINK("https://docs.legis.wisconsin.gov/2019/proposals/ajr123","AJR 0123")</f>
        <v>AJR 0123</v>
      </c>
      <c r="F361" s="25"/>
      <c r="G361" s="35"/>
      <c r="H361" s="56"/>
      <c r="I361" s="57"/>
      <c r="J361" s="57"/>
      <c r="K361" s="58"/>
      <c r="L361" s="62"/>
      <c r="M361" s="58"/>
      <c r="N361" s="58"/>
      <c r="O361" s="58"/>
      <c r="P361" s="58"/>
      <c r="Q361" s="58"/>
      <c r="R361" s="58"/>
      <c r="S361" s="58"/>
      <c r="T361" s="58"/>
      <c r="U361" s="58"/>
      <c r="V361" s="58"/>
      <c r="W361" s="58"/>
      <c r="X361" s="58"/>
      <c r="Y361" s="58"/>
      <c r="Z361" s="58"/>
      <c r="AA361" s="58"/>
      <c r="AB361" s="58"/>
      <c r="AC361" s="58"/>
      <c r="AD361" s="58"/>
      <c r="AE361" s="58"/>
      <c r="AF361" s="58"/>
      <c r="AG361" s="58"/>
    </row>
    <row r="362" spans="1:33" ht="24" x14ac:dyDescent="0.2">
      <c r="A362" s="24" t="str">
        <f>HYPERLINK("https://docs.legis.wisconsin.gov/2019/proposals/sjr90","SJR 0090")</f>
        <v>SJR 0090</v>
      </c>
      <c r="B362" s="53" t="s">
        <v>388</v>
      </c>
      <c r="C362" s="75" t="s">
        <v>319</v>
      </c>
      <c r="D362" s="55">
        <v>43867</v>
      </c>
      <c r="E362" s="58"/>
      <c r="F362" s="25"/>
      <c r="G362" s="35"/>
      <c r="H362" s="56"/>
      <c r="I362" s="57"/>
      <c r="J362" s="57"/>
      <c r="K362" s="58"/>
      <c r="L362" s="62"/>
      <c r="M362" s="58"/>
      <c r="N362" s="58"/>
      <c r="O362" s="58"/>
      <c r="P362" s="58"/>
      <c r="Q362" s="58"/>
      <c r="R362" s="58"/>
      <c r="S362" s="58"/>
      <c r="T362" s="58"/>
      <c r="U362" s="58"/>
      <c r="V362" s="58"/>
      <c r="W362" s="58"/>
      <c r="X362" s="58"/>
      <c r="Y362" s="58"/>
      <c r="Z362" s="58"/>
      <c r="AA362" s="58"/>
      <c r="AB362" s="58"/>
      <c r="AC362" s="58"/>
      <c r="AD362" s="58"/>
      <c r="AE362" s="58"/>
      <c r="AF362" s="58"/>
      <c r="AG362" s="58"/>
    </row>
    <row r="363" spans="1:33" ht="12.75" x14ac:dyDescent="0.2">
      <c r="B363" s="64"/>
      <c r="F363" s="65"/>
      <c r="G363" s="66"/>
      <c r="H363" s="67"/>
      <c r="I363" s="68"/>
      <c r="J363" s="68"/>
    </row>
    <row r="364" spans="1:33" ht="12.75" x14ac:dyDescent="0.2">
      <c r="B364" s="64"/>
      <c r="F364" s="65"/>
      <c r="G364" s="66"/>
      <c r="H364" s="67"/>
      <c r="I364" s="68"/>
      <c r="J364" s="68"/>
    </row>
    <row r="365" spans="1:33" ht="12.75" x14ac:dyDescent="0.2">
      <c r="B365" s="64"/>
      <c r="F365" s="65"/>
      <c r="G365" s="66"/>
      <c r="H365" s="67"/>
      <c r="I365" s="68"/>
      <c r="J365" s="68"/>
    </row>
    <row r="366" spans="1:33" ht="12.75" x14ac:dyDescent="0.2">
      <c r="B366" s="64"/>
      <c r="F366" s="65"/>
      <c r="G366" s="66"/>
      <c r="H366" s="67"/>
      <c r="I366" s="68"/>
      <c r="J366" s="68"/>
    </row>
    <row r="367" spans="1:33" ht="12.75" x14ac:dyDescent="0.2">
      <c r="B367" s="64"/>
      <c r="F367" s="65"/>
      <c r="G367" s="66"/>
      <c r="H367" s="67"/>
      <c r="I367" s="68"/>
      <c r="J367" s="68"/>
    </row>
    <row r="368" spans="1:33" ht="12.75" x14ac:dyDescent="0.2">
      <c r="B368" s="64"/>
      <c r="F368" s="65"/>
      <c r="G368" s="66"/>
      <c r="H368" s="67"/>
      <c r="I368" s="68"/>
      <c r="J368" s="68"/>
    </row>
    <row r="369" spans="2:10" ht="12.75" x14ac:dyDescent="0.2">
      <c r="B369" s="64"/>
      <c r="F369" s="65"/>
      <c r="G369" s="66"/>
      <c r="H369" s="67"/>
      <c r="I369" s="68"/>
      <c r="J369" s="68"/>
    </row>
    <row r="370" spans="2:10" ht="12.75" x14ac:dyDescent="0.2">
      <c r="B370" s="64"/>
      <c r="F370" s="65"/>
      <c r="G370" s="66"/>
      <c r="H370" s="67"/>
      <c r="I370" s="68"/>
      <c r="J370" s="68"/>
    </row>
    <row r="371" spans="2:10" ht="12.75" x14ac:dyDescent="0.2">
      <c r="B371" s="64"/>
      <c r="F371" s="65"/>
      <c r="G371" s="66"/>
      <c r="H371" s="67"/>
      <c r="I371" s="68"/>
      <c r="J371" s="68"/>
    </row>
    <row r="372" spans="2:10" ht="12.75" x14ac:dyDescent="0.2">
      <c r="B372" s="64"/>
      <c r="F372" s="65"/>
      <c r="G372" s="66"/>
      <c r="H372" s="67"/>
      <c r="I372" s="68"/>
      <c r="J372" s="68"/>
    </row>
    <row r="373" spans="2:10" ht="12.75" x14ac:dyDescent="0.2">
      <c r="B373" s="64"/>
      <c r="F373" s="65"/>
      <c r="G373" s="66"/>
      <c r="H373" s="67"/>
      <c r="I373" s="68"/>
      <c r="J373" s="68"/>
    </row>
    <row r="374" spans="2:10" ht="12.75" x14ac:dyDescent="0.2">
      <c r="B374" s="64"/>
      <c r="F374" s="65"/>
      <c r="G374" s="66"/>
      <c r="H374" s="67"/>
      <c r="I374" s="68"/>
      <c r="J374" s="68"/>
    </row>
    <row r="375" spans="2:10" ht="12.75" x14ac:dyDescent="0.2">
      <c r="B375" s="64"/>
      <c r="F375" s="65"/>
      <c r="G375" s="66"/>
      <c r="H375" s="67"/>
      <c r="I375" s="68"/>
      <c r="J375" s="68"/>
    </row>
    <row r="376" spans="2:10" ht="12.75" x14ac:dyDescent="0.2">
      <c r="B376" s="64"/>
      <c r="F376" s="65"/>
      <c r="G376" s="66"/>
      <c r="H376" s="67"/>
      <c r="I376" s="68"/>
      <c r="J376" s="68"/>
    </row>
    <row r="377" spans="2:10" ht="12.75" x14ac:dyDescent="0.2">
      <c r="B377" s="64"/>
      <c r="F377" s="65"/>
      <c r="G377" s="66"/>
      <c r="H377" s="67"/>
      <c r="I377" s="68"/>
      <c r="J377" s="68"/>
    </row>
    <row r="378" spans="2:10" ht="12.75" x14ac:dyDescent="0.2">
      <c r="B378" s="64"/>
      <c r="F378" s="65"/>
      <c r="G378" s="66"/>
      <c r="H378" s="67"/>
      <c r="I378" s="68"/>
      <c r="J378" s="68"/>
    </row>
    <row r="379" spans="2:10" ht="12.75" x14ac:dyDescent="0.2">
      <c r="B379" s="64"/>
      <c r="F379" s="65"/>
      <c r="G379" s="66"/>
      <c r="H379" s="67"/>
      <c r="I379" s="68"/>
      <c r="J379" s="68"/>
    </row>
    <row r="380" spans="2:10" ht="12.75" x14ac:dyDescent="0.2">
      <c r="B380" s="64"/>
      <c r="F380" s="65"/>
      <c r="G380" s="66"/>
      <c r="H380" s="67"/>
      <c r="I380" s="68"/>
      <c r="J380" s="68"/>
    </row>
    <row r="381" spans="2:10" ht="12.75" x14ac:dyDescent="0.2">
      <c r="B381" s="64"/>
      <c r="F381" s="65"/>
      <c r="G381" s="66"/>
      <c r="H381" s="67"/>
      <c r="I381" s="68"/>
      <c r="J381" s="68"/>
    </row>
    <row r="382" spans="2:10" ht="12.75" x14ac:dyDescent="0.2">
      <c r="B382" s="64"/>
      <c r="F382" s="65"/>
      <c r="G382" s="66"/>
      <c r="H382" s="67"/>
      <c r="I382" s="68"/>
      <c r="J382" s="68"/>
    </row>
    <row r="383" spans="2:10" ht="12.75" x14ac:dyDescent="0.2">
      <c r="B383" s="64"/>
      <c r="F383" s="65"/>
      <c r="G383" s="66"/>
      <c r="H383" s="67"/>
      <c r="I383" s="68"/>
      <c r="J383" s="68"/>
    </row>
    <row r="384" spans="2:10" ht="12.75" x14ac:dyDescent="0.2">
      <c r="B384" s="64"/>
      <c r="F384" s="65"/>
      <c r="G384" s="66"/>
      <c r="H384" s="67"/>
      <c r="I384" s="68"/>
      <c r="J384" s="68"/>
    </row>
    <row r="385" spans="2:10" ht="12.75" x14ac:dyDescent="0.2">
      <c r="B385" s="64"/>
      <c r="F385" s="65"/>
      <c r="G385" s="66"/>
      <c r="H385" s="67"/>
      <c r="I385" s="68"/>
      <c r="J385" s="68"/>
    </row>
    <row r="386" spans="2:10" ht="12.75" x14ac:dyDescent="0.2">
      <c r="B386" s="64"/>
      <c r="F386" s="65"/>
      <c r="G386" s="66"/>
      <c r="H386" s="67"/>
      <c r="I386" s="68"/>
      <c r="J386" s="68"/>
    </row>
    <row r="387" spans="2:10" ht="12.75" x14ac:dyDescent="0.2">
      <c r="B387" s="64"/>
      <c r="F387" s="65"/>
      <c r="G387" s="66"/>
      <c r="H387" s="67"/>
      <c r="I387" s="68"/>
      <c r="J387" s="68"/>
    </row>
    <row r="388" spans="2:10" ht="12.75" x14ac:dyDescent="0.2">
      <c r="B388" s="64"/>
      <c r="F388" s="65"/>
      <c r="G388" s="66"/>
      <c r="H388" s="67"/>
      <c r="I388" s="68"/>
      <c r="J388" s="68"/>
    </row>
    <row r="389" spans="2:10" ht="12.75" x14ac:dyDescent="0.2">
      <c r="B389" s="64"/>
      <c r="F389" s="65"/>
      <c r="G389" s="66"/>
      <c r="H389" s="67"/>
      <c r="I389" s="68"/>
      <c r="J389" s="68"/>
    </row>
    <row r="390" spans="2:10" ht="12.75" x14ac:dyDescent="0.2">
      <c r="B390" s="64"/>
      <c r="F390" s="65"/>
      <c r="G390" s="66"/>
      <c r="H390" s="67"/>
      <c r="I390" s="68"/>
      <c r="J390" s="68"/>
    </row>
    <row r="391" spans="2:10" ht="12.75" x14ac:dyDescent="0.2">
      <c r="B391" s="64"/>
      <c r="F391" s="65"/>
      <c r="G391" s="66"/>
      <c r="H391" s="67"/>
      <c r="I391" s="68"/>
      <c r="J391" s="68"/>
    </row>
    <row r="392" spans="2:10" ht="12.75" x14ac:dyDescent="0.2">
      <c r="B392" s="64"/>
      <c r="F392" s="65"/>
      <c r="G392" s="66"/>
      <c r="H392" s="67"/>
      <c r="I392" s="68"/>
      <c r="J392" s="68"/>
    </row>
    <row r="393" spans="2:10" ht="12.75" x14ac:dyDescent="0.2">
      <c r="B393" s="64"/>
      <c r="F393" s="65"/>
      <c r="G393" s="66"/>
      <c r="H393" s="67"/>
      <c r="I393" s="68"/>
      <c r="J393" s="68"/>
    </row>
    <row r="394" spans="2:10" ht="12.75" x14ac:dyDescent="0.2">
      <c r="B394" s="64"/>
      <c r="F394" s="65"/>
      <c r="G394" s="66"/>
      <c r="H394" s="67"/>
      <c r="I394" s="68"/>
      <c r="J394" s="68"/>
    </row>
    <row r="395" spans="2:10" ht="12.75" x14ac:dyDescent="0.2">
      <c r="B395" s="64"/>
      <c r="F395" s="65"/>
      <c r="G395" s="66"/>
      <c r="H395" s="67"/>
      <c r="I395" s="68"/>
      <c r="J395" s="68"/>
    </row>
    <row r="396" spans="2:10" ht="12.75" x14ac:dyDescent="0.2">
      <c r="B396" s="64"/>
      <c r="F396" s="65"/>
      <c r="G396" s="66"/>
      <c r="H396" s="67"/>
      <c r="I396" s="68"/>
      <c r="J396" s="68"/>
    </row>
    <row r="397" spans="2:10" ht="12.75" x14ac:dyDescent="0.2">
      <c r="B397" s="64"/>
      <c r="F397" s="65"/>
      <c r="G397" s="66"/>
      <c r="H397" s="67"/>
      <c r="I397" s="68"/>
      <c r="J397" s="68"/>
    </row>
    <row r="398" spans="2:10" ht="12.75" x14ac:dyDescent="0.2">
      <c r="B398" s="64"/>
      <c r="F398" s="65"/>
      <c r="G398" s="66"/>
      <c r="H398" s="67"/>
      <c r="I398" s="68"/>
      <c r="J398" s="68"/>
    </row>
    <row r="399" spans="2:10" ht="12.75" x14ac:dyDescent="0.2">
      <c r="B399" s="64"/>
      <c r="F399" s="65"/>
      <c r="G399" s="66"/>
      <c r="H399" s="67"/>
      <c r="I399" s="68"/>
      <c r="J399" s="68"/>
    </row>
    <row r="400" spans="2:10" ht="12.75" x14ac:dyDescent="0.2">
      <c r="B400" s="64"/>
      <c r="F400" s="65"/>
      <c r="G400" s="66"/>
      <c r="H400" s="67"/>
      <c r="I400" s="68"/>
      <c r="J400" s="68"/>
    </row>
    <row r="401" spans="2:10" ht="12.75" x14ac:dyDescent="0.2">
      <c r="B401" s="64"/>
      <c r="F401" s="65"/>
      <c r="G401" s="66"/>
      <c r="H401" s="67"/>
      <c r="I401" s="68"/>
      <c r="J401" s="68"/>
    </row>
    <row r="402" spans="2:10" ht="12.75" x14ac:dyDescent="0.2">
      <c r="B402" s="64"/>
      <c r="F402" s="65"/>
      <c r="G402" s="66"/>
      <c r="H402" s="67"/>
      <c r="I402" s="68"/>
      <c r="J402" s="68"/>
    </row>
    <row r="403" spans="2:10" ht="12.75" x14ac:dyDescent="0.2">
      <c r="B403" s="64"/>
      <c r="F403" s="65"/>
      <c r="G403" s="66"/>
      <c r="H403" s="67"/>
      <c r="I403" s="68"/>
      <c r="J403" s="68"/>
    </row>
    <row r="404" spans="2:10" ht="12.75" x14ac:dyDescent="0.2">
      <c r="B404" s="64"/>
      <c r="F404" s="65"/>
      <c r="G404" s="66"/>
      <c r="H404" s="67"/>
      <c r="I404" s="68"/>
      <c r="J404" s="68"/>
    </row>
    <row r="405" spans="2:10" ht="12.75" x14ac:dyDescent="0.2">
      <c r="B405" s="64"/>
      <c r="F405" s="65"/>
      <c r="G405" s="66"/>
      <c r="H405" s="67"/>
      <c r="I405" s="68"/>
      <c r="J405" s="68"/>
    </row>
    <row r="406" spans="2:10" ht="12.75" x14ac:dyDescent="0.2">
      <c r="B406" s="64"/>
      <c r="F406" s="65"/>
      <c r="G406" s="66"/>
      <c r="H406" s="67"/>
      <c r="I406" s="68"/>
      <c r="J406" s="68"/>
    </row>
    <row r="407" spans="2:10" ht="12.75" x14ac:dyDescent="0.2">
      <c r="B407" s="64"/>
      <c r="F407" s="65"/>
      <c r="G407" s="66"/>
      <c r="H407" s="67"/>
      <c r="I407" s="68"/>
      <c r="J407" s="68"/>
    </row>
    <row r="408" spans="2:10" ht="12.75" x14ac:dyDescent="0.2">
      <c r="B408" s="64"/>
      <c r="F408" s="65"/>
      <c r="G408" s="66"/>
      <c r="H408" s="67"/>
      <c r="I408" s="68"/>
      <c r="J408" s="68"/>
    </row>
    <row r="409" spans="2:10" ht="12.75" x14ac:dyDescent="0.2">
      <c r="B409" s="64"/>
      <c r="F409" s="65"/>
      <c r="G409" s="66"/>
      <c r="H409" s="67"/>
      <c r="I409" s="68"/>
      <c r="J409" s="68"/>
    </row>
    <row r="410" spans="2:10" ht="12.75" x14ac:dyDescent="0.2">
      <c r="B410" s="64"/>
      <c r="F410" s="65"/>
      <c r="G410" s="66"/>
      <c r="H410" s="67"/>
      <c r="I410" s="68"/>
      <c r="J410" s="68"/>
    </row>
    <row r="411" spans="2:10" ht="12.75" x14ac:dyDescent="0.2">
      <c r="B411" s="64"/>
      <c r="F411" s="65"/>
      <c r="G411" s="66"/>
      <c r="H411" s="67"/>
      <c r="I411" s="68"/>
      <c r="J411" s="68"/>
    </row>
    <row r="412" spans="2:10" ht="12.75" x14ac:dyDescent="0.2">
      <c r="B412" s="64"/>
      <c r="F412" s="65"/>
      <c r="G412" s="66"/>
      <c r="H412" s="67"/>
      <c r="I412" s="68"/>
      <c r="J412" s="68"/>
    </row>
    <row r="413" spans="2:10" ht="12.75" x14ac:dyDescent="0.2">
      <c r="B413" s="64"/>
      <c r="F413" s="65"/>
      <c r="G413" s="66"/>
      <c r="H413" s="67"/>
      <c r="I413" s="68"/>
      <c r="J413" s="68"/>
    </row>
    <row r="414" spans="2:10" ht="12.75" x14ac:dyDescent="0.2">
      <c r="B414" s="64"/>
      <c r="F414" s="65"/>
      <c r="G414" s="66"/>
      <c r="H414" s="67"/>
      <c r="I414" s="68"/>
      <c r="J414" s="68"/>
    </row>
    <row r="415" spans="2:10" ht="12.75" x14ac:dyDescent="0.2">
      <c r="B415" s="64"/>
      <c r="F415" s="65"/>
      <c r="G415" s="66"/>
      <c r="H415" s="67"/>
      <c r="I415" s="68"/>
      <c r="J415" s="68"/>
    </row>
    <row r="416" spans="2:10" ht="12.75" x14ac:dyDescent="0.2">
      <c r="B416" s="64"/>
      <c r="F416" s="65"/>
      <c r="G416" s="66"/>
      <c r="H416" s="67"/>
      <c r="I416" s="68"/>
      <c r="J416" s="68"/>
    </row>
    <row r="417" spans="2:10" ht="12.75" x14ac:dyDescent="0.2">
      <c r="B417" s="64"/>
      <c r="F417" s="65"/>
      <c r="G417" s="66"/>
      <c r="H417" s="67"/>
      <c r="I417" s="68"/>
      <c r="J417" s="68"/>
    </row>
    <row r="418" spans="2:10" ht="12.75" x14ac:dyDescent="0.2">
      <c r="B418" s="64"/>
      <c r="F418" s="65"/>
      <c r="G418" s="66"/>
      <c r="H418" s="67"/>
      <c r="I418" s="68"/>
      <c r="J418" s="68"/>
    </row>
    <row r="419" spans="2:10" ht="12.75" x14ac:dyDescent="0.2">
      <c r="B419" s="64"/>
      <c r="F419" s="65"/>
      <c r="G419" s="66"/>
      <c r="H419" s="67"/>
      <c r="I419" s="68"/>
      <c r="J419" s="68"/>
    </row>
    <row r="420" spans="2:10" ht="12.75" x14ac:dyDescent="0.2">
      <c r="B420" s="64"/>
      <c r="F420" s="65"/>
      <c r="G420" s="66"/>
      <c r="H420" s="67"/>
      <c r="I420" s="68"/>
      <c r="J420" s="68"/>
    </row>
    <row r="421" spans="2:10" ht="12.75" x14ac:dyDescent="0.2">
      <c r="B421" s="64"/>
      <c r="F421" s="65"/>
      <c r="G421" s="66"/>
      <c r="H421" s="67"/>
      <c r="I421" s="68"/>
      <c r="J421" s="68"/>
    </row>
    <row r="422" spans="2:10" ht="12.75" x14ac:dyDescent="0.2">
      <c r="B422" s="64"/>
      <c r="F422" s="65"/>
      <c r="G422" s="66"/>
      <c r="H422" s="67"/>
      <c r="I422" s="68"/>
      <c r="J422" s="68"/>
    </row>
    <row r="423" spans="2:10" ht="12.75" x14ac:dyDescent="0.2">
      <c r="B423" s="64"/>
      <c r="F423" s="65"/>
      <c r="G423" s="66"/>
      <c r="H423" s="67"/>
      <c r="I423" s="68"/>
      <c r="J423" s="68"/>
    </row>
    <row r="424" spans="2:10" ht="12.75" x14ac:dyDescent="0.2">
      <c r="B424" s="64"/>
      <c r="F424" s="65"/>
      <c r="G424" s="66"/>
      <c r="H424" s="67"/>
      <c r="I424" s="68"/>
      <c r="J424" s="68"/>
    </row>
    <row r="425" spans="2:10" ht="12.75" x14ac:dyDescent="0.2">
      <c r="B425" s="64"/>
      <c r="F425" s="65"/>
      <c r="G425" s="66"/>
      <c r="H425" s="67"/>
      <c r="I425" s="68"/>
      <c r="J425" s="68"/>
    </row>
    <row r="426" spans="2:10" ht="12.75" x14ac:dyDescent="0.2">
      <c r="B426" s="64"/>
      <c r="F426" s="65"/>
      <c r="G426" s="66"/>
      <c r="H426" s="67"/>
      <c r="I426" s="68"/>
      <c r="J426" s="68"/>
    </row>
    <row r="427" spans="2:10" ht="12.75" x14ac:dyDescent="0.2">
      <c r="B427" s="64"/>
      <c r="F427" s="65"/>
      <c r="G427" s="66"/>
      <c r="H427" s="67"/>
      <c r="I427" s="68"/>
      <c r="J427" s="68"/>
    </row>
    <row r="428" spans="2:10" ht="12.75" x14ac:dyDescent="0.2">
      <c r="B428" s="64"/>
      <c r="F428" s="65"/>
      <c r="G428" s="66"/>
      <c r="H428" s="67"/>
      <c r="I428" s="68"/>
      <c r="J428" s="68"/>
    </row>
    <row r="429" spans="2:10" ht="12.75" x14ac:dyDescent="0.2">
      <c r="B429" s="64"/>
      <c r="F429" s="65"/>
      <c r="G429" s="66"/>
      <c r="H429" s="67"/>
      <c r="I429" s="68"/>
      <c r="J429" s="68"/>
    </row>
    <row r="430" spans="2:10" ht="12.75" x14ac:dyDescent="0.2">
      <c r="B430" s="64"/>
      <c r="F430" s="65"/>
      <c r="G430" s="66"/>
      <c r="H430" s="67"/>
      <c r="I430" s="68"/>
      <c r="J430" s="68"/>
    </row>
    <row r="431" spans="2:10" ht="12.75" x14ac:dyDescent="0.2">
      <c r="B431" s="64"/>
      <c r="F431" s="65"/>
      <c r="G431" s="66"/>
      <c r="H431" s="67"/>
      <c r="I431" s="68"/>
      <c r="J431" s="68"/>
    </row>
    <row r="432" spans="2:10" ht="12.75" x14ac:dyDescent="0.2">
      <c r="B432" s="64"/>
      <c r="F432" s="65"/>
      <c r="G432" s="66"/>
      <c r="H432" s="67"/>
      <c r="I432" s="68"/>
      <c r="J432" s="68"/>
    </row>
    <row r="433" spans="2:10" ht="12.75" x14ac:dyDescent="0.2">
      <c r="B433" s="64"/>
      <c r="F433" s="65"/>
      <c r="G433" s="66"/>
      <c r="H433" s="67"/>
      <c r="I433" s="68"/>
      <c r="J433" s="68"/>
    </row>
    <row r="434" spans="2:10" ht="12.75" x14ac:dyDescent="0.2">
      <c r="B434" s="64"/>
      <c r="F434" s="65"/>
      <c r="G434" s="66"/>
      <c r="H434" s="67"/>
      <c r="I434" s="68"/>
      <c r="J434" s="68"/>
    </row>
    <row r="435" spans="2:10" ht="12.75" x14ac:dyDescent="0.2">
      <c r="B435" s="64"/>
      <c r="F435" s="65"/>
      <c r="G435" s="66"/>
      <c r="H435" s="67"/>
      <c r="I435" s="68"/>
      <c r="J435" s="68"/>
    </row>
    <row r="436" spans="2:10" ht="12.75" x14ac:dyDescent="0.2">
      <c r="B436" s="64"/>
      <c r="F436" s="65"/>
      <c r="G436" s="66"/>
      <c r="H436" s="67"/>
      <c r="I436" s="68"/>
      <c r="J436" s="68"/>
    </row>
    <row r="437" spans="2:10" ht="12.75" x14ac:dyDescent="0.2">
      <c r="B437" s="64"/>
      <c r="F437" s="65"/>
      <c r="G437" s="66"/>
      <c r="H437" s="67"/>
      <c r="I437" s="68"/>
      <c r="J437" s="68"/>
    </row>
    <row r="438" spans="2:10" ht="12.75" x14ac:dyDescent="0.2">
      <c r="B438" s="64"/>
      <c r="F438" s="65"/>
      <c r="G438" s="66"/>
      <c r="H438" s="67"/>
      <c r="I438" s="68"/>
      <c r="J438" s="68"/>
    </row>
    <row r="439" spans="2:10" ht="12.75" x14ac:dyDescent="0.2">
      <c r="B439" s="64"/>
      <c r="F439" s="65"/>
      <c r="G439" s="66"/>
      <c r="H439" s="67"/>
      <c r="I439" s="68"/>
      <c r="J439" s="68"/>
    </row>
    <row r="440" spans="2:10" ht="12.75" x14ac:dyDescent="0.2">
      <c r="B440" s="64"/>
      <c r="F440" s="65"/>
      <c r="G440" s="66"/>
      <c r="H440" s="67"/>
      <c r="I440" s="68"/>
      <c r="J440" s="68"/>
    </row>
    <row r="441" spans="2:10" ht="12.75" x14ac:dyDescent="0.2">
      <c r="B441" s="64"/>
      <c r="F441" s="65"/>
      <c r="G441" s="66"/>
      <c r="H441" s="67"/>
      <c r="I441" s="68"/>
      <c r="J441" s="68"/>
    </row>
    <row r="442" spans="2:10" ht="12.75" x14ac:dyDescent="0.2">
      <c r="B442" s="64"/>
      <c r="F442" s="65"/>
      <c r="G442" s="66"/>
      <c r="H442" s="67"/>
      <c r="I442" s="68"/>
      <c r="J442" s="68"/>
    </row>
    <row r="443" spans="2:10" ht="12.75" x14ac:dyDescent="0.2">
      <c r="B443" s="64"/>
      <c r="F443" s="65"/>
      <c r="G443" s="66"/>
      <c r="H443" s="67"/>
      <c r="I443" s="68"/>
      <c r="J443" s="68"/>
    </row>
    <row r="444" spans="2:10" ht="12.75" x14ac:dyDescent="0.2">
      <c r="B444" s="64"/>
      <c r="F444" s="65"/>
      <c r="G444" s="66"/>
      <c r="H444" s="67"/>
      <c r="I444" s="68"/>
      <c r="J444" s="68"/>
    </row>
    <row r="445" spans="2:10" ht="12.75" x14ac:dyDescent="0.2">
      <c r="B445" s="64"/>
      <c r="F445" s="65"/>
      <c r="G445" s="66"/>
      <c r="H445" s="67"/>
      <c r="I445" s="68"/>
      <c r="J445" s="68"/>
    </row>
    <row r="446" spans="2:10" ht="12.75" x14ac:dyDescent="0.2">
      <c r="B446" s="64"/>
      <c r="F446" s="65"/>
      <c r="G446" s="66"/>
      <c r="H446" s="67"/>
      <c r="I446" s="68"/>
      <c r="J446" s="68"/>
    </row>
    <row r="447" spans="2:10" ht="12.75" x14ac:dyDescent="0.2">
      <c r="B447" s="64"/>
      <c r="F447" s="65"/>
      <c r="G447" s="66"/>
      <c r="H447" s="67"/>
      <c r="I447" s="68"/>
      <c r="J447" s="68"/>
    </row>
    <row r="448" spans="2:10" ht="12.75" x14ac:dyDescent="0.2">
      <c r="B448" s="64"/>
      <c r="F448" s="65"/>
      <c r="G448" s="66"/>
      <c r="H448" s="67"/>
      <c r="I448" s="68"/>
      <c r="J448" s="68"/>
    </row>
    <row r="449" spans="2:10" ht="12.75" x14ac:dyDescent="0.2">
      <c r="B449" s="64"/>
      <c r="F449" s="65"/>
      <c r="G449" s="66"/>
      <c r="H449" s="67"/>
      <c r="I449" s="68"/>
      <c r="J449" s="68"/>
    </row>
    <row r="450" spans="2:10" ht="12.75" x14ac:dyDescent="0.2">
      <c r="B450" s="64"/>
      <c r="F450" s="65"/>
      <c r="G450" s="66"/>
      <c r="H450" s="67"/>
      <c r="I450" s="68"/>
      <c r="J450" s="68"/>
    </row>
    <row r="451" spans="2:10" ht="12.75" x14ac:dyDescent="0.2">
      <c r="B451" s="64"/>
      <c r="F451" s="65"/>
      <c r="G451" s="66"/>
      <c r="H451" s="67"/>
      <c r="I451" s="68"/>
      <c r="J451" s="68"/>
    </row>
    <row r="452" spans="2:10" ht="12.75" x14ac:dyDescent="0.2">
      <c r="B452" s="64"/>
      <c r="F452" s="65"/>
      <c r="G452" s="66"/>
      <c r="H452" s="67"/>
      <c r="I452" s="68"/>
      <c r="J452" s="68"/>
    </row>
    <row r="453" spans="2:10" ht="12.75" x14ac:dyDescent="0.2">
      <c r="B453" s="64"/>
      <c r="F453" s="65"/>
      <c r="G453" s="66"/>
      <c r="H453" s="67"/>
      <c r="I453" s="68"/>
      <c r="J453" s="68"/>
    </row>
    <row r="454" spans="2:10" ht="12.75" x14ac:dyDescent="0.2">
      <c r="B454" s="64"/>
      <c r="F454" s="65"/>
      <c r="G454" s="66"/>
      <c r="H454" s="67"/>
      <c r="I454" s="68"/>
      <c r="J454" s="68"/>
    </row>
    <row r="455" spans="2:10" ht="12.75" x14ac:dyDescent="0.2">
      <c r="B455" s="64"/>
      <c r="F455" s="65"/>
      <c r="G455" s="66"/>
      <c r="H455" s="67"/>
      <c r="I455" s="68"/>
      <c r="J455" s="68"/>
    </row>
    <row r="456" spans="2:10" ht="12.75" x14ac:dyDescent="0.2">
      <c r="B456" s="64"/>
      <c r="F456" s="65"/>
      <c r="G456" s="66"/>
      <c r="H456" s="67"/>
      <c r="I456" s="68"/>
      <c r="J456" s="68"/>
    </row>
    <row r="457" spans="2:10" ht="12.75" x14ac:dyDescent="0.2">
      <c r="B457" s="64"/>
      <c r="F457" s="65"/>
      <c r="G457" s="66"/>
      <c r="H457" s="67"/>
      <c r="I457" s="68"/>
      <c r="J457" s="68"/>
    </row>
    <row r="458" spans="2:10" ht="12.75" x14ac:dyDescent="0.2">
      <c r="B458" s="64"/>
      <c r="F458" s="65"/>
      <c r="G458" s="66"/>
      <c r="H458" s="67"/>
      <c r="I458" s="68"/>
      <c r="J458" s="68"/>
    </row>
    <row r="459" spans="2:10" ht="12.75" x14ac:dyDescent="0.2">
      <c r="B459" s="64"/>
      <c r="F459" s="65"/>
      <c r="G459" s="66"/>
      <c r="H459" s="67"/>
      <c r="I459" s="68"/>
      <c r="J459" s="68"/>
    </row>
    <row r="460" spans="2:10" ht="12.75" x14ac:dyDescent="0.2">
      <c r="B460" s="64"/>
      <c r="F460" s="65"/>
      <c r="G460" s="66"/>
      <c r="H460" s="67"/>
      <c r="I460" s="68"/>
      <c r="J460" s="68"/>
    </row>
    <row r="461" spans="2:10" ht="12.75" x14ac:dyDescent="0.2">
      <c r="B461" s="64"/>
      <c r="F461" s="65"/>
      <c r="G461" s="66"/>
      <c r="H461" s="67"/>
      <c r="I461" s="68"/>
      <c r="J461" s="68"/>
    </row>
    <row r="462" spans="2:10" ht="12.75" x14ac:dyDescent="0.2">
      <c r="B462" s="64"/>
      <c r="F462" s="65"/>
      <c r="G462" s="66"/>
      <c r="H462" s="67"/>
      <c r="I462" s="68"/>
      <c r="J462" s="68"/>
    </row>
    <row r="463" spans="2:10" ht="12.75" x14ac:dyDescent="0.2">
      <c r="B463" s="64"/>
      <c r="F463" s="65"/>
      <c r="G463" s="66"/>
      <c r="H463" s="67"/>
      <c r="I463" s="68"/>
      <c r="J463" s="68"/>
    </row>
    <row r="464" spans="2:10" ht="12.75" x14ac:dyDescent="0.2">
      <c r="B464" s="64"/>
      <c r="F464" s="65"/>
      <c r="G464" s="66"/>
      <c r="H464" s="67"/>
      <c r="I464" s="68"/>
      <c r="J464" s="68"/>
    </row>
    <row r="465" spans="2:10" ht="12.75" x14ac:dyDescent="0.2">
      <c r="B465" s="64"/>
      <c r="F465" s="65"/>
      <c r="G465" s="66"/>
      <c r="H465" s="67"/>
      <c r="I465" s="68"/>
      <c r="J465" s="68"/>
    </row>
    <row r="466" spans="2:10" ht="12.75" x14ac:dyDescent="0.2">
      <c r="B466" s="64"/>
      <c r="F466" s="65"/>
      <c r="G466" s="66"/>
      <c r="H466" s="67"/>
      <c r="I466" s="68"/>
      <c r="J466" s="68"/>
    </row>
    <row r="467" spans="2:10" ht="12.75" x14ac:dyDescent="0.2">
      <c r="B467" s="64"/>
      <c r="F467" s="65"/>
      <c r="G467" s="66"/>
      <c r="H467" s="67"/>
      <c r="I467" s="68"/>
      <c r="J467" s="68"/>
    </row>
    <row r="468" spans="2:10" ht="12.75" x14ac:dyDescent="0.2">
      <c r="B468" s="64"/>
      <c r="F468" s="65"/>
      <c r="G468" s="66"/>
      <c r="H468" s="67"/>
      <c r="I468" s="68"/>
      <c r="J468" s="68"/>
    </row>
    <row r="469" spans="2:10" ht="12.75" x14ac:dyDescent="0.2">
      <c r="B469" s="64"/>
      <c r="F469" s="65"/>
      <c r="G469" s="66"/>
      <c r="H469" s="67"/>
      <c r="I469" s="68"/>
      <c r="J469" s="68"/>
    </row>
    <row r="470" spans="2:10" ht="12.75" x14ac:dyDescent="0.2">
      <c r="B470" s="64"/>
      <c r="F470" s="65"/>
      <c r="G470" s="66"/>
      <c r="H470" s="67"/>
      <c r="I470" s="68"/>
      <c r="J470" s="68"/>
    </row>
    <row r="471" spans="2:10" ht="12.75" x14ac:dyDescent="0.2">
      <c r="B471" s="64"/>
      <c r="F471" s="65"/>
      <c r="G471" s="66"/>
      <c r="H471" s="67"/>
      <c r="I471" s="68"/>
      <c r="J471" s="68"/>
    </row>
    <row r="472" spans="2:10" ht="12.75" x14ac:dyDescent="0.2">
      <c r="B472" s="64"/>
      <c r="F472" s="65"/>
      <c r="G472" s="66"/>
      <c r="H472" s="67"/>
      <c r="I472" s="68"/>
      <c r="J472" s="68"/>
    </row>
    <row r="473" spans="2:10" ht="12.75" x14ac:dyDescent="0.2">
      <c r="B473" s="64"/>
      <c r="F473" s="65"/>
      <c r="G473" s="66"/>
      <c r="H473" s="67"/>
      <c r="I473" s="68"/>
      <c r="J473" s="68"/>
    </row>
    <row r="474" spans="2:10" ht="12.75" x14ac:dyDescent="0.2">
      <c r="B474" s="64"/>
      <c r="F474" s="65"/>
      <c r="G474" s="66"/>
      <c r="H474" s="67"/>
      <c r="I474" s="68"/>
      <c r="J474" s="68"/>
    </row>
    <row r="475" spans="2:10" ht="12.75" x14ac:dyDescent="0.2">
      <c r="B475" s="64"/>
      <c r="F475" s="65"/>
      <c r="G475" s="66"/>
      <c r="H475" s="67"/>
      <c r="I475" s="68"/>
      <c r="J475" s="68"/>
    </row>
    <row r="476" spans="2:10" ht="12.75" x14ac:dyDescent="0.2">
      <c r="B476" s="64"/>
      <c r="F476" s="65"/>
      <c r="G476" s="66"/>
      <c r="H476" s="67"/>
      <c r="I476" s="68"/>
      <c r="J476" s="68"/>
    </row>
    <row r="477" spans="2:10" ht="12.75" x14ac:dyDescent="0.2">
      <c r="B477" s="64"/>
      <c r="F477" s="65"/>
      <c r="G477" s="66"/>
      <c r="H477" s="67"/>
      <c r="I477" s="68"/>
      <c r="J477" s="68"/>
    </row>
    <row r="478" spans="2:10" ht="12.75" x14ac:dyDescent="0.2">
      <c r="B478" s="64"/>
      <c r="F478" s="65"/>
      <c r="G478" s="66"/>
      <c r="H478" s="67"/>
      <c r="I478" s="68"/>
      <c r="J478" s="68"/>
    </row>
    <row r="479" spans="2:10" ht="12.75" x14ac:dyDescent="0.2">
      <c r="B479" s="64"/>
      <c r="F479" s="65"/>
      <c r="G479" s="66"/>
      <c r="H479" s="67"/>
      <c r="I479" s="68"/>
      <c r="J479" s="68"/>
    </row>
    <row r="480" spans="2:10" ht="12.75" x14ac:dyDescent="0.2">
      <c r="B480" s="64"/>
      <c r="F480" s="65"/>
      <c r="G480" s="66"/>
      <c r="H480" s="67"/>
      <c r="I480" s="68"/>
      <c r="J480" s="68"/>
    </row>
    <row r="481" spans="2:10" ht="12.75" x14ac:dyDescent="0.2">
      <c r="B481" s="64"/>
      <c r="F481" s="65"/>
      <c r="G481" s="66"/>
      <c r="H481" s="67"/>
      <c r="I481" s="68"/>
      <c r="J481" s="68"/>
    </row>
    <row r="482" spans="2:10" ht="12.75" x14ac:dyDescent="0.2">
      <c r="B482" s="64"/>
      <c r="F482" s="65"/>
      <c r="G482" s="66"/>
      <c r="H482" s="67"/>
      <c r="I482" s="68"/>
      <c r="J482" s="68"/>
    </row>
    <row r="483" spans="2:10" ht="12.75" x14ac:dyDescent="0.2">
      <c r="B483" s="64"/>
      <c r="F483" s="65"/>
      <c r="G483" s="66"/>
      <c r="H483" s="67"/>
      <c r="I483" s="68"/>
      <c r="J483" s="68"/>
    </row>
    <row r="484" spans="2:10" ht="12.75" x14ac:dyDescent="0.2">
      <c r="B484" s="64"/>
      <c r="F484" s="65"/>
      <c r="G484" s="66"/>
      <c r="H484" s="67"/>
      <c r="I484" s="68"/>
      <c r="J484" s="68"/>
    </row>
    <row r="485" spans="2:10" ht="12.75" x14ac:dyDescent="0.2">
      <c r="B485" s="64"/>
      <c r="F485" s="65"/>
      <c r="G485" s="66"/>
      <c r="H485" s="67"/>
      <c r="I485" s="68"/>
      <c r="J485" s="68"/>
    </row>
    <row r="486" spans="2:10" ht="12.75" x14ac:dyDescent="0.2">
      <c r="B486" s="64"/>
      <c r="F486" s="65"/>
      <c r="G486" s="66"/>
      <c r="H486" s="67"/>
      <c r="I486" s="68"/>
      <c r="J486" s="68"/>
    </row>
    <row r="487" spans="2:10" ht="12.75" x14ac:dyDescent="0.2">
      <c r="B487" s="64"/>
      <c r="F487" s="65"/>
      <c r="G487" s="66"/>
      <c r="H487" s="67"/>
      <c r="I487" s="68"/>
      <c r="J487" s="68"/>
    </row>
    <row r="488" spans="2:10" ht="12.75" x14ac:dyDescent="0.2">
      <c r="B488" s="64"/>
      <c r="F488" s="65"/>
      <c r="G488" s="66"/>
      <c r="H488" s="67"/>
      <c r="I488" s="68"/>
      <c r="J488" s="68"/>
    </row>
    <row r="489" spans="2:10" ht="12.75" x14ac:dyDescent="0.2">
      <c r="B489" s="64"/>
      <c r="F489" s="65"/>
      <c r="G489" s="66"/>
      <c r="H489" s="67"/>
      <c r="I489" s="68"/>
      <c r="J489" s="68"/>
    </row>
    <row r="490" spans="2:10" ht="12.75" x14ac:dyDescent="0.2">
      <c r="B490" s="64"/>
      <c r="F490" s="65"/>
      <c r="G490" s="66"/>
      <c r="H490" s="67"/>
      <c r="I490" s="68"/>
      <c r="J490" s="68"/>
    </row>
    <row r="491" spans="2:10" ht="12.75" x14ac:dyDescent="0.2">
      <c r="B491" s="64"/>
      <c r="F491" s="65"/>
      <c r="G491" s="66"/>
      <c r="H491" s="67"/>
      <c r="I491" s="68"/>
      <c r="J491" s="68"/>
    </row>
    <row r="492" spans="2:10" ht="12.75" x14ac:dyDescent="0.2">
      <c r="B492" s="64"/>
      <c r="F492" s="65"/>
      <c r="G492" s="66"/>
      <c r="H492" s="67"/>
      <c r="I492" s="68"/>
      <c r="J492" s="68"/>
    </row>
    <row r="493" spans="2:10" ht="12.75" x14ac:dyDescent="0.2">
      <c r="B493" s="64"/>
      <c r="F493" s="65"/>
      <c r="G493" s="66"/>
      <c r="H493" s="67"/>
      <c r="I493" s="68"/>
      <c r="J493" s="68"/>
    </row>
    <row r="494" spans="2:10" ht="12.75" x14ac:dyDescent="0.2">
      <c r="B494" s="64"/>
      <c r="F494" s="65"/>
      <c r="G494" s="66"/>
      <c r="H494" s="67"/>
      <c r="I494" s="68"/>
      <c r="J494" s="68"/>
    </row>
    <row r="495" spans="2:10" ht="12.75" x14ac:dyDescent="0.2">
      <c r="B495" s="64"/>
      <c r="F495" s="65"/>
      <c r="G495" s="66"/>
      <c r="H495" s="67"/>
      <c r="I495" s="68"/>
      <c r="J495" s="68"/>
    </row>
    <row r="496" spans="2:10" ht="12.75" x14ac:dyDescent="0.2">
      <c r="B496" s="64"/>
      <c r="F496" s="65"/>
      <c r="G496" s="66"/>
      <c r="H496" s="67"/>
      <c r="I496" s="68"/>
      <c r="J496" s="68"/>
    </row>
    <row r="497" spans="2:10" ht="12.75" x14ac:dyDescent="0.2">
      <c r="B497" s="64"/>
      <c r="F497" s="65"/>
      <c r="G497" s="66"/>
      <c r="H497" s="67"/>
      <c r="I497" s="68"/>
      <c r="J497" s="68"/>
    </row>
    <row r="498" spans="2:10" ht="12.75" x14ac:dyDescent="0.2">
      <c r="B498" s="64"/>
      <c r="F498" s="65"/>
      <c r="G498" s="66"/>
      <c r="H498" s="67"/>
      <c r="I498" s="68"/>
      <c r="J498" s="68"/>
    </row>
    <row r="499" spans="2:10" ht="12.75" x14ac:dyDescent="0.2">
      <c r="B499" s="64"/>
      <c r="F499" s="65"/>
      <c r="G499" s="66"/>
      <c r="H499" s="67"/>
      <c r="I499" s="68"/>
      <c r="J499" s="68"/>
    </row>
    <row r="500" spans="2:10" ht="12.75" x14ac:dyDescent="0.2">
      <c r="B500" s="64"/>
      <c r="F500" s="65"/>
      <c r="G500" s="66"/>
      <c r="H500" s="67"/>
      <c r="I500" s="68"/>
      <c r="J500" s="68"/>
    </row>
    <row r="501" spans="2:10" ht="12.75" x14ac:dyDescent="0.2">
      <c r="B501" s="64"/>
      <c r="F501" s="65"/>
      <c r="G501" s="66"/>
      <c r="H501" s="67"/>
      <c r="I501" s="68"/>
      <c r="J501" s="68"/>
    </row>
    <row r="502" spans="2:10" ht="12.75" x14ac:dyDescent="0.2">
      <c r="B502" s="64"/>
      <c r="F502" s="65"/>
      <c r="G502" s="66"/>
      <c r="H502" s="67"/>
      <c r="I502" s="68"/>
      <c r="J502" s="68"/>
    </row>
    <row r="503" spans="2:10" ht="12.75" x14ac:dyDescent="0.2">
      <c r="B503" s="64"/>
      <c r="F503" s="65"/>
      <c r="G503" s="66"/>
      <c r="H503" s="67"/>
      <c r="I503" s="68"/>
      <c r="J503" s="68"/>
    </row>
    <row r="504" spans="2:10" ht="12.75" x14ac:dyDescent="0.2">
      <c r="B504" s="64"/>
      <c r="F504" s="65"/>
      <c r="G504" s="66"/>
      <c r="H504" s="67"/>
      <c r="I504" s="68"/>
      <c r="J504" s="68"/>
    </row>
    <row r="505" spans="2:10" ht="12.75" x14ac:dyDescent="0.2">
      <c r="B505" s="64"/>
      <c r="F505" s="65"/>
      <c r="G505" s="66"/>
      <c r="H505" s="67"/>
      <c r="I505" s="68"/>
      <c r="J505" s="68"/>
    </row>
    <row r="506" spans="2:10" ht="12.75" x14ac:dyDescent="0.2">
      <c r="B506" s="64"/>
      <c r="F506" s="65"/>
      <c r="G506" s="66"/>
      <c r="H506" s="67"/>
      <c r="I506" s="68"/>
      <c r="J506" s="68"/>
    </row>
    <row r="507" spans="2:10" ht="12.75" x14ac:dyDescent="0.2">
      <c r="B507" s="64"/>
      <c r="F507" s="65"/>
      <c r="G507" s="66"/>
      <c r="H507" s="67"/>
      <c r="I507" s="68"/>
      <c r="J507" s="68"/>
    </row>
    <row r="508" spans="2:10" ht="12.75" x14ac:dyDescent="0.2">
      <c r="B508" s="64"/>
      <c r="F508" s="65"/>
      <c r="G508" s="66"/>
      <c r="H508" s="67"/>
      <c r="I508" s="68"/>
      <c r="J508" s="68"/>
    </row>
    <row r="509" spans="2:10" ht="12.75" x14ac:dyDescent="0.2">
      <c r="B509" s="64"/>
      <c r="F509" s="65"/>
      <c r="G509" s="66"/>
      <c r="H509" s="67"/>
      <c r="I509" s="68"/>
      <c r="J509" s="68"/>
    </row>
    <row r="510" spans="2:10" ht="12.75" x14ac:dyDescent="0.2">
      <c r="B510" s="64"/>
      <c r="F510" s="65"/>
      <c r="G510" s="66"/>
      <c r="H510" s="67"/>
      <c r="I510" s="68"/>
      <c r="J510" s="68"/>
    </row>
    <row r="511" spans="2:10" ht="12.75" x14ac:dyDescent="0.2">
      <c r="B511" s="64"/>
      <c r="F511" s="65"/>
      <c r="G511" s="66"/>
      <c r="H511" s="67"/>
      <c r="I511" s="68"/>
      <c r="J511" s="68"/>
    </row>
    <row r="512" spans="2:10" ht="12.75" x14ac:dyDescent="0.2">
      <c r="B512" s="64"/>
      <c r="F512" s="65"/>
      <c r="G512" s="66"/>
      <c r="H512" s="67"/>
      <c r="I512" s="68"/>
      <c r="J512" s="68"/>
    </row>
    <row r="513" spans="2:10" ht="12.75" x14ac:dyDescent="0.2">
      <c r="B513" s="64"/>
      <c r="F513" s="65"/>
      <c r="G513" s="66"/>
      <c r="H513" s="67"/>
      <c r="I513" s="68"/>
      <c r="J513" s="68"/>
    </row>
    <row r="514" spans="2:10" ht="12.75" x14ac:dyDescent="0.2">
      <c r="B514" s="64"/>
      <c r="F514" s="65"/>
      <c r="G514" s="66"/>
      <c r="H514" s="67"/>
      <c r="I514" s="68"/>
      <c r="J514" s="68"/>
    </row>
    <row r="515" spans="2:10" ht="12.75" x14ac:dyDescent="0.2">
      <c r="B515" s="64"/>
      <c r="F515" s="65"/>
      <c r="G515" s="66"/>
      <c r="H515" s="67"/>
      <c r="I515" s="68"/>
      <c r="J515" s="68"/>
    </row>
    <row r="516" spans="2:10" ht="12.75" x14ac:dyDescent="0.2">
      <c r="B516" s="64"/>
      <c r="F516" s="65"/>
      <c r="G516" s="66"/>
      <c r="H516" s="67"/>
      <c r="I516" s="68"/>
      <c r="J516" s="68"/>
    </row>
    <row r="517" spans="2:10" ht="12.75" x14ac:dyDescent="0.2">
      <c r="B517" s="64"/>
      <c r="F517" s="65"/>
      <c r="G517" s="66"/>
      <c r="H517" s="67"/>
      <c r="I517" s="68"/>
      <c r="J517" s="68"/>
    </row>
    <row r="518" spans="2:10" ht="12.75" x14ac:dyDescent="0.2">
      <c r="B518" s="64"/>
      <c r="F518" s="65"/>
      <c r="G518" s="66"/>
      <c r="H518" s="67"/>
      <c r="I518" s="68"/>
      <c r="J518" s="68"/>
    </row>
    <row r="519" spans="2:10" ht="12.75" x14ac:dyDescent="0.2">
      <c r="B519" s="64"/>
      <c r="F519" s="65"/>
      <c r="G519" s="66"/>
      <c r="H519" s="67"/>
      <c r="I519" s="68"/>
      <c r="J519" s="68"/>
    </row>
    <row r="520" spans="2:10" ht="12.75" x14ac:dyDescent="0.2">
      <c r="B520" s="64"/>
      <c r="F520" s="65"/>
      <c r="G520" s="66"/>
      <c r="H520" s="67"/>
      <c r="I520" s="68"/>
      <c r="J520" s="68"/>
    </row>
    <row r="521" spans="2:10" ht="12.75" x14ac:dyDescent="0.2">
      <c r="B521" s="64"/>
      <c r="F521" s="65"/>
      <c r="G521" s="66"/>
      <c r="H521" s="67"/>
      <c r="I521" s="68"/>
      <c r="J521" s="68"/>
    </row>
    <row r="522" spans="2:10" ht="12.75" x14ac:dyDescent="0.2">
      <c r="B522" s="64"/>
      <c r="F522" s="65"/>
      <c r="G522" s="66"/>
      <c r="H522" s="67"/>
      <c r="I522" s="68"/>
      <c r="J522" s="68"/>
    </row>
    <row r="523" spans="2:10" ht="12.75" x14ac:dyDescent="0.2">
      <c r="B523" s="64"/>
      <c r="F523" s="65"/>
      <c r="G523" s="66"/>
      <c r="H523" s="67"/>
      <c r="I523" s="68"/>
      <c r="J523" s="68"/>
    </row>
    <row r="524" spans="2:10" ht="12.75" x14ac:dyDescent="0.2">
      <c r="B524" s="64"/>
      <c r="F524" s="65"/>
      <c r="G524" s="66"/>
      <c r="H524" s="67"/>
      <c r="I524" s="68"/>
      <c r="J524" s="68"/>
    </row>
    <row r="525" spans="2:10" ht="12.75" x14ac:dyDescent="0.2">
      <c r="B525" s="64"/>
      <c r="F525" s="65"/>
      <c r="G525" s="66"/>
      <c r="H525" s="67"/>
      <c r="I525" s="68"/>
      <c r="J525" s="68"/>
    </row>
    <row r="526" spans="2:10" ht="12.75" x14ac:dyDescent="0.2">
      <c r="B526" s="64"/>
      <c r="F526" s="65"/>
      <c r="G526" s="66"/>
      <c r="H526" s="67"/>
      <c r="I526" s="68"/>
      <c r="J526" s="68"/>
    </row>
    <row r="527" spans="2:10" ht="12.75" x14ac:dyDescent="0.2">
      <c r="B527" s="64"/>
      <c r="F527" s="65"/>
      <c r="G527" s="66"/>
      <c r="H527" s="67"/>
      <c r="I527" s="68"/>
      <c r="J527" s="68"/>
    </row>
    <row r="528" spans="2:10" ht="12.75" x14ac:dyDescent="0.2">
      <c r="B528" s="64"/>
      <c r="F528" s="65"/>
      <c r="G528" s="66"/>
      <c r="H528" s="67"/>
      <c r="I528" s="68"/>
      <c r="J528" s="68"/>
    </row>
    <row r="529" spans="2:10" ht="12.75" x14ac:dyDescent="0.2">
      <c r="B529" s="64"/>
      <c r="F529" s="65"/>
      <c r="G529" s="66"/>
      <c r="H529" s="67"/>
      <c r="I529" s="68"/>
      <c r="J529" s="68"/>
    </row>
    <row r="530" spans="2:10" ht="12.75" x14ac:dyDescent="0.2">
      <c r="B530" s="64"/>
      <c r="F530" s="65"/>
      <c r="G530" s="66"/>
      <c r="H530" s="67"/>
      <c r="I530" s="68"/>
      <c r="J530" s="68"/>
    </row>
    <row r="531" spans="2:10" ht="12.75" x14ac:dyDescent="0.2">
      <c r="B531" s="64"/>
      <c r="F531" s="65"/>
      <c r="G531" s="66"/>
      <c r="H531" s="67"/>
      <c r="I531" s="68"/>
      <c r="J531" s="68"/>
    </row>
    <row r="532" spans="2:10" ht="12.75" x14ac:dyDescent="0.2">
      <c r="B532" s="64"/>
      <c r="F532" s="65"/>
      <c r="G532" s="66"/>
      <c r="H532" s="67"/>
      <c r="I532" s="68"/>
      <c r="J532" s="68"/>
    </row>
    <row r="533" spans="2:10" ht="12.75" x14ac:dyDescent="0.2">
      <c r="B533" s="64"/>
      <c r="F533" s="65"/>
      <c r="G533" s="66"/>
      <c r="H533" s="67"/>
      <c r="I533" s="68"/>
      <c r="J533" s="68"/>
    </row>
    <row r="534" spans="2:10" ht="12.75" x14ac:dyDescent="0.2">
      <c r="B534" s="64"/>
      <c r="F534" s="65"/>
      <c r="G534" s="66"/>
      <c r="H534" s="67"/>
      <c r="I534" s="68"/>
      <c r="J534" s="68"/>
    </row>
    <row r="535" spans="2:10" ht="12.75" x14ac:dyDescent="0.2">
      <c r="B535" s="64"/>
      <c r="F535" s="65"/>
      <c r="G535" s="66"/>
      <c r="H535" s="67"/>
      <c r="I535" s="68"/>
      <c r="J535" s="68"/>
    </row>
    <row r="536" spans="2:10" ht="12.75" x14ac:dyDescent="0.2">
      <c r="B536" s="64"/>
      <c r="F536" s="65"/>
      <c r="G536" s="66"/>
      <c r="H536" s="67"/>
      <c r="I536" s="68"/>
      <c r="J536" s="68"/>
    </row>
    <row r="537" spans="2:10" ht="12.75" x14ac:dyDescent="0.2">
      <c r="B537" s="64"/>
      <c r="F537" s="65"/>
      <c r="G537" s="66"/>
      <c r="H537" s="67"/>
      <c r="I537" s="68"/>
      <c r="J537" s="68"/>
    </row>
    <row r="538" spans="2:10" ht="12.75" x14ac:dyDescent="0.2">
      <c r="B538" s="64"/>
      <c r="F538" s="65"/>
      <c r="G538" s="66"/>
      <c r="H538" s="67"/>
      <c r="I538" s="68"/>
      <c r="J538" s="68"/>
    </row>
    <row r="539" spans="2:10" ht="12.75" x14ac:dyDescent="0.2">
      <c r="B539" s="64"/>
      <c r="F539" s="65"/>
      <c r="G539" s="66"/>
      <c r="H539" s="67"/>
      <c r="I539" s="68"/>
      <c r="J539" s="68"/>
    </row>
    <row r="540" spans="2:10" ht="12.75" x14ac:dyDescent="0.2">
      <c r="B540" s="64"/>
      <c r="F540" s="65"/>
      <c r="G540" s="66"/>
      <c r="H540" s="67"/>
      <c r="I540" s="68"/>
      <c r="J540" s="68"/>
    </row>
    <row r="541" spans="2:10" ht="12.75" x14ac:dyDescent="0.2">
      <c r="B541" s="64"/>
      <c r="F541" s="65"/>
      <c r="G541" s="66"/>
      <c r="H541" s="67"/>
      <c r="I541" s="68"/>
      <c r="J541" s="68"/>
    </row>
    <row r="542" spans="2:10" ht="12.75" x14ac:dyDescent="0.2">
      <c r="B542" s="64"/>
      <c r="F542" s="65"/>
      <c r="G542" s="66"/>
      <c r="H542" s="67"/>
      <c r="I542" s="68"/>
      <c r="J542" s="68"/>
    </row>
    <row r="543" spans="2:10" ht="12.75" x14ac:dyDescent="0.2">
      <c r="B543" s="64"/>
      <c r="F543" s="65"/>
      <c r="G543" s="66"/>
      <c r="H543" s="67"/>
      <c r="I543" s="68"/>
      <c r="J543" s="68"/>
    </row>
    <row r="544" spans="2:10" ht="12.75" x14ac:dyDescent="0.2">
      <c r="B544" s="64"/>
      <c r="F544" s="65"/>
      <c r="G544" s="66"/>
      <c r="H544" s="67"/>
      <c r="I544" s="68"/>
      <c r="J544" s="68"/>
    </row>
    <row r="545" spans="2:10" ht="12.75" x14ac:dyDescent="0.2">
      <c r="B545" s="64"/>
      <c r="F545" s="65"/>
      <c r="G545" s="66"/>
      <c r="H545" s="67"/>
      <c r="I545" s="68"/>
      <c r="J545" s="68"/>
    </row>
    <row r="546" spans="2:10" ht="12.75" x14ac:dyDescent="0.2">
      <c r="B546" s="64"/>
      <c r="F546" s="65"/>
      <c r="G546" s="66"/>
      <c r="H546" s="67"/>
      <c r="I546" s="68"/>
      <c r="J546" s="68"/>
    </row>
    <row r="547" spans="2:10" ht="12.75" x14ac:dyDescent="0.2">
      <c r="B547" s="64"/>
      <c r="F547" s="65"/>
      <c r="G547" s="66"/>
      <c r="H547" s="67"/>
      <c r="I547" s="68"/>
      <c r="J547" s="68"/>
    </row>
    <row r="548" spans="2:10" ht="12.75" x14ac:dyDescent="0.2">
      <c r="B548" s="64"/>
      <c r="F548" s="65"/>
      <c r="G548" s="66"/>
      <c r="H548" s="67"/>
      <c r="I548" s="68"/>
      <c r="J548" s="68"/>
    </row>
    <row r="549" spans="2:10" ht="12.75" x14ac:dyDescent="0.2">
      <c r="B549" s="64"/>
      <c r="F549" s="65"/>
      <c r="G549" s="66"/>
      <c r="H549" s="67"/>
      <c r="I549" s="68"/>
      <c r="J549" s="68"/>
    </row>
    <row r="550" spans="2:10" ht="12.75" x14ac:dyDescent="0.2">
      <c r="B550" s="64"/>
      <c r="F550" s="65"/>
      <c r="G550" s="66"/>
      <c r="H550" s="67"/>
      <c r="I550" s="68"/>
      <c r="J550" s="68"/>
    </row>
    <row r="551" spans="2:10" ht="12.75" x14ac:dyDescent="0.2">
      <c r="B551" s="64"/>
      <c r="F551" s="65"/>
      <c r="G551" s="66"/>
      <c r="H551" s="67"/>
      <c r="I551" s="68"/>
      <c r="J551" s="68"/>
    </row>
    <row r="552" spans="2:10" ht="12.75" x14ac:dyDescent="0.2">
      <c r="B552" s="64"/>
      <c r="F552" s="65"/>
      <c r="G552" s="66"/>
      <c r="H552" s="67"/>
      <c r="I552" s="68"/>
      <c r="J552" s="68"/>
    </row>
    <row r="553" spans="2:10" ht="12.75" x14ac:dyDescent="0.2">
      <c r="B553" s="64"/>
      <c r="F553" s="65"/>
      <c r="G553" s="66"/>
      <c r="H553" s="67"/>
      <c r="I553" s="68"/>
      <c r="J553" s="68"/>
    </row>
    <row r="554" spans="2:10" ht="12.75" x14ac:dyDescent="0.2">
      <c r="B554" s="64"/>
      <c r="F554" s="65"/>
      <c r="G554" s="66"/>
      <c r="H554" s="67"/>
      <c r="I554" s="68"/>
      <c r="J554" s="68"/>
    </row>
    <row r="555" spans="2:10" ht="12.75" x14ac:dyDescent="0.2">
      <c r="B555" s="64"/>
      <c r="F555" s="65"/>
      <c r="G555" s="66"/>
      <c r="H555" s="67"/>
      <c r="I555" s="68"/>
      <c r="J555" s="68"/>
    </row>
    <row r="556" spans="2:10" ht="12.75" x14ac:dyDescent="0.2">
      <c r="B556" s="64"/>
      <c r="F556" s="65"/>
      <c r="G556" s="66"/>
      <c r="H556" s="67"/>
      <c r="I556" s="68"/>
      <c r="J556" s="68"/>
    </row>
    <row r="557" spans="2:10" ht="12.75" x14ac:dyDescent="0.2">
      <c r="B557" s="64"/>
      <c r="F557" s="65"/>
      <c r="G557" s="66"/>
      <c r="H557" s="67"/>
      <c r="I557" s="68"/>
      <c r="J557" s="68"/>
    </row>
    <row r="558" spans="2:10" ht="12.75" x14ac:dyDescent="0.2">
      <c r="B558" s="64"/>
      <c r="F558" s="65"/>
      <c r="G558" s="66"/>
      <c r="H558" s="67"/>
      <c r="I558" s="68"/>
      <c r="J558" s="68"/>
    </row>
    <row r="559" spans="2:10" ht="12.75" x14ac:dyDescent="0.2">
      <c r="B559" s="64"/>
      <c r="F559" s="65"/>
      <c r="G559" s="66"/>
      <c r="H559" s="67"/>
      <c r="I559" s="68"/>
      <c r="J559" s="68"/>
    </row>
    <row r="560" spans="2:10" ht="12.75" x14ac:dyDescent="0.2">
      <c r="B560" s="64"/>
      <c r="F560" s="65"/>
      <c r="G560" s="66"/>
      <c r="H560" s="67"/>
      <c r="I560" s="68"/>
      <c r="J560" s="68"/>
    </row>
    <row r="561" spans="2:10" ht="12.75" x14ac:dyDescent="0.2">
      <c r="B561" s="64"/>
      <c r="F561" s="65"/>
      <c r="G561" s="66"/>
      <c r="H561" s="67"/>
      <c r="I561" s="68"/>
      <c r="J561" s="68"/>
    </row>
    <row r="562" spans="2:10" ht="12.75" x14ac:dyDescent="0.2">
      <c r="B562" s="64"/>
      <c r="F562" s="65"/>
      <c r="G562" s="66"/>
      <c r="H562" s="67"/>
      <c r="I562" s="68"/>
      <c r="J562" s="68"/>
    </row>
    <row r="563" spans="2:10" ht="12.75" x14ac:dyDescent="0.2">
      <c r="B563" s="64"/>
      <c r="F563" s="65"/>
      <c r="G563" s="66"/>
      <c r="H563" s="67"/>
      <c r="I563" s="68"/>
      <c r="J563" s="68"/>
    </row>
    <row r="564" spans="2:10" ht="12.75" x14ac:dyDescent="0.2">
      <c r="B564" s="64"/>
      <c r="F564" s="65"/>
      <c r="G564" s="66"/>
      <c r="H564" s="67"/>
      <c r="I564" s="68"/>
      <c r="J564" s="68"/>
    </row>
    <row r="565" spans="2:10" ht="12.75" x14ac:dyDescent="0.2">
      <c r="B565" s="64"/>
      <c r="F565" s="65"/>
      <c r="G565" s="66"/>
      <c r="H565" s="67"/>
      <c r="I565" s="68"/>
      <c r="J565" s="68"/>
    </row>
    <row r="566" spans="2:10" ht="12.75" x14ac:dyDescent="0.2">
      <c r="B566" s="64"/>
      <c r="F566" s="65"/>
      <c r="G566" s="66"/>
      <c r="H566" s="67"/>
      <c r="I566" s="68"/>
      <c r="J566" s="68"/>
    </row>
    <row r="567" spans="2:10" ht="12.75" x14ac:dyDescent="0.2">
      <c r="B567" s="64"/>
      <c r="F567" s="65"/>
      <c r="G567" s="66"/>
      <c r="H567" s="67"/>
      <c r="I567" s="68"/>
      <c r="J567" s="68"/>
    </row>
    <row r="568" spans="2:10" ht="12.75" x14ac:dyDescent="0.2">
      <c r="B568" s="64"/>
      <c r="F568" s="65"/>
      <c r="G568" s="66"/>
      <c r="H568" s="67"/>
      <c r="I568" s="68"/>
      <c r="J568" s="68"/>
    </row>
    <row r="569" spans="2:10" ht="12.75" x14ac:dyDescent="0.2">
      <c r="B569" s="64"/>
      <c r="F569" s="65"/>
      <c r="G569" s="66"/>
      <c r="H569" s="67"/>
      <c r="I569" s="68"/>
      <c r="J569" s="68"/>
    </row>
    <row r="570" spans="2:10" ht="12.75" x14ac:dyDescent="0.2">
      <c r="B570" s="64"/>
      <c r="F570" s="65"/>
      <c r="G570" s="66"/>
      <c r="H570" s="67"/>
      <c r="I570" s="68"/>
      <c r="J570" s="68"/>
    </row>
    <row r="571" spans="2:10" ht="12.75" x14ac:dyDescent="0.2">
      <c r="B571" s="64"/>
      <c r="F571" s="65"/>
      <c r="G571" s="66"/>
      <c r="H571" s="67"/>
      <c r="I571" s="68"/>
      <c r="J571" s="68"/>
    </row>
    <row r="572" spans="2:10" ht="12.75" x14ac:dyDescent="0.2">
      <c r="B572" s="64"/>
      <c r="F572" s="65"/>
      <c r="G572" s="66"/>
      <c r="H572" s="67"/>
      <c r="I572" s="68"/>
      <c r="J572" s="68"/>
    </row>
    <row r="573" spans="2:10" ht="12.75" x14ac:dyDescent="0.2">
      <c r="B573" s="64"/>
      <c r="F573" s="65"/>
      <c r="G573" s="66"/>
      <c r="H573" s="67"/>
      <c r="I573" s="68"/>
      <c r="J573" s="68"/>
    </row>
    <row r="574" spans="2:10" ht="12.75" x14ac:dyDescent="0.2">
      <c r="B574" s="64"/>
      <c r="F574" s="65"/>
      <c r="G574" s="66"/>
      <c r="H574" s="67"/>
      <c r="I574" s="68"/>
      <c r="J574" s="68"/>
    </row>
    <row r="575" spans="2:10" ht="12.75" x14ac:dyDescent="0.2">
      <c r="B575" s="64"/>
      <c r="F575" s="65"/>
      <c r="G575" s="66"/>
      <c r="H575" s="67"/>
      <c r="I575" s="68"/>
      <c r="J575" s="68"/>
    </row>
    <row r="576" spans="2:10" ht="12.75" x14ac:dyDescent="0.2">
      <c r="B576" s="64"/>
      <c r="F576" s="65"/>
      <c r="G576" s="66"/>
      <c r="H576" s="67"/>
      <c r="I576" s="68"/>
      <c r="J576" s="68"/>
    </row>
    <row r="577" spans="2:10" ht="12.75" x14ac:dyDescent="0.2">
      <c r="B577" s="64"/>
      <c r="F577" s="65"/>
      <c r="G577" s="66"/>
      <c r="H577" s="67"/>
      <c r="I577" s="68"/>
      <c r="J577" s="68"/>
    </row>
    <row r="578" spans="2:10" ht="12.75" x14ac:dyDescent="0.2">
      <c r="B578" s="64"/>
      <c r="F578" s="65"/>
      <c r="G578" s="66"/>
      <c r="H578" s="67"/>
      <c r="I578" s="68"/>
      <c r="J578" s="68"/>
    </row>
    <row r="579" spans="2:10" ht="12.75" x14ac:dyDescent="0.2">
      <c r="B579" s="64"/>
      <c r="F579" s="65"/>
      <c r="G579" s="66"/>
      <c r="H579" s="67"/>
      <c r="I579" s="68"/>
      <c r="J579" s="68"/>
    </row>
    <row r="580" spans="2:10" ht="12.75" x14ac:dyDescent="0.2">
      <c r="B580" s="64"/>
      <c r="F580" s="65"/>
      <c r="G580" s="66"/>
      <c r="H580" s="67"/>
      <c r="I580" s="68"/>
      <c r="J580" s="68"/>
    </row>
    <row r="581" spans="2:10" ht="12.75" x14ac:dyDescent="0.2">
      <c r="B581" s="64"/>
      <c r="F581" s="65"/>
      <c r="G581" s="66"/>
      <c r="H581" s="67"/>
      <c r="I581" s="68"/>
      <c r="J581" s="68"/>
    </row>
    <row r="582" spans="2:10" ht="12.75" x14ac:dyDescent="0.2">
      <c r="B582" s="64"/>
      <c r="F582" s="65"/>
      <c r="G582" s="66"/>
      <c r="H582" s="67"/>
      <c r="I582" s="68"/>
      <c r="J582" s="68"/>
    </row>
    <row r="583" spans="2:10" ht="12.75" x14ac:dyDescent="0.2">
      <c r="B583" s="64"/>
      <c r="F583" s="65"/>
      <c r="G583" s="66"/>
      <c r="H583" s="67"/>
      <c r="I583" s="68"/>
      <c r="J583" s="68"/>
    </row>
    <row r="584" spans="2:10" ht="12.75" x14ac:dyDescent="0.2">
      <c r="B584" s="64"/>
      <c r="F584" s="65"/>
      <c r="G584" s="66"/>
      <c r="H584" s="67"/>
      <c r="I584" s="68"/>
      <c r="J584" s="68"/>
    </row>
    <row r="585" spans="2:10" ht="12.75" x14ac:dyDescent="0.2">
      <c r="B585" s="64"/>
      <c r="F585" s="65"/>
      <c r="G585" s="66"/>
      <c r="H585" s="67"/>
      <c r="I585" s="68"/>
      <c r="J585" s="68"/>
    </row>
    <row r="586" spans="2:10" ht="12.75" x14ac:dyDescent="0.2">
      <c r="B586" s="64"/>
      <c r="F586" s="65"/>
      <c r="G586" s="66"/>
      <c r="H586" s="67"/>
      <c r="I586" s="68"/>
      <c r="J586" s="68"/>
    </row>
    <row r="587" spans="2:10" ht="12.75" x14ac:dyDescent="0.2">
      <c r="B587" s="64"/>
      <c r="F587" s="65"/>
      <c r="G587" s="66"/>
      <c r="H587" s="67"/>
      <c r="I587" s="68"/>
      <c r="J587" s="68"/>
    </row>
    <row r="588" spans="2:10" ht="12.75" x14ac:dyDescent="0.2">
      <c r="B588" s="64"/>
      <c r="F588" s="65"/>
      <c r="G588" s="66"/>
      <c r="H588" s="67"/>
      <c r="I588" s="68"/>
      <c r="J588" s="68"/>
    </row>
    <row r="589" spans="2:10" ht="12.75" x14ac:dyDescent="0.2">
      <c r="B589" s="64"/>
      <c r="F589" s="65"/>
      <c r="G589" s="66"/>
      <c r="H589" s="67"/>
      <c r="I589" s="68"/>
      <c r="J589" s="68"/>
    </row>
    <row r="590" spans="2:10" ht="12.75" x14ac:dyDescent="0.2">
      <c r="B590" s="64"/>
      <c r="F590" s="65"/>
      <c r="G590" s="66"/>
      <c r="H590" s="67"/>
      <c r="I590" s="68"/>
      <c r="J590" s="68"/>
    </row>
    <row r="591" spans="2:10" ht="12.75" x14ac:dyDescent="0.2">
      <c r="B591" s="64"/>
      <c r="F591" s="65"/>
      <c r="G591" s="66"/>
      <c r="H591" s="67"/>
      <c r="I591" s="68"/>
      <c r="J591" s="68"/>
    </row>
    <row r="592" spans="2:10" ht="12.75" x14ac:dyDescent="0.2">
      <c r="B592" s="64"/>
      <c r="F592" s="65"/>
      <c r="G592" s="66"/>
      <c r="H592" s="67"/>
      <c r="I592" s="68"/>
      <c r="J592" s="68"/>
    </row>
    <row r="593" spans="2:10" ht="12.75" x14ac:dyDescent="0.2">
      <c r="B593" s="64"/>
      <c r="F593" s="65"/>
      <c r="G593" s="66"/>
      <c r="H593" s="67"/>
      <c r="I593" s="68"/>
      <c r="J593" s="68"/>
    </row>
    <row r="594" spans="2:10" ht="12.75" x14ac:dyDescent="0.2">
      <c r="B594" s="64"/>
      <c r="F594" s="65"/>
      <c r="G594" s="66"/>
      <c r="H594" s="67"/>
      <c r="I594" s="68"/>
      <c r="J594" s="68"/>
    </row>
    <row r="595" spans="2:10" ht="12.75" x14ac:dyDescent="0.2">
      <c r="B595" s="64"/>
      <c r="F595" s="65"/>
      <c r="G595" s="66"/>
      <c r="H595" s="67"/>
      <c r="I595" s="68"/>
      <c r="J595" s="68"/>
    </row>
    <row r="596" spans="2:10" ht="12.75" x14ac:dyDescent="0.2">
      <c r="B596" s="64"/>
      <c r="F596" s="65"/>
      <c r="G596" s="66"/>
      <c r="H596" s="67"/>
      <c r="I596" s="68"/>
      <c r="J596" s="68"/>
    </row>
    <row r="597" spans="2:10" ht="12.75" x14ac:dyDescent="0.2">
      <c r="B597" s="64"/>
      <c r="F597" s="65"/>
      <c r="G597" s="66"/>
      <c r="H597" s="67"/>
      <c r="I597" s="68"/>
      <c r="J597" s="68"/>
    </row>
    <row r="598" spans="2:10" ht="12.75" x14ac:dyDescent="0.2">
      <c r="B598" s="64"/>
      <c r="F598" s="65"/>
      <c r="G598" s="66"/>
      <c r="H598" s="67"/>
      <c r="I598" s="68"/>
      <c r="J598" s="68"/>
    </row>
    <row r="599" spans="2:10" ht="12.75" x14ac:dyDescent="0.2">
      <c r="B599" s="64"/>
      <c r="F599" s="65"/>
      <c r="G599" s="66"/>
      <c r="H599" s="67"/>
      <c r="I599" s="68"/>
      <c r="J599" s="68"/>
    </row>
    <row r="600" spans="2:10" ht="12.75" x14ac:dyDescent="0.2">
      <c r="B600" s="64"/>
      <c r="F600" s="65"/>
      <c r="G600" s="66"/>
      <c r="H600" s="67"/>
      <c r="I600" s="68"/>
      <c r="J600" s="68"/>
    </row>
    <row r="601" spans="2:10" ht="12.75" x14ac:dyDescent="0.2">
      <c r="B601" s="64"/>
      <c r="F601" s="65"/>
      <c r="G601" s="66"/>
      <c r="H601" s="67"/>
      <c r="I601" s="68"/>
      <c r="J601" s="68"/>
    </row>
    <row r="602" spans="2:10" ht="12.75" x14ac:dyDescent="0.2">
      <c r="B602" s="64"/>
      <c r="F602" s="65"/>
      <c r="G602" s="66"/>
      <c r="H602" s="67"/>
      <c r="I602" s="68"/>
      <c r="J602" s="68"/>
    </row>
    <row r="603" spans="2:10" ht="12.75" x14ac:dyDescent="0.2">
      <c r="B603" s="64"/>
      <c r="F603" s="65"/>
      <c r="G603" s="66"/>
      <c r="H603" s="67"/>
      <c r="I603" s="68"/>
      <c r="J603" s="68"/>
    </row>
    <row r="604" spans="2:10" ht="12.75" x14ac:dyDescent="0.2">
      <c r="B604" s="64"/>
      <c r="F604" s="65"/>
      <c r="G604" s="66"/>
      <c r="H604" s="67"/>
      <c r="I604" s="68"/>
      <c r="J604" s="68"/>
    </row>
    <row r="605" spans="2:10" ht="12.75" x14ac:dyDescent="0.2">
      <c r="B605" s="64"/>
      <c r="F605" s="65"/>
      <c r="G605" s="66"/>
      <c r="H605" s="67"/>
      <c r="I605" s="68"/>
      <c r="J605" s="68"/>
    </row>
    <row r="606" spans="2:10" ht="12.75" x14ac:dyDescent="0.2">
      <c r="B606" s="64"/>
      <c r="F606" s="65"/>
      <c r="G606" s="66"/>
      <c r="H606" s="67"/>
      <c r="I606" s="68"/>
      <c r="J606" s="68"/>
    </row>
    <row r="607" spans="2:10" ht="12.75" x14ac:dyDescent="0.2">
      <c r="B607" s="64"/>
      <c r="F607" s="65"/>
      <c r="G607" s="66"/>
      <c r="H607" s="67"/>
      <c r="I607" s="68"/>
      <c r="J607" s="68"/>
    </row>
    <row r="608" spans="2:10" ht="12.75" x14ac:dyDescent="0.2">
      <c r="B608" s="64"/>
      <c r="F608" s="65"/>
      <c r="G608" s="66"/>
      <c r="H608" s="67"/>
      <c r="I608" s="68"/>
      <c r="J608" s="68"/>
    </row>
    <row r="609" spans="2:10" ht="12.75" x14ac:dyDescent="0.2">
      <c r="B609" s="64"/>
      <c r="F609" s="65"/>
      <c r="G609" s="66"/>
      <c r="H609" s="67"/>
      <c r="I609" s="68"/>
      <c r="J609" s="68"/>
    </row>
    <row r="610" spans="2:10" ht="12.75" x14ac:dyDescent="0.2">
      <c r="B610" s="64"/>
      <c r="F610" s="65"/>
      <c r="G610" s="66"/>
      <c r="H610" s="67"/>
      <c r="I610" s="68"/>
      <c r="J610" s="68"/>
    </row>
    <row r="611" spans="2:10" ht="12.75" x14ac:dyDescent="0.2">
      <c r="B611" s="64"/>
      <c r="F611" s="65"/>
      <c r="G611" s="66"/>
      <c r="H611" s="67"/>
      <c r="I611" s="68"/>
      <c r="J611" s="68"/>
    </row>
    <row r="612" spans="2:10" ht="12.75" x14ac:dyDescent="0.2">
      <c r="B612" s="64"/>
      <c r="F612" s="65"/>
      <c r="G612" s="66"/>
      <c r="H612" s="67"/>
      <c r="I612" s="68"/>
      <c r="J612" s="68"/>
    </row>
    <row r="613" spans="2:10" ht="12.75" x14ac:dyDescent="0.2">
      <c r="B613" s="64"/>
      <c r="F613" s="65"/>
      <c r="G613" s="66"/>
      <c r="H613" s="67"/>
      <c r="I613" s="68"/>
      <c r="J613" s="68"/>
    </row>
    <row r="614" spans="2:10" ht="12.75" x14ac:dyDescent="0.2">
      <c r="B614" s="64"/>
      <c r="F614" s="65"/>
      <c r="G614" s="66"/>
      <c r="H614" s="67"/>
      <c r="I614" s="68"/>
      <c r="J614" s="68"/>
    </row>
    <row r="615" spans="2:10" ht="12.75" x14ac:dyDescent="0.2">
      <c r="B615" s="64"/>
      <c r="F615" s="65"/>
      <c r="G615" s="66"/>
      <c r="H615" s="67"/>
      <c r="I615" s="68"/>
      <c r="J615" s="68"/>
    </row>
    <row r="616" spans="2:10" ht="12.75" x14ac:dyDescent="0.2">
      <c r="B616" s="64"/>
      <c r="F616" s="65"/>
      <c r="G616" s="66"/>
      <c r="H616" s="67"/>
      <c r="I616" s="68"/>
      <c r="J616" s="68"/>
    </row>
    <row r="617" spans="2:10" ht="12.75" x14ac:dyDescent="0.2">
      <c r="B617" s="64"/>
      <c r="F617" s="65"/>
      <c r="G617" s="66"/>
      <c r="H617" s="67"/>
      <c r="I617" s="68"/>
      <c r="J617" s="68"/>
    </row>
    <row r="618" spans="2:10" ht="12.75" x14ac:dyDescent="0.2">
      <c r="B618" s="64"/>
      <c r="F618" s="65"/>
      <c r="G618" s="66"/>
      <c r="H618" s="67"/>
      <c r="I618" s="68"/>
      <c r="J618" s="68"/>
    </row>
    <row r="619" spans="2:10" ht="12.75" x14ac:dyDescent="0.2">
      <c r="B619" s="64"/>
      <c r="F619" s="65"/>
      <c r="G619" s="66"/>
      <c r="H619" s="67"/>
      <c r="I619" s="68"/>
      <c r="J619" s="68"/>
    </row>
    <row r="620" spans="2:10" ht="12.75" x14ac:dyDescent="0.2">
      <c r="B620" s="64"/>
      <c r="F620" s="65"/>
      <c r="G620" s="66"/>
      <c r="H620" s="67"/>
      <c r="I620" s="68"/>
      <c r="J620" s="68"/>
    </row>
    <row r="621" spans="2:10" ht="12.75" x14ac:dyDescent="0.2">
      <c r="B621" s="64"/>
      <c r="F621" s="65"/>
      <c r="G621" s="66"/>
      <c r="H621" s="67"/>
      <c r="I621" s="68"/>
      <c r="J621" s="68"/>
    </row>
    <row r="622" spans="2:10" ht="12.75" x14ac:dyDescent="0.2">
      <c r="B622" s="64"/>
      <c r="F622" s="65"/>
      <c r="G622" s="66"/>
      <c r="H622" s="67"/>
      <c r="I622" s="68"/>
      <c r="J622" s="68"/>
    </row>
    <row r="623" spans="2:10" ht="12.75" x14ac:dyDescent="0.2">
      <c r="B623" s="64"/>
      <c r="F623" s="65"/>
      <c r="G623" s="66"/>
      <c r="H623" s="67"/>
      <c r="I623" s="68"/>
      <c r="J623" s="68"/>
    </row>
    <row r="624" spans="2:10" ht="12.75" x14ac:dyDescent="0.2">
      <c r="B624" s="64"/>
      <c r="F624" s="65"/>
      <c r="G624" s="66"/>
      <c r="H624" s="67"/>
      <c r="I624" s="68"/>
      <c r="J624" s="68"/>
    </row>
    <row r="625" spans="2:10" ht="12.75" x14ac:dyDescent="0.2">
      <c r="B625" s="64"/>
      <c r="F625" s="65"/>
      <c r="G625" s="66"/>
      <c r="H625" s="67"/>
      <c r="I625" s="68"/>
      <c r="J625" s="68"/>
    </row>
    <row r="626" spans="2:10" ht="12.75" x14ac:dyDescent="0.2">
      <c r="B626" s="64"/>
      <c r="F626" s="65"/>
      <c r="G626" s="66"/>
      <c r="H626" s="67"/>
      <c r="I626" s="68"/>
      <c r="J626" s="68"/>
    </row>
    <row r="627" spans="2:10" ht="12.75" x14ac:dyDescent="0.2">
      <c r="B627" s="64"/>
      <c r="F627" s="65"/>
      <c r="G627" s="66"/>
      <c r="H627" s="67"/>
      <c r="I627" s="68"/>
      <c r="J627" s="68"/>
    </row>
    <row r="628" spans="2:10" ht="12.75" x14ac:dyDescent="0.2">
      <c r="B628" s="64"/>
      <c r="F628" s="65"/>
      <c r="G628" s="66"/>
      <c r="H628" s="67"/>
      <c r="I628" s="68"/>
      <c r="J628" s="68"/>
    </row>
    <row r="629" spans="2:10" ht="12.75" x14ac:dyDescent="0.2">
      <c r="B629" s="64"/>
      <c r="F629" s="65"/>
      <c r="G629" s="66"/>
      <c r="H629" s="67"/>
      <c r="I629" s="68"/>
      <c r="J629" s="68"/>
    </row>
    <row r="630" spans="2:10" ht="12.75" x14ac:dyDescent="0.2">
      <c r="B630" s="64"/>
      <c r="F630" s="65"/>
      <c r="G630" s="66"/>
      <c r="H630" s="67"/>
      <c r="I630" s="68"/>
      <c r="J630" s="68"/>
    </row>
    <row r="631" spans="2:10" ht="12.75" x14ac:dyDescent="0.2">
      <c r="B631" s="64"/>
      <c r="F631" s="65"/>
      <c r="G631" s="66"/>
      <c r="H631" s="67"/>
      <c r="I631" s="68"/>
      <c r="J631" s="68"/>
    </row>
    <row r="632" spans="2:10" ht="12.75" x14ac:dyDescent="0.2">
      <c r="B632" s="64"/>
      <c r="F632" s="65"/>
      <c r="G632" s="66"/>
      <c r="H632" s="67"/>
      <c r="I632" s="68"/>
      <c r="J632" s="68"/>
    </row>
    <row r="633" spans="2:10" ht="12.75" x14ac:dyDescent="0.2">
      <c r="B633" s="64"/>
      <c r="F633" s="65"/>
      <c r="G633" s="66"/>
      <c r="H633" s="67"/>
      <c r="I633" s="68"/>
      <c r="J633" s="68"/>
    </row>
    <row r="634" spans="2:10" ht="12.75" x14ac:dyDescent="0.2">
      <c r="B634" s="64"/>
      <c r="F634" s="65"/>
      <c r="G634" s="66"/>
      <c r="H634" s="67"/>
      <c r="I634" s="68"/>
      <c r="J634" s="68"/>
    </row>
    <row r="635" spans="2:10" ht="12.75" x14ac:dyDescent="0.2">
      <c r="B635" s="64"/>
      <c r="F635" s="65"/>
      <c r="G635" s="66"/>
      <c r="H635" s="67"/>
      <c r="I635" s="68"/>
      <c r="J635" s="68"/>
    </row>
    <row r="636" spans="2:10" ht="12.75" x14ac:dyDescent="0.2">
      <c r="B636" s="64"/>
      <c r="F636" s="65"/>
      <c r="G636" s="66"/>
      <c r="H636" s="67"/>
      <c r="I636" s="68"/>
      <c r="J636" s="68"/>
    </row>
    <row r="637" spans="2:10" ht="12.75" x14ac:dyDescent="0.2">
      <c r="B637" s="64"/>
      <c r="F637" s="65"/>
      <c r="G637" s="66"/>
      <c r="H637" s="67"/>
      <c r="I637" s="68"/>
      <c r="J637" s="68"/>
    </row>
    <row r="638" spans="2:10" ht="12.75" x14ac:dyDescent="0.2">
      <c r="B638" s="64"/>
      <c r="F638" s="65"/>
      <c r="G638" s="66"/>
      <c r="H638" s="67"/>
      <c r="I638" s="68"/>
      <c r="J638" s="68"/>
    </row>
    <row r="639" spans="2:10" ht="12.75" x14ac:dyDescent="0.2">
      <c r="B639" s="64"/>
      <c r="F639" s="65"/>
      <c r="G639" s="66"/>
      <c r="H639" s="67"/>
      <c r="I639" s="68"/>
      <c r="J639" s="68"/>
    </row>
    <row r="640" spans="2:10" ht="12.75" x14ac:dyDescent="0.2">
      <c r="B640" s="64"/>
      <c r="F640" s="65"/>
      <c r="G640" s="66"/>
      <c r="H640" s="67"/>
      <c r="I640" s="68"/>
      <c r="J640" s="68"/>
    </row>
    <row r="641" spans="2:10" ht="12.75" x14ac:dyDescent="0.2">
      <c r="B641" s="64"/>
      <c r="F641" s="65"/>
      <c r="G641" s="66"/>
      <c r="H641" s="67"/>
      <c r="I641" s="68"/>
      <c r="J641" s="68"/>
    </row>
    <row r="642" spans="2:10" ht="12.75" x14ac:dyDescent="0.2">
      <c r="B642" s="64"/>
      <c r="F642" s="65"/>
      <c r="G642" s="66"/>
      <c r="H642" s="67"/>
      <c r="I642" s="68"/>
      <c r="J642" s="68"/>
    </row>
    <row r="643" spans="2:10" ht="12.75" x14ac:dyDescent="0.2">
      <c r="B643" s="64"/>
      <c r="F643" s="65"/>
      <c r="G643" s="66"/>
      <c r="H643" s="67"/>
      <c r="I643" s="68"/>
      <c r="J643" s="68"/>
    </row>
    <row r="644" spans="2:10" ht="12.75" x14ac:dyDescent="0.2">
      <c r="B644" s="64"/>
      <c r="F644" s="65"/>
      <c r="G644" s="66"/>
      <c r="H644" s="67"/>
      <c r="I644" s="68"/>
      <c r="J644" s="68"/>
    </row>
    <row r="645" spans="2:10" ht="12.75" x14ac:dyDescent="0.2">
      <c r="B645" s="64"/>
      <c r="F645" s="65"/>
      <c r="G645" s="66"/>
      <c r="H645" s="67"/>
      <c r="I645" s="68"/>
      <c r="J645" s="68"/>
    </row>
    <row r="646" spans="2:10" ht="12.75" x14ac:dyDescent="0.2">
      <c r="B646" s="64"/>
      <c r="F646" s="65"/>
      <c r="G646" s="66"/>
      <c r="H646" s="67"/>
      <c r="I646" s="68"/>
      <c r="J646" s="68"/>
    </row>
    <row r="647" spans="2:10" ht="12.75" x14ac:dyDescent="0.2">
      <c r="B647" s="64"/>
      <c r="F647" s="65"/>
      <c r="G647" s="66"/>
      <c r="H647" s="67"/>
      <c r="I647" s="68"/>
      <c r="J647" s="68"/>
    </row>
    <row r="648" spans="2:10" ht="12.75" x14ac:dyDescent="0.2">
      <c r="B648" s="64"/>
      <c r="F648" s="65"/>
      <c r="G648" s="66"/>
      <c r="H648" s="67"/>
      <c r="I648" s="68"/>
      <c r="J648" s="68"/>
    </row>
    <row r="649" spans="2:10" ht="12.75" x14ac:dyDescent="0.2">
      <c r="B649" s="64"/>
      <c r="F649" s="65"/>
      <c r="G649" s="66"/>
      <c r="H649" s="67"/>
      <c r="I649" s="68"/>
      <c r="J649" s="68"/>
    </row>
    <row r="650" spans="2:10" ht="12.75" x14ac:dyDescent="0.2">
      <c r="B650" s="64"/>
      <c r="F650" s="65"/>
      <c r="G650" s="66"/>
      <c r="H650" s="67"/>
      <c r="I650" s="68"/>
      <c r="J650" s="68"/>
    </row>
    <row r="651" spans="2:10" ht="12.75" x14ac:dyDescent="0.2">
      <c r="B651" s="64"/>
      <c r="F651" s="65"/>
      <c r="G651" s="66"/>
      <c r="H651" s="67"/>
      <c r="I651" s="68"/>
      <c r="J651" s="68"/>
    </row>
    <row r="652" spans="2:10" ht="12.75" x14ac:dyDescent="0.2">
      <c r="B652" s="64"/>
      <c r="F652" s="65"/>
      <c r="G652" s="66"/>
      <c r="H652" s="67"/>
      <c r="I652" s="68"/>
      <c r="J652" s="68"/>
    </row>
    <row r="653" spans="2:10" ht="12.75" x14ac:dyDescent="0.2">
      <c r="B653" s="64"/>
      <c r="F653" s="65"/>
      <c r="G653" s="66"/>
      <c r="H653" s="67"/>
      <c r="I653" s="68"/>
      <c r="J653" s="68"/>
    </row>
    <row r="654" spans="2:10" ht="12.75" x14ac:dyDescent="0.2">
      <c r="B654" s="64"/>
      <c r="F654" s="65"/>
      <c r="G654" s="66"/>
      <c r="H654" s="67"/>
      <c r="I654" s="68"/>
      <c r="J654" s="68"/>
    </row>
    <row r="655" spans="2:10" ht="12.75" x14ac:dyDescent="0.2">
      <c r="B655" s="64"/>
      <c r="F655" s="65"/>
      <c r="G655" s="66"/>
      <c r="H655" s="67"/>
      <c r="I655" s="68"/>
      <c r="J655" s="68"/>
    </row>
    <row r="656" spans="2:10" ht="12.75" x14ac:dyDescent="0.2">
      <c r="B656" s="64"/>
      <c r="F656" s="65"/>
      <c r="G656" s="66"/>
      <c r="H656" s="67"/>
      <c r="I656" s="68"/>
      <c r="J656" s="68"/>
    </row>
    <row r="657" spans="2:10" ht="12.75" x14ac:dyDescent="0.2">
      <c r="B657" s="64"/>
      <c r="F657" s="65"/>
      <c r="G657" s="66"/>
      <c r="H657" s="67"/>
      <c r="I657" s="68"/>
      <c r="J657" s="68"/>
    </row>
    <row r="658" spans="2:10" ht="12.75" x14ac:dyDescent="0.2">
      <c r="B658" s="64"/>
      <c r="F658" s="65"/>
      <c r="G658" s="66"/>
      <c r="H658" s="67"/>
      <c r="I658" s="68"/>
      <c r="J658" s="68"/>
    </row>
    <row r="659" spans="2:10" ht="12.75" x14ac:dyDescent="0.2">
      <c r="B659" s="64"/>
      <c r="F659" s="65"/>
      <c r="G659" s="66"/>
      <c r="H659" s="67"/>
      <c r="I659" s="68"/>
      <c r="J659" s="68"/>
    </row>
    <row r="660" spans="2:10" ht="12.75" x14ac:dyDescent="0.2">
      <c r="B660" s="64"/>
      <c r="F660" s="65"/>
      <c r="G660" s="66"/>
      <c r="H660" s="67"/>
      <c r="I660" s="68"/>
      <c r="J660" s="68"/>
    </row>
    <row r="661" spans="2:10" ht="12.75" x14ac:dyDescent="0.2">
      <c r="B661" s="64"/>
      <c r="F661" s="65"/>
      <c r="G661" s="66"/>
      <c r="H661" s="67"/>
      <c r="I661" s="68"/>
      <c r="J661" s="68"/>
    </row>
    <row r="662" spans="2:10" ht="12.75" x14ac:dyDescent="0.2">
      <c r="B662" s="64"/>
      <c r="F662" s="65"/>
      <c r="G662" s="66"/>
      <c r="H662" s="67"/>
      <c r="I662" s="68"/>
      <c r="J662" s="68"/>
    </row>
    <row r="663" spans="2:10" ht="12.75" x14ac:dyDescent="0.2">
      <c r="B663" s="64"/>
      <c r="F663" s="65"/>
      <c r="G663" s="66"/>
      <c r="H663" s="67"/>
      <c r="I663" s="68"/>
      <c r="J663" s="68"/>
    </row>
    <row r="664" spans="2:10" ht="12.75" x14ac:dyDescent="0.2">
      <c r="B664" s="64"/>
      <c r="F664" s="65"/>
      <c r="G664" s="66"/>
      <c r="H664" s="67"/>
      <c r="I664" s="68"/>
      <c r="J664" s="68"/>
    </row>
    <row r="665" spans="2:10" ht="12.75" x14ac:dyDescent="0.2">
      <c r="B665" s="64"/>
      <c r="F665" s="65"/>
      <c r="G665" s="66"/>
      <c r="H665" s="67"/>
      <c r="I665" s="68"/>
      <c r="J665" s="68"/>
    </row>
    <row r="666" spans="2:10" ht="12.75" x14ac:dyDescent="0.2">
      <c r="B666" s="64"/>
      <c r="F666" s="65"/>
      <c r="G666" s="66"/>
      <c r="H666" s="67"/>
      <c r="I666" s="68"/>
      <c r="J666" s="68"/>
    </row>
    <row r="667" spans="2:10" ht="12.75" x14ac:dyDescent="0.2">
      <c r="B667" s="64"/>
      <c r="F667" s="65"/>
      <c r="G667" s="66"/>
      <c r="H667" s="67"/>
      <c r="I667" s="68"/>
      <c r="J667" s="68"/>
    </row>
    <row r="668" spans="2:10" ht="12.75" x14ac:dyDescent="0.2">
      <c r="B668" s="64"/>
      <c r="F668" s="65"/>
      <c r="G668" s="66"/>
      <c r="H668" s="67"/>
      <c r="I668" s="68"/>
      <c r="J668" s="68"/>
    </row>
    <row r="669" spans="2:10" ht="12.75" x14ac:dyDescent="0.2">
      <c r="B669" s="64"/>
      <c r="F669" s="65"/>
      <c r="G669" s="66"/>
      <c r="H669" s="67"/>
      <c r="I669" s="68"/>
      <c r="J669" s="68"/>
    </row>
    <row r="670" spans="2:10" ht="12.75" x14ac:dyDescent="0.2">
      <c r="B670" s="64"/>
      <c r="F670" s="65"/>
      <c r="G670" s="66"/>
      <c r="H670" s="67"/>
      <c r="I670" s="68"/>
      <c r="J670" s="68"/>
    </row>
    <row r="671" spans="2:10" ht="12.75" x14ac:dyDescent="0.2">
      <c r="B671" s="64"/>
      <c r="F671" s="65"/>
      <c r="G671" s="66"/>
      <c r="H671" s="67"/>
      <c r="I671" s="68"/>
      <c r="J671" s="68"/>
    </row>
    <row r="672" spans="2:10" ht="12.75" x14ac:dyDescent="0.2">
      <c r="B672" s="64"/>
      <c r="F672" s="65"/>
      <c r="G672" s="66"/>
      <c r="H672" s="67"/>
      <c r="I672" s="68"/>
      <c r="J672" s="68"/>
    </row>
    <row r="673" spans="2:10" ht="12.75" x14ac:dyDescent="0.2">
      <c r="B673" s="64"/>
      <c r="F673" s="65"/>
      <c r="G673" s="66"/>
      <c r="H673" s="67"/>
      <c r="I673" s="68"/>
      <c r="J673" s="68"/>
    </row>
    <row r="674" spans="2:10" ht="12.75" x14ac:dyDescent="0.2">
      <c r="B674" s="64"/>
      <c r="F674" s="65"/>
      <c r="G674" s="66"/>
      <c r="H674" s="67"/>
      <c r="I674" s="68"/>
      <c r="J674" s="68"/>
    </row>
    <row r="675" spans="2:10" ht="12.75" x14ac:dyDescent="0.2">
      <c r="B675" s="64"/>
      <c r="F675" s="65"/>
      <c r="G675" s="66"/>
      <c r="H675" s="67"/>
      <c r="I675" s="68"/>
      <c r="J675" s="68"/>
    </row>
    <row r="676" spans="2:10" ht="12.75" x14ac:dyDescent="0.2">
      <c r="B676" s="64"/>
      <c r="F676" s="65"/>
      <c r="G676" s="66"/>
      <c r="H676" s="67"/>
      <c r="I676" s="68"/>
      <c r="J676" s="68"/>
    </row>
    <row r="677" spans="2:10" ht="12.75" x14ac:dyDescent="0.2">
      <c r="B677" s="64"/>
      <c r="F677" s="65"/>
      <c r="G677" s="66"/>
      <c r="H677" s="67"/>
      <c r="I677" s="68"/>
      <c r="J677" s="68"/>
    </row>
    <row r="678" spans="2:10" ht="12.75" x14ac:dyDescent="0.2">
      <c r="B678" s="64"/>
      <c r="F678" s="65"/>
      <c r="G678" s="66"/>
      <c r="H678" s="67"/>
      <c r="I678" s="68"/>
      <c r="J678" s="68"/>
    </row>
    <row r="679" spans="2:10" ht="12.75" x14ac:dyDescent="0.2">
      <c r="B679" s="64"/>
      <c r="F679" s="65"/>
      <c r="G679" s="66"/>
      <c r="H679" s="67"/>
      <c r="I679" s="68"/>
      <c r="J679" s="68"/>
    </row>
    <row r="680" spans="2:10" ht="12.75" x14ac:dyDescent="0.2">
      <c r="B680" s="64"/>
      <c r="F680" s="65"/>
      <c r="G680" s="66"/>
      <c r="H680" s="67"/>
      <c r="I680" s="68"/>
      <c r="J680" s="68"/>
    </row>
    <row r="681" spans="2:10" ht="12.75" x14ac:dyDescent="0.2">
      <c r="B681" s="64"/>
      <c r="F681" s="65"/>
      <c r="G681" s="66"/>
      <c r="H681" s="67"/>
      <c r="I681" s="68"/>
      <c r="J681" s="68"/>
    </row>
    <row r="682" spans="2:10" ht="12.75" x14ac:dyDescent="0.2">
      <c r="B682" s="64"/>
      <c r="F682" s="65"/>
      <c r="G682" s="66"/>
      <c r="H682" s="67"/>
      <c r="I682" s="68"/>
      <c r="J682" s="68"/>
    </row>
    <row r="683" spans="2:10" ht="12.75" x14ac:dyDescent="0.2">
      <c r="B683" s="64"/>
      <c r="F683" s="65"/>
      <c r="G683" s="66"/>
      <c r="H683" s="67"/>
      <c r="I683" s="68"/>
      <c r="J683" s="68"/>
    </row>
    <row r="684" spans="2:10" ht="12.75" x14ac:dyDescent="0.2">
      <c r="B684" s="64"/>
      <c r="F684" s="65"/>
      <c r="G684" s="66"/>
      <c r="H684" s="67"/>
      <c r="I684" s="68"/>
      <c r="J684" s="68"/>
    </row>
    <row r="685" spans="2:10" ht="12.75" x14ac:dyDescent="0.2">
      <c r="B685" s="64"/>
      <c r="F685" s="65"/>
      <c r="G685" s="66"/>
      <c r="H685" s="67"/>
      <c r="I685" s="68"/>
      <c r="J685" s="68"/>
    </row>
    <row r="686" spans="2:10" ht="12.75" x14ac:dyDescent="0.2">
      <c r="B686" s="64"/>
      <c r="F686" s="65"/>
      <c r="G686" s="66"/>
      <c r="H686" s="67"/>
      <c r="I686" s="68"/>
      <c r="J686" s="68"/>
    </row>
    <row r="687" spans="2:10" ht="12.75" x14ac:dyDescent="0.2">
      <c r="B687" s="64"/>
      <c r="F687" s="65"/>
      <c r="G687" s="66"/>
      <c r="H687" s="67"/>
      <c r="I687" s="68"/>
      <c r="J687" s="68"/>
    </row>
    <row r="688" spans="2:10" ht="12.75" x14ac:dyDescent="0.2">
      <c r="B688" s="64"/>
      <c r="F688" s="65"/>
      <c r="G688" s="66"/>
      <c r="H688" s="67"/>
      <c r="I688" s="68"/>
      <c r="J688" s="68"/>
    </row>
    <row r="689" spans="2:10" ht="12.75" x14ac:dyDescent="0.2">
      <c r="B689" s="64"/>
      <c r="F689" s="65"/>
      <c r="G689" s="66"/>
      <c r="H689" s="67"/>
      <c r="I689" s="68"/>
      <c r="J689" s="68"/>
    </row>
    <row r="690" spans="2:10" ht="12.75" x14ac:dyDescent="0.2">
      <c r="B690" s="64"/>
      <c r="F690" s="65"/>
      <c r="G690" s="66"/>
      <c r="H690" s="67"/>
      <c r="I690" s="68"/>
      <c r="J690" s="68"/>
    </row>
    <row r="691" spans="2:10" ht="12.75" x14ac:dyDescent="0.2">
      <c r="B691" s="64"/>
      <c r="F691" s="65"/>
      <c r="G691" s="66"/>
      <c r="H691" s="67"/>
      <c r="I691" s="68"/>
      <c r="J691" s="68"/>
    </row>
    <row r="692" spans="2:10" ht="12.75" x14ac:dyDescent="0.2">
      <c r="B692" s="64"/>
      <c r="F692" s="65"/>
      <c r="G692" s="66"/>
      <c r="H692" s="67"/>
      <c r="I692" s="68"/>
      <c r="J692" s="68"/>
    </row>
    <row r="693" spans="2:10" ht="12.75" x14ac:dyDescent="0.2">
      <c r="B693" s="64"/>
      <c r="F693" s="65"/>
      <c r="G693" s="66"/>
      <c r="H693" s="67"/>
      <c r="I693" s="68"/>
      <c r="J693" s="68"/>
    </row>
    <row r="694" spans="2:10" ht="12.75" x14ac:dyDescent="0.2">
      <c r="B694" s="64"/>
      <c r="F694" s="65"/>
      <c r="G694" s="66"/>
      <c r="H694" s="67"/>
      <c r="I694" s="68"/>
      <c r="J694" s="68"/>
    </row>
    <row r="695" spans="2:10" ht="12.75" x14ac:dyDescent="0.2">
      <c r="B695" s="64"/>
      <c r="F695" s="65"/>
      <c r="G695" s="66"/>
      <c r="H695" s="67"/>
      <c r="I695" s="68"/>
      <c r="J695" s="68"/>
    </row>
    <row r="696" spans="2:10" ht="12.75" x14ac:dyDescent="0.2">
      <c r="B696" s="64"/>
      <c r="F696" s="65"/>
      <c r="G696" s="66"/>
      <c r="H696" s="67"/>
      <c r="I696" s="68"/>
      <c r="J696" s="68"/>
    </row>
    <row r="697" spans="2:10" ht="12.75" x14ac:dyDescent="0.2">
      <c r="B697" s="64"/>
      <c r="F697" s="65"/>
      <c r="G697" s="66"/>
      <c r="H697" s="67"/>
      <c r="I697" s="68"/>
      <c r="J697" s="68"/>
    </row>
    <row r="698" spans="2:10" ht="12.75" x14ac:dyDescent="0.2">
      <c r="B698" s="64"/>
      <c r="F698" s="65"/>
      <c r="G698" s="66"/>
      <c r="H698" s="67"/>
      <c r="I698" s="68"/>
      <c r="J698" s="68"/>
    </row>
    <row r="699" spans="2:10" ht="12.75" x14ac:dyDescent="0.2">
      <c r="B699" s="64"/>
      <c r="F699" s="65"/>
      <c r="G699" s="66"/>
      <c r="H699" s="67"/>
      <c r="I699" s="68"/>
      <c r="J699" s="68"/>
    </row>
    <row r="700" spans="2:10" ht="12.75" x14ac:dyDescent="0.2">
      <c r="B700" s="64"/>
      <c r="F700" s="65"/>
      <c r="G700" s="66"/>
      <c r="H700" s="67"/>
      <c r="I700" s="68"/>
      <c r="J700" s="68"/>
    </row>
    <row r="701" spans="2:10" ht="12.75" x14ac:dyDescent="0.2">
      <c r="B701" s="64"/>
      <c r="F701" s="65"/>
      <c r="G701" s="66"/>
      <c r="H701" s="67"/>
      <c r="I701" s="68"/>
      <c r="J701" s="68"/>
    </row>
    <row r="702" spans="2:10" ht="12.75" x14ac:dyDescent="0.2">
      <c r="B702" s="64"/>
      <c r="F702" s="65"/>
      <c r="G702" s="66"/>
      <c r="H702" s="67"/>
      <c r="I702" s="68"/>
      <c r="J702" s="68"/>
    </row>
    <row r="703" spans="2:10" ht="12.75" x14ac:dyDescent="0.2">
      <c r="B703" s="64"/>
      <c r="F703" s="65"/>
      <c r="G703" s="66"/>
      <c r="H703" s="67"/>
      <c r="I703" s="68"/>
      <c r="J703" s="68"/>
    </row>
    <row r="704" spans="2:10" ht="12.75" x14ac:dyDescent="0.2">
      <c r="B704" s="64"/>
      <c r="F704" s="65"/>
      <c r="G704" s="66"/>
      <c r="H704" s="67"/>
      <c r="I704" s="68"/>
      <c r="J704" s="68"/>
    </row>
    <row r="705" spans="2:10" ht="12.75" x14ac:dyDescent="0.2">
      <c r="B705" s="64"/>
      <c r="F705" s="65"/>
      <c r="G705" s="66"/>
      <c r="H705" s="67"/>
      <c r="I705" s="68"/>
      <c r="J705" s="68"/>
    </row>
    <row r="706" spans="2:10" ht="12.75" x14ac:dyDescent="0.2">
      <c r="B706" s="64"/>
      <c r="F706" s="65"/>
      <c r="G706" s="66"/>
      <c r="H706" s="67"/>
      <c r="I706" s="68"/>
      <c r="J706" s="68"/>
    </row>
    <row r="707" spans="2:10" ht="12.75" x14ac:dyDescent="0.2">
      <c r="B707" s="64"/>
      <c r="F707" s="65"/>
      <c r="G707" s="66"/>
      <c r="H707" s="67"/>
      <c r="I707" s="68"/>
      <c r="J707" s="68"/>
    </row>
    <row r="708" spans="2:10" ht="12.75" x14ac:dyDescent="0.2">
      <c r="B708" s="64"/>
      <c r="F708" s="65"/>
      <c r="G708" s="66"/>
      <c r="H708" s="67"/>
      <c r="I708" s="68"/>
      <c r="J708" s="68"/>
    </row>
    <row r="709" spans="2:10" ht="12.75" x14ac:dyDescent="0.2">
      <c r="B709" s="64"/>
      <c r="F709" s="65"/>
      <c r="G709" s="66"/>
      <c r="H709" s="67"/>
      <c r="I709" s="68"/>
      <c r="J709" s="68"/>
    </row>
    <row r="710" spans="2:10" ht="12.75" x14ac:dyDescent="0.2">
      <c r="B710" s="64"/>
      <c r="F710" s="65"/>
      <c r="G710" s="66"/>
      <c r="H710" s="67"/>
      <c r="I710" s="68"/>
      <c r="J710" s="68"/>
    </row>
    <row r="711" spans="2:10" ht="12.75" x14ac:dyDescent="0.2">
      <c r="B711" s="64"/>
      <c r="F711" s="65"/>
      <c r="G711" s="66"/>
      <c r="H711" s="67"/>
      <c r="I711" s="68"/>
      <c r="J711" s="68"/>
    </row>
    <row r="712" spans="2:10" ht="12.75" x14ac:dyDescent="0.2">
      <c r="B712" s="64"/>
      <c r="F712" s="65"/>
      <c r="G712" s="66"/>
      <c r="H712" s="67"/>
      <c r="I712" s="68"/>
      <c r="J712" s="68"/>
    </row>
    <row r="713" spans="2:10" ht="12.75" x14ac:dyDescent="0.2">
      <c r="B713" s="64"/>
      <c r="F713" s="65"/>
      <c r="G713" s="66"/>
      <c r="H713" s="67"/>
      <c r="I713" s="68"/>
      <c r="J713" s="68"/>
    </row>
    <row r="714" spans="2:10" ht="12.75" x14ac:dyDescent="0.2">
      <c r="B714" s="64"/>
      <c r="F714" s="65"/>
      <c r="G714" s="66"/>
      <c r="H714" s="67"/>
      <c r="I714" s="68"/>
      <c r="J714" s="68"/>
    </row>
    <row r="715" spans="2:10" ht="12.75" x14ac:dyDescent="0.2">
      <c r="B715" s="64"/>
      <c r="F715" s="65"/>
      <c r="G715" s="66"/>
      <c r="H715" s="67"/>
      <c r="I715" s="68"/>
      <c r="J715" s="68"/>
    </row>
    <row r="716" spans="2:10" ht="12.75" x14ac:dyDescent="0.2">
      <c r="B716" s="64"/>
      <c r="F716" s="65"/>
      <c r="G716" s="66"/>
      <c r="H716" s="67"/>
      <c r="I716" s="68"/>
      <c r="J716" s="68"/>
    </row>
    <row r="717" spans="2:10" ht="12.75" x14ac:dyDescent="0.2">
      <c r="B717" s="64"/>
      <c r="F717" s="65"/>
      <c r="G717" s="66"/>
      <c r="H717" s="67"/>
      <c r="I717" s="68"/>
      <c r="J717" s="68"/>
    </row>
    <row r="718" spans="2:10" ht="12.75" x14ac:dyDescent="0.2">
      <c r="B718" s="64"/>
      <c r="F718" s="65"/>
      <c r="G718" s="66"/>
      <c r="H718" s="67"/>
      <c r="I718" s="68"/>
      <c r="J718" s="68"/>
    </row>
    <row r="719" spans="2:10" ht="12.75" x14ac:dyDescent="0.2">
      <c r="B719" s="64"/>
      <c r="F719" s="65"/>
      <c r="G719" s="66"/>
      <c r="H719" s="67"/>
      <c r="I719" s="68"/>
      <c r="J719" s="68"/>
    </row>
    <row r="720" spans="2:10" ht="12.75" x14ac:dyDescent="0.2">
      <c r="B720" s="64"/>
      <c r="F720" s="65"/>
      <c r="G720" s="66"/>
      <c r="H720" s="67"/>
      <c r="I720" s="68"/>
      <c r="J720" s="68"/>
    </row>
    <row r="721" spans="2:10" ht="12.75" x14ac:dyDescent="0.2">
      <c r="B721" s="64"/>
      <c r="F721" s="65"/>
      <c r="G721" s="66"/>
      <c r="H721" s="67"/>
      <c r="I721" s="68"/>
      <c r="J721" s="68"/>
    </row>
    <row r="722" spans="2:10" ht="12.75" x14ac:dyDescent="0.2">
      <c r="B722" s="64"/>
      <c r="F722" s="65"/>
      <c r="G722" s="66"/>
      <c r="H722" s="67"/>
      <c r="I722" s="68"/>
      <c r="J722" s="68"/>
    </row>
    <row r="723" spans="2:10" ht="12.75" x14ac:dyDescent="0.2">
      <c r="B723" s="64"/>
      <c r="F723" s="65"/>
      <c r="G723" s="66"/>
      <c r="H723" s="67"/>
      <c r="I723" s="68"/>
      <c r="J723" s="68"/>
    </row>
    <row r="724" spans="2:10" ht="12.75" x14ac:dyDescent="0.2">
      <c r="B724" s="64"/>
      <c r="F724" s="65"/>
      <c r="G724" s="66"/>
      <c r="H724" s="67"/>
      <c r="I724" s="68"/>
      <c r="J724" s="68"/>
    </row>
    <row r="725" spans="2:10" ht="12.75" x14ac:dyDescent="0.2">
      <c r="B725" s="64"/>
      <c r="F725" s="65"/>
      <c r="G725" s="66"/>
      <c r="H725" s="67"/>
      <c r="I725" s="68"/>
      <c r="J725" s="68"/>
    </row>
    <row r="726" spans="2:10" ht="12.75" x14ac:dyDescent="0.2">
      <c r="B726" s="64"/>
      <c r="F726" s="65"/>
      <c r="G726" s="66"/>
      <c r="H726" s="67"/>
      <c r="I726" s="68"/>
      <c r="J726" s="68"/>
    </row>
    <row r="727" spans="2:10" ht="12.75" x14ac:dyDescent="0.2">
      <c r="B727" s="64"/>
      <c r="F727" s="65"/>
      <c r="G727" s="66"/>
      <c r="H727" s="67"/>
      <c r="I727" s="68"/>
      <c r="J727" s="68"/>
    </row>
    <row r="728" spans="2:10" ht="12.75" x14ac:dyDescent="0.2">
      <c r="B728" s="64"/>
      <c r="F728" s="65"/>
      <c r="G728" s="66"/>
      <c r="H728" s="67"/>
      <c r="I728" s="68"/>
      <c r="J728" s="68"/>
    </row>
    <row r="729" spans="2:10" ht="12.75" x14ac:dyDescent="0.2">
      <c r="B729" s="64"/>
      <c r="F729" s="65"/>
      <c r="G729" s="66"/>
      <c r="H729" s="67"/>
      <c r="I729" s="68"/>
      <c r="J729" s="68"/>
    </row>
    <row r="730" spans="2:10" ht="12.75" x14ac:dyDescent="0.2">
      <c r="B730" s="64"/>
      <c r="F730" s="65"/>
      <c r="G730" s="66"/>
      <c r="H730" s="67"/>
      <c r="I730" s="68"/>
      <c r="J730" s="68"/>
    </row>
    <row r="731" spans="2:10" ht="12.75" x14ac:dyDescent="0.2">
      <c r="B731" s="64"/>
      <c r="F731" s="65"/>
      <c r="G731" s="66"/>
      <c r="H731" s="67"/>
      <c r="I731" s="68"/>
      <c r="J731" s="68"/>
    </row>
    <row r="732" spans="2:10" ht="12.75" x14ac:dyDescent="0.2">
      <c r="B732" s="64"/>
      <c r="F732" s="65"/>
      <c r="G732" s="66"/>
      <c r="H732" s="67"/>
      <c r="I732" s="68"/>
      <c r="J732" s="68"/>
    </row>
    <row r="733" spans="2:10" ht="12.75" x14ac:dyDescent="0.2">
      <c r="B733" s="64"/>
      <c r="F733" s="65"/>
      <c r="G733" s="66"/>
      <c r="H733" s="67"/>
      <c r="I733" s="68"/>
      <c r="J733" s="68"/>
    </row>
    <row r="734" spans="2:10" ht="12.75" x14ac:dyDescent="0.2">
      <c r="B734" s="64"/>
      <c r="F734" s="65"/>
      <c r="G734" s="66"/>
      <c r="H734" s="67"/>
      <c r="I734" s="68"/>
      <c r="J734" s="68"/>
    </row>
    <row r="735" spans="2:10" ht="12.75" x14ac:dyDescent="0.2">
      <c r="B735" s="64"/>
      <c r="F735" s="65"/>
      <c r="G735" s="66"/>
      <c r="H735" s="67"/>
      <c r="I735" s="68"/>
      <c r="J735" s="68"/>
    </row>
    <row r="736" spans="2:10" ht="12.75" x14ac:dyDescent="0.2">
      <c r="B736" s="64"/>
      <c r="F736" s="65"/>
      <c r="G736" s="66"/>
      <c r="H736" s="67"/>
      <c r="I736" s="68"/>
      <c r="J736" s="68"/>
    </row>
    <row r="737" spans="2:10" ht="12.75" x14ac:dyDescent="0.2">
      <c r="B737" s="64"/>
      <c r="F737" s="65"/>
      <c r="G737" s="66"/>
      <c r="H737" s="67"/>
      <c r="I737" s="68"/>
      <c r="J737" s="68"/>
    </row>
    <row r="738" spans="2:10" ht="12.75" x14ac:dyDescent="0.2">
      <c r="B738" s="64"/>
      <c r="F738" s="65"/>
      <c r="G738" s="66"/>
      <c r="H738" s="67"/>
      <c r="I738" s="68"/>
      <c r="J738" s="68"/>
    </row>
    <row r="739" spans="2:10" ht="12.75" x14ac:dyDescent="0.2">
      <c r="B739" s="64"/>
      <c r="F739" s="65"/>
      <c r="G739" s="66"/>
      <c r="H739" s="67"/>
      <c r="I739" s="68"/>
      <c r="J739" s="68"/>
    </row>
    <row r="740" spans="2:10" ht="12.75" x14ac:dyDescent="0.2">
      <c r="B740" s="64"/>
      <c r="F740" s="65"/>
      <c r="G740" s="66"/>
      <c r="H740" s="67"/>
      <c r="I740" s="68"/>
      <c r="J740" s="68"/>
    </row>
    <row r="741" spans="2:10" ht="12.75" x14ac:dyDescent="0.2">
      <c r="B741" s="64"/>
      <c r="F741" s="65"/>
      <c r="G741" s="66"/>
      <c r="H741" s="67"/>
      <c r="I741" s="68"/>
      <c r="J741" s="68"/>
    </row>
    <row r="742" spans="2:10" ht="12.75" x14ac:dyDescent="0.2">
      <c r="B742" s="64"/>
      <c r="F742" s="65"/>
      <c r="G742" s="66"/>
      <c r="H742" s="67"/>
      <c r="I742" s="68"/>
      <c r="J742" s="68"/>
    </row>
    <row r="743" spans="2:10" ht="12.75" x14ac:dyDescent="0.2">
      <c r="B743" s="64"/>
      <c r="F743" s="65"/>
      <c r="G743" s="66"/>
      <c r="H743" s="67"/>
      <c r="I743" s="68"/>
      <c r="J743" s="68"/>
    </row>
    <row r="744" spans="2:10" ht="12.75" x14ac:dyDescent="0.2">
      <c r="B744" s="64"/>
      <c r="F744" s="65"/>
      <c r="G744" s="66"/>
      <c r="H744" s="67"/>
      <c r="I744" s="68"/>
      <c r="J744" s="68"/>
    </row>
    <row r="745" spans="2:10" ht="12.75" x14ac:dyDescent="0.2">
      <c r="B745" s="64"/>
      <c r="F745" s="65"/>
      <c r="G745" s="66"/>
      <c r="H745" s="67"/>
      <c r="I745" s="68"/>
      <c r="J745" s="68"/>
    </row>
    <row r="746" spans="2:10" ht="12.75" x14ac:dyDescent="0.2">
      <c r="B746" s="64"/>
      <c r="F746" s="65"/>
      <c r="G746" s="66"/>
      <c r="H746" s="67"/>
      <c r="I746" s="68"/>
      <c r="J746" s="68"/>
    </row>
    <row r="747" spans="2:10" ht="12.75" x14ac:dyDescent="0.2">
      <c r="B747" s="64"/>
      <c r="F747" s="65"/>
      <c r="G747" s="66"/>
      <c r="H747" s="67"/>
      <c r="I747" s="68"/>
      <c r="J747" s="68"/>
    </row>
    <row r="748" spans="2:10" ht="12.75" x14ac:dyDescent="0.2">
      <c r="B748" s="64"/>
      <c r="F748" s="65"/>
      <c r="G748" s="66"/>
      <c r="H748" s="67"/>
      <c r="I748" s="68"/>
      <c r="J748" s="68"/>
    </row>
    <row r="749" spans="2:10" ht="12.75" x14ac:dyDescent="0.2">
      <c r="B749" s="64"/>
      <c r="F749" s="65"/>
      <c r="G749" s="66"/>
      <c r="H749" s="67"/>
      <c r="I749" s="68"/>
      <c r="J749" s="68"/>
    </row>
    <row r="750" spans="2:10" ht="12.75" x14ac:dyDescent="0.2">
      <c r="B750" s="64"/>
      <c r="F750" s="65"/>
      <c r="G750" s="66"/>
      <c r="H750" s="67"/>
      <c r="I750" s="68"/>
      <c r="J750" s="68"/>
    </row>
    <row r="751" spans="2:10" ht="12.75" x14ac:dyDescent="0.2">
      <c r="B751" s="64"/>
      <c r="F751" s="65"/>
      <c r="G751" s="66"/>
      <c r="H751" s="67"/>
      <c r="I751" s="68"/>
      <c r="J751" s="68"/>
    </row>
    <row r="752" spans="2:10" ht="12.75" x14ac:dyDescent="0.2">
      <c r="B752" s="64"/>
      <c r="F752" s="65"/>
      <c r="G752" s="66"/>
      <c r="H752" s="67"/>
      <c r="I752" s="68"/>
      <c r="J752" s="68"/>
    </row>
    <row r="753" spans="2:10" ht="12.75" x14ac:dyDescent="0.2">
      <c r="B753" s="64"/>
      <c r="F753" s="65"/>
      <c r="G753" s="66"/>
      <c r="H753" s="67"/>
      <c r="I753" s="68"/>
      <c r="J753" s="68"/>
    </row>
    <row r="754" spans="2:10" ht="12.75" x14ac:dyDescent="0.2">
      <c r="B754" s="64"/>
      <c r="F754" s="65"/>
      <c r="G754" s="66"/>
      <c r="H754" s="67"/>
      <c r="I754" s="68"/>
      <c r="J754" s="68"/>
    </row>
    <row r="755" spans="2:10" ht="12.75" x14ac:dyDescent="0.2">
      <c r="B755" s="64"/>
      <c r="F755" s="65"/>
      <c r="G755" s="66"/>
      <c r="H755" s="67"/>
      <c r="I755" s="68"/>
      <c r="J755" s="68"/>
    </row>
    <row r="756" spans="2:10" ht="12.75" x14ac:dyDescent="0.2">
      <c r="B756" s="64"/>
      <c r="F756" s="65"/>
      <c r="G756" s="66"/>
      <c r="H756" s="67"/>
      <c r="I756" s="68"/>
      <c r="J756" s="68"/>
    </row>
    <row r="757" spans="2:10" ht="12.75" x14ac:dyDescent="0.2">
      <c r="B757" s="64"/>
      <c r="F757" s="65"/>
      <c r="G757" s="66"/>
      <c r="H757" s="67"/>
      <c r="I757" s="68"/>
      <c r="J757" s="68"/>
    </row>
    <row r="758" spans="2:10" ht="12.75" x14ac:dyDescent="0.2">
      <c r="B758" s="64"/>
      <c r="F758" s="65"/>
      <c r="G758" s="66"/>
      <c r="H758" s="67"/>
      <c r="I758" s="68"/>
      <c r="J758" s="68"/>
    </row>
    <row r="759" spans="2:10" ht="12.75" x14ac:dyDescent="0.2">
      <c r="B759" s="64"/>
      <c r="F759" s="65"/>
      <c r="G759" s="66"/>
      <c r="H759" s="67"/>
      <c r="I759" s="68"/>
      <c r="J759" s="68"/>
    </row>
    <row r="760" spans="2:10" ht="12.75" x14ac:dyDescent="0.2">
      <c r="B760" s="64"/>
      <c r="F760" s="65"/>
      <c r="G760" s="66"/>
      <c r="H760" s="67"/>
      <c r="I760" s="68"/>
      <c r="J760" s="68"/>
    </row>
    <row r="761" spans="2:10" ht="12.75" x14ac:dyDescent="0.2">
      <c r="B761" s="64"/>
      <c r="F761" s="65"/>
      <c r="G761" s="66"/>
      <c r="H761" s="67"/>
      <c r="I761" s="68"/>
      <c r="J761" s="68"/>
    </row>
    <row r="762" spans="2:10" ht="12.75" x14ac:dyDescent="0.2">
      <c r="B762" s="64"/>
      <c r="F762" s="65"/>
      <c r="G762" s="66"/>
      <c r="H762" s="67"/>
      <c r="I762" s="68"/>
      <c r="J762" s="68"/>
    </row>
    <row r="763" spans="2:10" ht="12.75" x14ac:dyDescent="0.2">
      <c r="B763" s="64"/>
      <c r="F763" s="65"/>
      <c r="G763" s="66"/>
      <c r="H763" s="67"/>
      <c r="I763" s="68"/>
      <c r="J763" s="68"/>
    </row>
    <row r="764" spans="2:10" ht="12.75" x14ac:dyDescent="0.2">
      <c r="B764" s="64"/>
      <c r="F764" s="65"/>
      <c r="G764" s="66"/>
      <c r="H764" s="67"/>
      <c r="I764" s="68"/>
      <c r="J764" s="68"/>
    </row>
    <row r="765" spans="2:10" ht="12.75" x14ac:dyDescent="0.2">
      <c r="B765" s="64"/>
      <c r="F765" s="65"/>
      <c r="G765" s="66"/>
      <c r="H765" s="67"/>
      <c r="I765" s="68"/>
      <c r="J765" s="68"/>
    </row>
    <row r="766" spans="2:10" ht="12.75" x14ac:dyDescent="0.2">
      <c r="B766" s="64"/>
      <c r="F766" s="65"/>
      <c r="G766" s="66"/>
      <c r="H766" s="67"/>
      <c r="I766" s="68"/>
      <c r="J766" s="68"/>
    </row>
    <row r="767" spans="2:10" ht="12.75" x14ac:dyDescent="0.2">
      <c r="B767" s="64"/>
      <c r="F767" s="65"/>
      <c r="G767" s="66"/>
      <c r="H767" s="67"/>
      <c r="I767" s="68"/>
      <c r="J767" s="68"/>
    </row>
    <row r="768" spans="2:10" ht="12.75" x14ac:dyDescent="0.2">
      <c r="B768" s="64"/>
      <c r="F768" s="65"/>
      <c r="G768" s="66"/>
      <c r="H768" s="67"/>
      <c r="I768" s="68"/>
      <c r="J768" s="68"/>
    </row>
    <row r="769" spans="2:10" ht="12.75" x14ac:dyDescent="0.2">
      <c r="B769" s="64"/>
      <c r="F769" s="65"/>
      <c r="G769" s="66"/>
      <c r="H769" s="67"/>
      <c r="I769" s="68"/>
      <c r="J769" s="68"/>
    </row>
    <row r="770" spans="2:10" ht="12.75" x14ac:dyDescent="0.2">
      <c r="B770" s="64"/>
      <c r="F770" s="65"/>
      <c r="G770" s="66"/>
      <c r="H770" s="67"/>
      <c r="I770" s="68"/>
      <c r="J770" s="68"/>
    </row>
    <row r="771" spans="2:10" ht="12.75" x14ac:dyDescent="0.2">
      <c r="B771" s="64"/>
      <c r="F771" s="65"/>
      <c r="G771" s="66"/>
      <c r="H771" s="67"/>
      <c r="I771" s="68"/>
      <c r="J771" s="68"/>
    </row>
    <row r="772" spans="2:10" ht="12.75" x14ac:dyDescent="0.2">
      <c r="B772" s="64"/>
      <c r="F772" s="65"/>
      <c r="G772" s="66"/>
      <c r="H772" s="67"/>
      <c r="I772" s="68"/>
      <c r="J772" s="68"/>
    </row>
    <row r="773" spans="2:10" ht="12.75" x14ac:dyDescent="0.2">
      <c r="B773" s="64"/>
      <c r="F773" s="65"/>
      <c r="G773" s="66"/>
      <c r="H773" s="67"/>
      <c r="I773" s="68"/>
      <c r="J773" s="68"/>
    </row>
    <row r="774" spans="2:10" ht="12.75" x14ac:dyDescent="0.2">
      <c r="B774" s="64"/>
      <c r="F774" s="65"/>
      <c r="G774" s="66"/>
      <c r="H774" s="67"/>
      <c r="I774" s="68"/>
      <c r="J774" s="68"/>
    </row>
    <row r="775" spans="2:10" ht="12.75" x14ac:dyDescent="0.2">
      <c r="B775" s="64"/>
      <c r="F775" s="65"/>
      <c r="G775" s="66"/>
      <c r="H775" s="67"/>
      <c r="I775" s="68"/>
      <c r="J775" s="68"/>
    </row>
    <row r="776" spans="2:10" ht="12.75" x14ac:dyDescent="0.2">
      <c r="B776" s="64"/>
      <c r="F776" s="65"/>
      <c r="G776" s="66"/>
      <c r="H776" s="67"/>
      <c r="I776" s="68"/>
      <c r="J776" s="68"/>
    </row>
    <row r="777" spans="2:10" ht="12.75" x14ac:dyDescent="0.2">
      <c r="B777" s="64"/>
      <c r="F777" s="65"/>
      <c r="G777" s="66"/>
      <c r="H777" s="67"/>
      <c r="I777" s="68"/>
      <c r="J777" s="68"/>
    </row>
    <row r="778" spans="2:10" ht="12.75" x14ac:dyDescent="0.2">
      <c r="B778" s="64"/>
      <c r="F778" s="65"/>
      <c r="G778" s="66"/>
      <c r="H778" s="67"/>
      <c r="I778" s="68"/>
      <c r="J778" s="68"/>
    </row>
    <row r="779" spans="2:10" ht="12.75" x14ac:dyDescent="0.2">
      <c r="B779" s="64"/>
      <c r="F779" s="65"/>
      <c r="G779" s="66"/>
      <c r="H779" s="67"/>
      <c r="I779" s="68"/>
      <c r="J779" s="68"/>
    </row>
    <row r="780" spans="2:10" ht="12.75" x14ac:dyDescent="0.2">
      <c r="B780" s="64"/>
      <c r="F780" s="65"/>
      <c r="G780" s="66"/>
      <c r="H780" s="67"/>
      <c r="I780" s="68"/>
      <c r="J780" s="68"/>
    </row>
    <row r="781" spans="2:10" ht="12.75" x14ac:dyDescent="0.2">
      <c r="B781" s="64"/>
      <c r="F781" s="65"/>
      <c r="G781" s="66"/>
      <c r="H781" s="67"/>
      <c r="I781" s="68"/>
      <c r="J781" s="68"/>
    </row>
    <row r="782" spans="2:10" ht="12.75" x14ac:dyDescent="0.2">
      <c r="B782" s="64"/>
      <c r="F782" s="65"/>
      <c r="G782" s="66"/>
      <c r="H782" s="67"/>
      <c r="I782" s="68"/>
      <c r="J782" s="68"/>
    </row>
    <row r="783" spans="2:10" ht="12.75" x14ac:dyDescent="0.2">
      <c r="B783" s="64"/>
      <c r="F783" s="65"/>
      <c r="G783" s="66"/>
      <c r="H783" s="67"/>
      <c r="I783" s="68"/>
      <c r="J783" s="68"/>
    </row>
    <row r="784" spans="2:10" ht="12.75" x14ac:dyDescent="0.2">
      <c r="B784" s="64"/>
      <c r="F784" s="65"/>
      <c r="G784" s="66"/>
      <c r="H784" s="67"/>
      <c r="I784" s="68"/>
      <c r="J784" s="68"/>
    </row>
    <row r="785" spans="2:10" ht="12.75" x14ac:dyDescent="0.2">
      <c r="B785" s="64"/>
      <c r="F785" s="65"/>
      <c r="G785" s="66"/>
      <c r="H785" s="67"/>
      <c r="I785" s="68"/>
      <c r="J785" s="68"/>
    </row>
    <row r="786" spans="2:10" ht="12.75" x14ac:dyDescent="0.2">
      <c r="B786" s="64"/>
      <c r="F786" s="65"/>
      <c r="G786" s="66"/>
      <c r="H786" s="67"/>
      <c r="I786" s="68"/>
      <c r="J786" s="68"/>
    </row>
    <row r="787" spans="2:10" ht="12.75" x14ac:dyDescent="0.2">
      <c r="B787" s="64"/>
      <c r="F787" s="65"/>
      <c r="G787" s="66"/>
      <c r="H787" s="67"/>
      <c r="I787" s="68"/>
      <c r="J787" s="68"/>
    </row>
    <row r="788" spans="2:10" ht="12.75" x14ac:dyDescent="0.2">
      <c r="B788" s="64"/>
      <c r="F788" s="65"/>
      <c r="G788" s="66"/>
      <c r="H788" s="67"/>
      <c r="I788" s="68"/>
      <c r="J788" s="68"/>
    </row>
    <row r="789" spans="2:10" ht="12.75" x14ac:dyDescent="0.2">
      <c r="B789" s="64"/>
      <c r="F789" s="65"/>
      <c r="G789" s="66"/>
      <c r="H789" s="67"/>
      <c r="I789" s="68"/>
      <c r="J789" s="68"/>
    </row>
    <row r="790" spans="2:10" ht="12.75" x14ac:dyDescent="0.2">
      <c r="B790" s="64"/>
      <c r="F790" s="65"/>
      <c r="G790" s="66"/>
      <c r="H790" s="67"/>
      <c r="I790" s="68"/>
      <c r="J790" s="68"/>
    </row>
    <row r="791" spans="2:10" ht="12.75" x14ac:dyDescent="0.2">
      <c r="B791" s="64"/>
      <c r="F791" s="65"/>
      <c r="G791" s="66"/>
      <c r="H791" s="67"/>
      <c r="I791" s="68"/>
      <c r="J791" s="68"/>
    </row>
    <row r="792" spans="2:10" ht="12.75" x14ac:dyDescent="0.2">
      <c r="B792" s="64"/>
      <c r="F792" s="65"/>
      <c r="G792" s="66"/>
      <c r="H792" s="67"/>
      <c r="I792" s="68"/>
      <c r="J792" s="68"/>
    </row>
    <row r="793" spans="2:10" ht="12.75" x14ac:dyDescent="0.2">
      <c r="B793" s="64"/>
      <c r="F793" s="65"/>
      <c r="G793" s="66"/>
      <c r="H793" s="67"/>
      <c r="I793" s="68"/>
      <c r="J793" s="68"/>
    </row>
    <row r="794" spans="2:10" ht="12.75" x14ac:dyDescent="0.2">
      <c r="B794" s="64"/>
      <c r="F794" s="65"/>
      <c r="G794" s="66"/>
      <c r="H794" s="67"/>
      <c r="I794" s="68"/>
      <c r="J794" s="68"/>
    </row>
    <row r="795" spans="2:10" ht="12.75" x14ac:dyDescent="0.2">
      <c r="B795" s="64"/>
      <c r="F795" s="65"/>
      <c r="G795" s="66"/>
      <c r="H795" s="67"/>
      <c r="I795" s="68"/>
      <c r="J795" s="68"/>
    </row>
    <row r="796" spans="2:10" ht="12.75" x14ac:dyDescent="0.2">
      <c r="B796" s="64"/>
      <c r="F796" s="65"/>
      <c r="G796" s="66"/>
      <c r="H796" s="67"/>
      <c r="I796" s="68"/>
      <c r="J796" s="68"/>
    </row>
    <row r="797" spans="2:10" ht="12.75" x14ac:dyDescent="0.2">
      <c r="B797" s="64"/>
      <c r="F797" s="65"/>
      <c r="G797" s="66"/>
      <c r="H797" s="67"/>
      <c r="I797" s="68"/>
      <c r="J797" s="68"/>
    </row>
    <row r="798" spans="2:10" ht="12.75" x14ac:dyDescent="0.2">
      <c r="B798" s="64"/>
      <c r="F798" s="65"/>
      <c r="G798" s="66"/>
      <c r="H798" s="67"/>
      <c r="I798" s="68"/>
      <c r="J798" s="68"/>
    </row>
    <row r="799" spans="2:10" ht="12.75" x14ac:dyDescent="0.2">
      <c r="B799" s="64"/>
      <c r="F799" s="65"/>
      <c r="G799" s="66"/>
      <c r="H799" s="67"/>
      <c r="I799" s="68"/>
      <c r="J799" s="68"/>
    </row>
    <row r="800" spans="2:10" ht="12.75" x14ac:dyDescent="0.2">
      <c r="B800" s="64"/>
      <c r="F800" s="65"/>
      <c r="G800" s="66"/>
      <c r="H800" s="67"/>
      <c r="I800" s="68"/>
      <c r="J800" s="68"/>
    </row>
    <row r="801" spans="2:10" ht="12.75" x14ac:dyDescent="0.2">
      <c r="B801" s="64"/>
      <c r="F801" s="65"/>
      <c r="G801" s="66"/>
      <c r="H801" s="67"/>
      <c r="I801" s="68"/>
      <c r="J801" s="68"/>
    </row>
    <row r="802" spans="2:10" ht="12.75" x14ac:dyDescent="0.2">
      <c r="B802" s="64"/>
      <c r="F802" s="65"/>
      <c r="G802" s="66"/>
      <c r="H802" s="67"/>
      <c r="I802" s="68"/>
      <c r="J802" s="68"/>
    </row>
    <row r="803" spans="2:10" ht="12.75" x14ac:dyDescent="0.2">
      <c r="B803" s="64"/>
      <c r="F803" s="65"/>
      <c r="G803" s="66"/>
      <c r="H803" s="67"/>
      <c r="I803" s="68"/>
      <c r="J803" s="68"/>
    </row>
    <row r="804" spans="2:10" ht="12.75" x14ac:dyDescent="0.2">
      <c r="B804" s="64"/>
      <c r="F804" s="65"/>
      <c r="G804" s="66"/>
      <c r="H804" s="67"/>
      <c r="I804" s="68"/>
      <c r="J804" s="68"/>
    </row>
    <row r="805" spans="2:10" ht="12.75" x14ac:dyDescent="0.2">
      <c r="B805" s="64"/>
      <c r="F805" s="65"/>
      <c r="G805" s="66"/>
      <c r="H805" s="67"/>
      <c r="I805" s="68"/>
      <c r="J805" s="68"/>
    </row>
    <row r="806" spans="2:10" ht="12.75" x14ac:dyDescent="0.2">
      <c r="B806" s="64"/>
      <c r="F806" s="65"/>
      <c r="G806" s="66"/>
      <c r="H806" s="67"/>
      <c r="I806" s="68"/>
      <c r="J806" s="68"/>
    </row>
    <row r="807" spans="2:10" ht="12.75" x14ac:dyDescent="0.2">
      <c r="B807" s="64"/>
      <c r="F807" s="65"/>
      <c r="G807" s="66"/>
      <c r="H807" s="67"/>
      <c r="I807" s="68"/>
      <c r="J807" s="68"/>
    </row>
    <row r="808" spans="2:10" ht="12.75" x14ac:dyDescent="0.2">
      <c r="B808" s="64"/>
      <c r="F808" s="65"/>
      <c r="G808" s="66"/>
      <c r="H808" s="67"/>
      <c r="I808" s="68"/>
      <c r="J808" s="68"/>
    </row>
    <row r="809" spans="2:10" ht="12.75" x14ac:dyDescent="0.2">
      <c r="B809" s="64"/>
      <c r="F809" s="65"/>
      <c r="G809" s="66"/>
      <c r="H809" s="67"/>
      <c r="I809" s="68"/>
      <c r="J809" s="68"/>
    </row>
    <row r="810" spans="2:10" ht="12.75" x14ac:dyDescent="0.2">
      <c r="B810" s="64"/>
      <c r="F810" s="65"/>
      <c r="G810" s="66"/>
      <c r="H810" s="67"/>
      <c r="I810" s="68"/>
      <c r="J810" s="68"/>
    </row>
    <row r="811" spans="2:10" ht="12.75" x14ac:dyDescent="0.2">
      <c r="B811" s="64"/>
      <c r="F811" s="65"/>
      <c r="G811" s="66"/>
      <c r="H811" s="67"/>
      <c r="I811" s="68"/>
      <c r="J811" s="68"/>
    </row>
    <row r="812" spans="2:10" ht="12.75" x14ac:dyDescent="0.2">
      <c r="B812" s="64"/>
      <c r="F812" s="65"/>
      <c r="G812" s="66"/>
      <c r="H812" s="67"/>
      <c r="I812" s="68"/>
      <c r="J812" s="68"/>
    </row>
    <row r="813" spans="2:10" ht="12.75" x14ac:dyDescent="0.2">
      <c r="B813" s="64"/>
      <c r="F813" s="65"/>
      <c r="G813" s="66"/>
      <c r="H813" s="67"/>
      <c r="I813" s="68"/>
      <c r="J813" s="68"/>
    </row>
    <row r="814" spans="2:10" ht="12.75" x14ac:dyDescent="0.2">
      <c r="B814" s="64"/>
      <c r="F814" s="65"/>
      <c r="G814" s="66"/>
      <c r="H814" s="67"/>
      <c r="I814" s="68"/>
      <c r="J814" s="68"/>
    </row>
    <row r="815" spans="2:10" ht="12.75" x14ac:dyDescent="0.2">
      <c r="B815" s="64"/>
      <c r="F815" s="65"/>
      <c r="G815" s="66"/>
      <c r="H815" s="67"/>
      <c r="I815" s="68"/>
      <c r="J815" s="68"/>
    </row>
    <row r="816" spans="2:10" ht="12.75" x14ac:dyDescent="0.2">
      <c r="B816" s="64"/>
      <c r="F816" s="65"/>
      <c r="G816" s="66"/>
      <c r="H816" s="67"/>
      <c r="I816" s="68"/>
      <c r="J816" s="68"/>
    </row>
    <row r="817" spans="2:10" ht="12.75" x14ac:dyDescent="0.2">
      <c r="B817" s="64"/>
      <c r="F817" s="65"/>
      <c r="G817" s="66"/>
      <c r="H817" s="67"/>
      <c r="I817" s="68"/>
      <c r="J817" s="68"/>
    </row>
    <row r="818" spans="2:10" ht="12.75" x14ac:dyDescent="0.2">
      <c r="B818" s="64"/>
      <c r="F818" s="65"/>
      <c r="G818" s="66"/>
      <c r="H818" s="67"/>
      <c r="I818" s="68"/>
      <c r="J818" s="68"/>
    </row>
    <row r="819" spans="2:10" ht="12.75" x14ac:dyDescent="0.2">
      <c r="B819" s="64"/>
      <c r="F819" s="65"/>
      <c r="G819" s="66"/>
      <c r="H819" s="67"/>
      <c r="I819" s="68"/>
      <c r="J819" s="68"/>
    </row>
    <row r="820" spans="2:10" ht="12.75" x14ac:dyDescent="0.2">
      <c r="B820" s="64"/>
      <c r="F820" s="65"/>
      <c r="G820" s="66"/>
      <c r="H820" s="67"/>
      <c r="I820" s="68"/>
      <c r="J820" s="68"/>
    </row>
    <row r="821" spans="2:10" ht="12.75" x14ac:dyDescent="0.2">
      <c r="B821" s="64"/>
      <c r="F821" s="65"/>
      <c r="G821" s="66"/>
      <c r="H821" s="67"/>
      <c r="I821" s="68"/>
      <c r="J821" s="68"/>
    </row>
    <row r="822" spans="2:10" ht="12.75" x14ac:dyDescent="0.2">
      <c r="B822" s="64"/>
      <c r="F822" s="65"/>
      <c r="G822" s="66"/>
      <c r="H822" s="67"/>
      <c r="I822" s="68"/>
      <c r="J822" s="68"/>
    </row>
    <row r="823" spans="2:10" ht="12.75" x14ac:dyDescent="0.2">
      <c r="B823" s="64"/>
      <c r="F823" s="65"/>
      <c r="G823" s="66"/>
      <c r="H823" s="67"/>
      <c r="I823" s="68"/>
      <c r="J823" s="68"/>
    </row>
    <row r="824" spans="2:10" ht="12.75" x14ac:dyDescent="0.2">
      <c r="B824" s="64"/>
      <c r="F824" s="65"/>
      <c r="G824" s="66"/>
      <c r="H824" s="67"/>
      <c r="I824" s="68"/>
      <c r="J824" s="68"/>
    </row>
    <row r="825" spans="2:10" ht="12.75" x14ac:dyDescent="0.2">
      <c r="B825" s="64"/>
      <c r="F825" s="65"/>
      <c r="G825" s="66"/>
      <c r="H825" s="67"/>
      <c r="I825" s="68"/>
      <c r="J825" s="68"/>
    </row>
    <row r="826" spans="2:10" ht="12.75" x14ac:dyDescent="0.2">
      <c r="B826" s="64"/>
      <c r="F826" s="65"/>
      <c r="G826" s="66"/>
      <c r="H826" s="67"/>
      <c r="I826" s="68"/>
      <c r="J826" s="68"/>
    </row>
    <row r="827" spans="2:10" ht="12.75" x14ac:dyDescent="0.2">
      <c r="B827" s="64"/>
      <c r="F827" s="65"/>
      <c r="G827" s="66"/>
      <c r="H827" s="67"/>
      <c r="I827" s="68"/>
      <c r="J827" s="68"/>
    </row>
    <row r="828" spans="2:10" ht="12.75" x14ac:dyDescent="0.2">
      <c r="B828" s="64"/>
      <c r="F828" s="65"/>
      <c r="G828" s="66"/>
      <c r="H828" s="67"/>
      <c r="I828" s="68"/>
      <c r="J828" s="68"/>
    </row>
    <row r="829" spans="2:10" ht="12.75" x14ac:dyDescent="0.2">
      <c r="B829" s="64"/>
      <c r="F829" s="65"/>
      <c r="G829" s="66"/>
      <c r="H829" s="67"/>
      <c r="I829" s="68"/>
      <c r="J829" s="68"/>
    </row>
    <row r="830" spans="2:10" ht="12.75" x14ac:dyDescent="0.2">
      <c r="B830" s="64"/>
      <c r="F830" s="65"/>
      <c r="G830" s="66"/>
      <c r="H830" s="67"/>
      <c r="I830" s="68"/>
      <c r="J830" s="68"/>
    </row>
    <row r="831" spans="2:10" ht="12.75" x14ac:dyDescent="0.2">
      <c r="B831" s="64"/>
      <c r="F831" s="65"/>
      <c r="G831" s="66"/>
      <c r="H831" s="67"/>
      <c r="I831" s="68"/>
      <c r="J831" s="68"/>
    </row>
    <row r="832" spans="2:10" ht="12.75" x14ac:dyDescent="0.2">
      <c r="B832" s="64"/>
      <c r="F832" s="65"/>
      <c r="G832" s="66"/>
      <c r="H832" s="67"/>
      <c r="I832" s="68"/>
      <c r="J832" s="68"/>
    </row>
    <row r="833" spans="2:10" ht="12.75" x14ac:dyDescent="0.2">
      <c r="B833" s="64"/>
      <c r="F833" s="65"/>
      <c r="G833" s="66"/>
      <c r="H833" s="67"/>
      <c r="I833" s="68"/>
      <c r="J833" s="68"/>
    </row>
    <row r="834" spans="2:10" ht="12.75" x14ac:dyDescent="0.2">
      <c r="B834" s="64"/>
      <c r="F834" s="65"/>
      <c r="G834" s="66"/>
      <c r="H834" s="67"/>
      <c r="I834" s="68"/>
      <c r="J834" s="68"/>
    </row>
    <row r="835" spans="2:10" ht="12.75" x14ac:dyDescent="0.2">
      <c r="B835" s="64"/>
      <c r="F835" s="65"/>
      <c r="G835" s="66"/>
      <c r="H835" s="67"/>
      <c r="I835" s="68"/>
      <c r="J835" s="68"/>
    </row>
    <row r="836" spans="2:10" ht="12.75" x14ac:dyDescent="0.2">
      <c r="B836" s="64"/>
      <c r="F836" s="65"/>
      <c r="G836" s="66"/>
      <c r="H836" s="67"/>
      <c r="I836" s="68"/>
      <c r="J836" s="68"/>
    </row>
    <row r="837" spans="2:10" ht="12.75" x14ac:dyDescent="0.2">
      <c r="B837" s="64"/>
      <c r="F837" s="65"/>
      <c r="G837" s="66"/>
      <c r="H837" s="67"/>
      <c r="I837" s="68"/>
      <c r="J837" s="68"/>
    </row>
    <row r="838" spans="2:10" ht="12.75" x14ac:dyDescent="0.2">
      <c r="B838" s="64"/>
      <c r="F838" s="65"/>
      <c r="G838" s="66"/>
      <c r="H838" s="67"/>
      <c r="I838" s="68"/>
      <c r="J838" s="68"/>
    </row>
    <row r="839" spans="2:10" ht="12.75" x14ac:dyDescent="0.2">
      <c r="B839" s="64"/>
      <c r="F839" s="65"/>
      <c r="G839" s="66"/>
      <c r="H839" s="67"/>
      <c r="I839" s="68"/>
      <c r="J839" s="68"/>
    </row>
    <row r="840" spans="2:10" ht="12.75" x14ac:dyDescent="0.2">
      <c r="B840" s="64"/>
      <c r="F840" s="65"/>
      <c r="G840" s="66"/>
      <c r="H840" s="67"/>
      <c r="I840" s="68"/>
      <c r="J840" s="68"/>
    </row>
    <row r="841" spans="2:10" ht="12.75" x14ac:dyDescent="0.2">
      <c r="B841" s="64"/>
      <c r="F841" s="65"/>
      <c r="G841" s="66"/>
      <c r="H841" s="67"/>
      <c r="I841" s="68"/>
      <c r="J841" s="68"/>
    </row>
    <row r="842" spans="2:10" ht="12.75" x14ac:dyDescent="0.2">
      <c r="B842" s="64"/>
      <c r="F842" s="65"/>
      <c r="G842" s="66"/>
      <c r="H842" s="67"/>
      <c r="I842" s="68"/>
      <c r="J842" s="68"/>
    </row>
    <row r="843" spans="2:10" ht="12.75" x14ac:dyDescent="0.2">
      <c r="B843" s="64"/>
      <c r="F843" s="65"/>
      <c r="G843" s="66"/>
      <c r="H843" s="67"/>
      <c r="I843" s="68"/>
      <c r="J843" s="68"/>
    </row>
    <row r="844" spans="2:10" ht="12.75" x14ac:dyDescent="0.2">
      <c r="B844" s="64"/>
      <c r="F844" s="65"/>
      <c r="G844" s="66"/>
      <c r="H844" s="67"/>
      <c r="I844" s="68"/>
      <c r="J844" s="68"/>
    </row>
    <row r="845" spans="2:10" ht="12.75" x14ac:dyDescent="0.2">
      <c r="B845" s="64"/>
      <c r="F845" s="65"/>
      <c r="G845" s="66"/>
      <c r="H845" s="67"/>
      <c r="I845" s="68"/>
      <c r="J845" s="68"/>
    </row>
    <row r="846" spans="2:10" ht="12.75" x14ac:dyDescent="0.2">
      <c r="B846" s="64"/>
      <c r="F846" s="65"/>
      <c r="G846" s="66"/>
      <c r="H846" s="67"/>
      <c r="I846" s="68"/>
      <c r="J846" s="68"/>
    </row>
    <row r="847" spans="2:10" ht="12.75" x14ac:dyDescent="0.2">
      <c r="B847" s="64"/>
      <c r="F847" s="65"/>
      <c r="G847" s="66"/>
      <c r="H847" s="67"/>
      <c r="I847" s="68"/>
      <c r="J847" s="68"/>
    </row>
    <row r="848" spans="2:10" ht="12.75" x14ac:dyDescent="0.2">
      <c r="B848" s="64"/>
      <c r="F848" s="65"/>
      <c r="G848" s="66"/>
      <c r="H848" s="67"/>
      <c r="I848" s="68"/>
      <c r="J848" s="68"/>
    </row>
    <row r="849" spans="2:10" ht="12.75" x14ac:dyDescent="0.2">
      <c r="B849" s="64"/>
      <c r="F849" s="65"/>
      <c r="G849" s="66"/>
      <c r="H849" s="67"/>
      <c r="I849" s="68"/>
      <c r="J849" s="68"/>
    </row>
    <row r="850" spans="2:10" ht="12.75" x14ac:dyDescent="0.2">
      <c r="B850" s="64"/>
      <c r="F850" s="65"/>
      <c r="G850" s="66"/>
      <c r="H850" s="67"/>
      <c r="I850" s="68"/>
      <c r="J850" s="68"/>
    </row>
    <row r="851" spans="2:10" ht="12.75" x14ac:dyDescent="0.2">
      <c r="B851" s="64"/>
      <c r="F851" s="65"/>
      <c r="G851" s="66"/>
      <c r="H851" s="67"/>
      <c r="I851" s="68"/>
      <c r="J851" s="68"/>
    </row>
    <row r="852" spans="2:10" ht="12.75" x14ac:dyDescent="0.2">
      <c r="B852" s="64"/>
      <c r="F852" s="65"/>
      <c r="G852" s="66"/>
      <c r="H852" s="67"/>
      <c r="I852" s="68"/>
      <c r="J852" s="68"/>
    </row>
    <row r="853" spans="2:10" ht="12.75" x14ac:dyDescent="0.2">
      <c r="B853" s="64"/>
      <c r="F853" s="65"/>
      <c r="G853" s="66"/>
      <c r="H853" s="67"/>
      <c r="I853" s="68"/>
      <c r="J853" s="68"/>
    </row>
    <row r="854" spans="2:10" ht="12.75" x14ac:dyDescent="0.2">
      <c r="B854" s="64"/>
      <c r="F854" s="65"/>
      <c r="G854" s="66"/>
      <c r="H854" s="67"/>
      <c r="I854" s="68"/>
      <c r="J854" s="68"/>
    </row>
    <row r="855" spans="2:10" ht="12.75" x14ac:dyDescent="0.2">
      <c r="B855" s="64"/>
      <c r="F855" s="65"/>
      <c r="G855" s="66"/>
      <c r="H855" s="67"/>
      <c r="I855" s="68"/>
      <c r="J855" s="68"/>
    </row>
    <row r="856" spans="2:10" ht="12.75" x14ac:dyDescent="0.2">
      <c r="B856" s="64"/>
      <c r="F856" s="65"/>
      <c r="G856" s="66"/>
      <c r="H856" s="67"/>
      <c r="I856" s="68"/>
      <c r="J856" s="68"/>
    </row>
    <row r="857" spans="2:10" ht="12.75" x14ac:dyDescent="0.2">
      <c r="B857" s="64"/>
      <c r="F857" s="65"/>
      <c r="G857" s="66"/>
      <c r="H857" s="67"/>
      <c r="I857" s="68"/>
      <c r="J857" s="68"/>
    </row>
    <row r="858" spans="2:10" ht="12.75" x14ac:dyDescent="0.2">
      <c r="B858" s="64"/>
      <c r="F858" s="65"/>
      <c r="G858" s="66"/>
      <c r="H858" s="67"/>
      <c r="I858" s="68"/>
      <c r="J858" s="68"/>
    </row>
    <row r="859" spans="2:10" ht="12.75" x14ac:dyDescent="0.2">
      <c r="B859" s="64"/>
      <c r="F859" s="65"/>
      <c r="G859" s="66"/>
      <c r="H859" s="67"/>
      <c r="I859" s="68"/>
      <c r="J859" s="68"/>
    </row>
    <row r="860" spans="2:10" ht="12.75" x14ac:dyDescent="0.2">
      <c r="B860" s="64"/>
      <c r="F860" s="65"/>
      <c r="G860" s="66"/>
      <c r="H860" s="67"/>
      <c r="I860" s="68"/>
      <c r="J860" s="68"/>
    </row>
    <row r="861" spans="2:10" ht="12.75" x14ac:dyDescent="0.2">
      <c r="B861" s="64"/>
      <c r="F861" s="65"/>
      <c r="G861" s="66"/>
      <c r="H861" s="67"/>
      <c r="I861" s="68"/>
      <c r="J861" s="68"/>
    </row>
    <row r="862" spans="2:10" ht="12.75" x14ac:dyDescent="0.2">
      <c r="B862" s="64"/>
      <c r="F862" s="65"/>
      <c r="G862" s="66"/>
      <c r="H862" s="67"/>
      <c r="I862" s="68"/>
      <c r="J862" s="68"/>
    </row>
    <row r="863" spans="2:10" ht="12.75" x14ac:dyDescent="0.2">
      <c r="B863" s="64"/>
      <c r="F863" s="65"/>
      <c r="G863" s="66"/>
      <c r="H863" s="67"/>
      <c r="I863" s="68"/>
      <c r="J863" s="68"/>
    </row>
    <row r="864" spans="2:10" ht="12.75" x14ac:dyDescent="0.2">
      <c r="B864" s="64"/>
      <c r="F864" s="65"/>
      <c r="G864" s="66"/>
      <c r="H864" s="67"/>
      <c r="I864" s="68"/>
      <c r="J864" s="68"/>
    </row>
    <row r="865" spans="2:10" ht="12.75" x14ac:dyDescent="0.2">
      <c r="B865" s="64"/>
      <c r="F865" s="65"/>
      <c r="G865" s="66"/>
      <c r="H865" s="67"/>
      <c r="I865" s="68"/>
      <c r="J865" s="68"/>
    </row>
    <row r="866" spans="2:10" ht="12.75" x14ac:dyDescent="0.2">
      <c r="B866" s="64"/>
      <c r="F866" s="65"/>
      <c r="G866" s="66"/>
      <c r="H866" s="67"/>
      <c r="I866" s="68"/>
      <c r="J866" s="68"/>
    </row>
    <row r="867" spans="2:10" ht="12.75" x14ac:dyDescent="0.2">
      <c r="B867" s="64"/>
      <c r="F867" s="65"/>
      <c r="G867" s="66"/>
      <c r="H867" s="67"/>
      <c r="I867" s="68"/>
      <c r="J867" s="68"/>
    </row>
    <row r="868" spans="2:10" ht="12.75" x14ac:dyDescent="0.2">
      <c r="B868" s="64"/>
      <c r="F868" s="65"/>
      <c r="G868" s="66"/>
      <c r="H868" s="67"/>
      <c r="I868" s="68"/>
      <c r="J868" s="68"/>
    </row>
    <row r="869" spans="2:10" ht="12.75" x14ac:dyDescent="0.2">
      <c r="B869" s="64"/>
      <c r="F869" s="65"/>
      <c r="G869" s="66"/>
      <c r="H869" s="67"/>
      <c r="I869" s="68"/>
      <c r="J869" s="68"/>
    </row>
    <row r="870" spans="2:10" ht="12.75" x14ac:dyDescent="0.2">
      <c r="B870" s="64"/>
      <c r="F870" s="65"/>
      <c r="G870" s="66"/>
      <c r="H870" s="67"/>
      <c r="I870" s="68"/>
      <c r="J870" s="68"/>
    </row>
    <row r="871" spans="2:10" ht="12.75" x14ac:dyDescent="0.2">
      <c r="B871" s="64"/>
      <c r="F871" s="65"/>
      <c r="G871" s="66"/>
      <c r="H871" s="67"/>
      <c r="I871" s="68"/>
      <c r="J871" s="68"/>
    </row>
    <row r="872" spans="2:10" ht="12.75" x14ac:dyDescent="0.2">
      <c r="B872" s="64"/>
      <c r="F872" s="65"/>
      <c r="G872" s="66"/>
      <c r="H872" s="67"/>
      <c r="I872" s="68"/>
      <c r="J872" s="68"/>
    </row>
    <row r="873" spans="2:10" ht="12.75" x14ac:dyDescent="0.2">
      <c r="B873" s="64"/>
      <c r="F873" s="65"/>
      <c r="G873" s="66"/>
      <c r="H873" s="67"/>
      <c r="I873" s="68"/>
      <c r="J873" s="68"/>
    </row>
    <row r="874" spans="2:10" ht="12.75" x14ac:dyDescent="0.2">
      <c r="B874" s="64"/>
      <c r="F874" s="65"/>
      <c r="G874" s="66"/>
      <c r="H874" s="67"/>
      <c r="I874" s="68"/>
      <c r="J874" s="68"/>
    </row>
    <row r="875" spans="2:10" ht="12.75" x14ac:dyDescent="0.2">
      <c r="B875" s="64"/>
      <c r="F875" s="65"/>
      <c r="G875" s="66"/>
      <c r="H875" s="67"/>
      <c r="I875" s="68"/>
      <c r="J875" s="68"/>
    </row>
    <row r="876" spans="2:10" ht="12.75" x14ac:dyDescent="0.2">
      <c r="B876" s="64"/>
      <c r="F876" s="65"/>
      <c r="G876" s="66"/>
      <c r="H876" s="67"/>
      <c r="I876" s="68"/>
      <c r="J876" s="68"/>
    </row>
    <row r="877" spans="2:10" ht="12.75" x14ac:dyDescent="0.2">
      <c r="B877" s="64"/>
      <c r="F877" s="65"/>
      <c r="G877" s="66"/>
      <c r="H877" s="67"/>
      <c r="I877" s="68"/>
      <c r="J877" s="68"/>
    </row>
    <row r="878" spans="2:10" ht="12.75" x14ac:dyDescent="0.2">
      <c r="B878" s="64"/>
      <c r="F878" s="65"/>
      <c r="G878" s="66"/>
      <c r="H878" s="67"/>
      <c r="I878" s="68"/>
      <c r="J878" s="68"/>
    </row>
    <row r="879" spans="2:10" ht="12.75" x14ac:dyDescent="0.2">
      <c r="B879" s="64"/>
      <c r="F879" s="65"/>
      <c r="G879" s="66"/>
      <c r="H879" s="67"/>
      <c r="I879" s="68"/>
      <c r="J879" s="68"/>
    </row>
    <row r="880" spans="2:10" ht="12.75" x14ac:dyDescent="0.2">
      <c r="B880" s="64"/>
      <c r="F880" s="65"/>
      <c r="G880" s="66"/>
      <c r="H880" s="67"/>
      <c r="I880" s="68"/>
      <c r="J880" s="68"/>
    </row>
    <row r="881" spans="2:10" ht="12.75" x14ac:dyDescent="0.2">
      <c r="B881" s="64"/>
      <c r="F881" s="65"/>
      <c r="G881" s="66"/>
      <c r="H881" s="67"/>
      <c r="I881" s="68"/>
      <c r="J881" s="68"/>
    </row>
    <row r="882" spans="2:10" ht="12.75" x14ac:dyDescent="0.2">
      <c r="B882" s="64"/>
      <c r="F882" s="65"/>
      <c r="G882" s="66"/>
      <c r="H882" s="67"/>
      <c r="I882" s="68"/>
      <c r="J882" s="68"/>
    </row>
    <row r="883" spans="2:10" ht="12.75" x14ac:dyDescent="0.2">
      <c r="B883" s="64"/>
      <c r="F883" s="65"/>
      <c r="G883" s="66"/>
      <c r="H883" s="67"/>
      <c r="I883" s="68"/>
      <c r="J883" s="68"/>
    </row>
    <row r="884" spans="2:10" ht="12.75" x14ac:dyDescent="0.2">
      <c r="B884" s="64"/>
      <c r="F884" s="65"/>
      <c r="G884" s="66"/>
      <c r="H884" s="67"/>
      <c r="I884" s="68"/>
      <c r="J884" s="68"/>
    </row>
    <row r="885" spans="2:10" ht="12.75" x14ac:dyDescent="0.2">
      <c r="B885" s="64"/>
      <c r="F885" s="65"/>
      <c r="G885" s="66"/>
      <c r="H885" s="67"/>
      <c r="I885" s="68"/>
      <c r="J885" s="68"/>
    </row>
    <row r="886" spans="2:10" ht="12.75" x14ac:dyDescent="0.2">
      <c r="B886" s="64"/>
      <c r="F886" s="65"/>
      <c r="G886" s="66"/>
      <c r="H886" s="67"/>
      <c r="I886" s="68"/>
      <c r="J886" s="68"/>
    </row>
    <row r="887" spans="2:10" ht="12.75" x14ac:dyDescent="0.2">
      <c r="B887" s="64"/>
      <c r="F887" s="65"/>
      <c r="G887" s="66"/>
      <c r="H887" s="67"/>
      <c r="I887" s="68"/>
      <c r="J887" s="68"/>
    </row>
    <row r="888" spans="2:10" ht="12.75" x14ac:dyDescent="0.2">
      <c r="B888" s="64"/>
      <c r="F888" s="65"/>
      <c r="G888" s="66"/>
      <c r="H888" s="67"/>
      <c r="I888" s="68"/>
      <c r="J888" s="68"/>
    </row>
    <row r="889" spans="2:10" ht="12.75" x14ac:dyDescent="0.2">
      <c r="B889" s="64"/>
      <c r="F889" s="65"/>
      <c r="G889" s="66"/>
      <c r="H889" s="67"/>
      <c r="I889" s="68"/>
      <c r="J889" s="68"/>
    </row>
    <row r="890" spans="2:10" ht="12.75" x14ac:dyDescent="0.2">
      <c r="B890" s="64"/>
      <c r="F890" s="65"/>
      <c r="G890" s="66"/>
      <c r="H890" s="67"/>
      <c r="I890" s="68"/>
      <c r="J890" s="68"/>
    </row>
    <row r="891" spans="2:10" ht="12.75" x14ac:dyDescent="0.2">
      <c r="B891" s="64"/>
      <c r="F891" s="65"/>
      <c r="G891" s="66"/>
      <c r="H891" s="67"/>
      <c r="I891" s="68"/>
      <c r="J891" s="68"/>
    </row>
    <row r="892" spans="2:10" ht="12.75" x14ac:dyDescent="0.2">
      <c r="B892" s="64"/>
      <c r="F892" s="65"/>
      <c r="G892" s="66"/>
      <c r="H892" s="67"/>
      <c r="I892" s="68"/>
      <c r="J892" s="68"/>
    </row>
    <row r="893" spans="2:10" ht="12.75" x14ac:dyDescent="0.2">
      <c r="B893" s="64"/>
      <c r="F893" s="65"/>
      <c r="G893" s="66"/>
      <c r="H893" s="67"/>
      <c r="I893" s="68"/>
      <c r="J893" s="68"/>
    </row>
    <row r="894" spans="2:10" ht="12.75" x14ac:dyDescent="0.2">
      <c r="B894" s="64"/>
      <c r="F894" s="65"/>
      <c r="G894" s="66"/>
      <c r="H894" s="67"/>
      <c r="I894" s="68"/>
      <c r="J894" s="68"/>
    </row>
    <row r="895" spans="2:10" ht="12.75" x14ac:dyDescent="0.2">
      <c r="B895" s="64"/>
      <c r="F895" s="65"/>
      <c r="G895" s="66"/>
      <c r="H895" s="67"/>
      <c r="I895" s="68"/>
      <c r="J895" s="68"/>
    </row>
    <row r="896" spans="2:10" ht="12.75" x14ac:dyDescent="0.2">
      <c r="B896" s="64"/>
      <c r="F896" s="65"/>
      <c r="G896" s="66"/>
      <c r="H896" s="67"/>
      <c r="I896" s="68"/>
      <c r="J896" s="68"/>
    </row>
    <row r="897" spans="2:10" ht="12.75" x14ac:dyDescent="0.2">
      <c r="B897" s="64"/>
      <c r="F897" s="65"/>
      <c r="G897" s="66"/>
      <c r="H897" s="67"/>
      <c r="I897" s="68"/>
      <c r="J897" s="68"/>
    </row>
    <row r="898" spans="2:10" ht="12.75" x14ac:dyDescent="0.2">
      <c r="B898" s="64"/>
      <c r="F898" s="65"/>
      <c r="G898" s="66"/>
      <c r="H898" s="67"/>
      <c r="I898" s="68"/>
      <c r="J898" s="68"/>
    </row>
    <row r="899" spans="2:10" ht="12.75" x14ac:dyDescent="0.2">
      <c r="B899" s="64"/>
      <c r="F899" s="65"/>
      <c r="G899" s="66"/>
      <c r="H899" s="67"/>
      <c r="I899" s="68"/>
      <c r="J899" s="68"/>
    </row>
    <row r="900" spans="2:10" ht="12.75" x14ac:dyDescent="0.2">
      <c r="B900" s="64"/>
      <c r="F900" s="65"/>
      <c r="G900" s="66"/>
      <c r="H900" s="67"/>
      <c r="I900" s="68"/>
      <c r="J900" s="68"/>
    </row>
    <row r="901" spans="2:10" ht="12.75" x14ac:dyDescent="0.2">
      <c r="B901" s="64"/>
      <c r="F901" s="65"/>
      <c r="G901" s="66"/>
      <c r="H901" s="67"/>
      <c r="I901" s="68"/>
      <c r="J901" s="68"/>
    </row>
    <row r="902" spans="2:10" ht="12.75" x14ac:dyDescent="0.2">
      <c r="B902" s="64"/>
      <c r="F902" s="65"/>
      <c r="G902" s="66"/>
      <c r="H902" s="67"/>
      <c r="I902" s="68"/>
      <c r="J902" s="68"/>
    </row>
    <row r="903" spans="2:10" ht="12.75" x14ac:dyDescent="0.2">
      <c r="B903" s="64"/>
      <c r="F903" s="65"/>
      <c r="G903" s="66"/>
      <c r="H903" s="67"/>
      <c r="I903" s="68"/>
      <c r="J903" s="68"/>
    </row>
    <row r="904" spans="2:10" ht="12.75" x14ac:dyDescent="0.2">
      <c r="B904" s="64"/>
      <c r="F904" s="65"/>
      <c r="G904" s="66"/>
      <c r="H904" s="67"/>
      <c r="I904" s="68"/>
      <c r="J904" s="68"/>
    </row>
    <row r="905" spans="2:10" ht="12.75" x14ac:dyDescent="0.2">
      <c r="B905" s="64"/>
      <c r="F905" s="65"/>
      <c r="G905" s="66"/>
      <c r="H905" s="67"/>
      <c r="I905" s="68"/>
      <c r="J905" s="68"/>
    </row>
    <row r="906" spans="2:10" ht="12.75" x14ac:dyDescent="0.2">
      <c r="B906" s="64"/>
      <c r="F906" s="65"/>
      <c r="G906" s="66"/>
      <c r="H906" s="67"/>
      <c r="I906" s="68"/>
      <c r="J906" s="68"/>
    </row>
    <row r="907" spans="2:10" ht="12.75" x14ac:dyDescent="0.2">
      <c r="B907" s="64"/>
      <c r="F907" s="65"/>
      <c r="G907" s="66"/>
      <c r="H907" s="67"/>
      <c r="I907" s="68"/>
      <c r="J907" s="68"/>
    </row>
    <row r="908" spans="2:10" ht="12.75" x14ac:dyDescent="0.2">
      <c r="B908" s="64"/>
      <c r="F908" s="65"/>
      <c r="G908" s="66"/>
      <c r="H908" s="67"/>
      <c r="I908" s="68"/>
      <c r="J908" s="68"/>
    </row>
    <row r="909" spans="2:10" ht="12.75" x14ac:dyDescent="0.2">
      <c r="B909" s="64"/>
      <c r="F909" s="65"/>
      <c r="G909" s="66"/>
      <c r="H909" s="67"/>
      <c r="I909" s="68"/>
      <c r="J909" s="68"/>
    </row>
    <row r="910" spans="2:10" ht="12.75" x14ac:dyDescent="0.2">
      <c r="B910" s="64"/>
      <c r="F910" s="65"/>
      <c r="G910" s="66"/>
      <c r="H910" s="67"/>
      <c r="I910" s="68"/>
      <c r="J910" s="68"/>
    </row>
    <row r="911" spans="2:10" ht="12.75" x14ac:dyDescent="0.2">
      <c r="B911" s="64"/>
      <c r="F911" s="65"/>
      <c r="G911" s="66"/>
      <c r="H911" s="67"/>
      <c r="I911" s="68"/>
      <c r="J911" s="68"/>
    </row>
    <row r="912" spans="2:10" ht="12.75" x14ac:dyDescent="0.2">
      <c r="B912" s="64"/>
      <c r="F912" s="65"/>
      <c r="G912" s="66"/>
      <c r="H912" s="67"/>
      <c r="I912" s="68"/>
      <c r="J912" s="68"/>
    </row>
    <row r="913" spans="2:10" ht="12.75" x14ac:dyDescent="0.2">
      <c r="B913" s="64"/>
      <c r="F913" s="65"/>
      <c r="G913" s="66"/>
      <c r="H913" s="67"/>
      <c r="I913" s="68"/>
      <c r="J913" s="68"/>
    </row>
    <row r="914" spans="2:10" ht="12.75" x14ac:dyDescent="0.2">
      <c r="B914" s="64"/>
      <c r="F914" s="65"/>
      <c r="G914" s="66"/>
      <c r="H914" s="67"/>
      <c r="I914" s="68"/>
      <c r="J914" s="68"/>
    </row>
    <row r="915" spans="2:10" ht="12.75" x14ac:dyDescent="0.2">
      <c r="B915" s="64"/>
      <c r="F915" s="65"/>
      <c r="G915" s="66"/>
      <c r="H915" s="67"/>
      <c r="I915" s="68"/>
      <c r="J915" s="68"/>
    </row>
    <row r="916" spans="2:10" ht="12.75" x14ac:dyDescent="0.2">
      <c r="B916" s="64"/>
      <c r="F916" s="65"/>
      <c r="G916" s="66"/>
      <c r="H916" s="67"/>
      <c r="I916" s="68"/>
      <c r="J916" s="68"/>
    </row>
    <row r="917" spans="2:10" ht="12.75" x14ac:dyDescent="0.2">
      <c r="B917" s="64"/>
      <c r="F917" s="65"/>
      <c r="G917" s="66"/>
      <c r="H917" s="67"/>
      <c r="I917" s="68"/>
      <c r="J917" s="68"/>
    </row>
    <row r="918" spans="2:10" ht="12.75" x14ac:dyDescent="0.2">
      <c r="B918" s="64"/>
      <c r="F918" s="65"/>
      <c r="G918" s="66"/>
      <c r="H918" s="67"/>
      <c r="I918" s="68"/>
      <c r="J918" s="68"/>
    </row>
    <row r="919" spans="2:10" ht="12.75" x14ac:dyDescent="0.2">
      <c r="B919" s="64"/>
      <c r="F919" s="65"/>
      <c r="G919" s="66"/>
      <c r="H919" s="67"/>
      <c r="I919" s="68"/>
      <c r="J919" s="68"/>
    </row>
    <row r="920" spans="2:10" ht="12.75" x14ac:dyDescent="0.2">
      <c r="B920" s="64"/>
      <c r="F920" s="65"/>
      <c r="G920" s="66"/>
      <c r="H920" s="67"/>
      <c r="I920" s="68"/>
      <c r="J920" s="68"/>
    </row>
    <row r="921" spans="2:10" ht="12.75" x14ac:dyDescent="0.2">
      <c r="B921" s="64"/>
      <c r="F921" s="65"/>
      <c r="G921" s="66"/>
      <c r="H921" s="67"/>
      <c r="I921" s="68"/>
      <c r="J921" s="68"/>
    </row>
    <row r="922" spans="2:10" ht="12.75" x14ac:dyDescent="0.2">
      <c r="B922" s="64"/>
      <c r="F922" s="65"/>
      <c r="G922" s="66"/>
      <c r="H922" s="67"/>
      <c r="I922" s="68"/>
      <c r="J922" s="68"/>
    </row>
    <row r="923" spans="2:10" ht="12.75" x14ac:dyDescent="0.2">
      <c r="B923" s="64"/>
      <c r="F923" s="65"/>
      <c r="G923" s="66"/>
      <c r="H923" s="67"/>
      <c r="I923" s="68"/>
      <c r="J923" s="68"/>
    </row>
    <row r="924" spans="2:10" ht="12.75" x14ac:dyDescent="0.2">
      <c r="B924" s="64"/>
      <c r="F924" s="65"/>
      <c r="G924" s="66"/>
      <c r="H924" s="67"/>
      <c r="I924" s="68"/>
      <c r="J924" s="68"/>
    </row>
    <row r="925" spans="2:10" ht="12.75" x14ac:dyDescent="0.2">
      <c r="B925" s="64"/>
      <c r="F925" s="65"/>
      <c r="G925" s="66"/>
      <c r="H925" s="67"/>
      <c r="I925" s="68"/>
      <c r="J925" s="68"/>
    </row>
    <row r="926" spans="2:10" ht="12.75" x14ac:dyDescent="0.2">
      <c r="B926" s="64"/>
      <c r="F926" s="65"/>
      <c r="G926" s="66"/>
      <c r="H926" s="67"/>
      <c r="I926" s="68"/>
      <c r="J926" s="68"/>
    </row>
    <row r="927" spans="2:10" ht="12.75" x14ac:dyDescent="0.2">
      <c r="B927" s="64"/>
      <c r="F927" s="65"/>
      <c r="G927" s="66"/>
      <c r="H927" s="67"/>
      <c r="I927" s="68"/>
      <c r="J927" s="68"/>
    </row>
    <row r="928" spans="2:10" ht="12.75" x14ac:dyDescent="0.2">
      <c r="B928" s="64"/>
      <c r="F928" s="65"/>
      <c r="G928" s="66"/>
      <c r="H928" s="67"/>
      <c r="I928" s="68"/>
      <c r="J928" s="68"/>
    </row>
    <row r="929" spans="2:10" ht="12.75" x14ac:dyDescent="0.2">
      <c r="B929" s="64"/>
      <c r="F929" s="65"/>
      <c r="G929" s="66"/>
      <c r="H929" s="67"/>
      <c r="I929" s="68"/>
      <c r="J929" s="68"/>
    </row>
    <row r="930" spans="2:10" ht="12.75" x14ac:dyDescent="0.2">
      <c r="B930" s="64"/>
      <c r="F930" s="65"/>
      <c r="G930" s="66"/>
      <c r="H930" s="67"/>
      <c r="I930" s="68"/>
      <c r="J930" s="68"/>
    </row>
    <row r="931" spans="2:10" ht="12.75" x14ac:dyDescent="0.2">
      <c r="B931" s="64"/>
      <c r="F931" s="65"/>
      <c r="G931" s="66"/>
      <c r="H931" s="67"/>
      <c r="I931" s="68"/>
      <c r="J931" s="68"/>
    </row>
    <row r="932" spans="2:10" ht="12.75" x14ac:dyDescent="0.2">
      <c r="B932" s="64"/>
      <c r="F932" s="65"/>
      <c r="G932" s="66"/>
      <c r="H932" s="67"/>
      <c r="I932" s="68"/>
      <c r="J932" s="68"/>
    </row>
    <row r="933" spans="2:10" ht="12.75" x14ac:dyDescent="0.2">
      <c r="B933" s="64"/>
      <c r="F933" s="65"/>
      <c r="G933" s="66"/>
      <c r="H933" s="67"/>
      <c r="I933" s="68"/>
      <c r="J933" s="68"/>
    </row>
    <row r="934" spans="2:10" ht="12.75" x14ac:dyDescent="0.2">
      <c r="B934" s="64"/>
      <c r="F934" s="65"/>
      <c r="G934" s="66"/>
      <c r="H934" s="67"/>
      <c r="I934" s="68"/>
      <c r="J934" s="68"/>
    </row>
    <row r="935" spans="2:10" ht="12.75" x14ac:dyDescent="0.2">
      <c r="B935" s="64"/>
      <c r="F935" s="65"/>
      <c r="G935" s="66"/>
      <c r="H935" s="67"/>
      <c r="I935" s="68"/>
      <c r="J935" s="68"/>
    </row>
    <row r="936" spans="2:10" ht="12.75" x14ac:dyDescent="0.2">
      <c r="B936" s="64"/>
      <c r="F936" s="65"/>
      <c r="G936" s="66"/>
      <c r="H936" s="67"/>
      <c r="I936" s="68"/>
      <c r="J936" s="68"/>
    </row>
    <row r="937" spans="2:10" ht="12.75" x14ac:dyDescent="0.2">
      <c r="B937" s="64"/>
      <c r="F937" s="65"/>
      <c r="G937" s="66"/>
      <c r="H937" s="67"/>
      <c r="I937" s="68"/>
      <c r="J937" s="68"/>
    </row>
    <row r="938" spans="2:10" ht="12.75" x14ac:dyDescent="0.2">
      <c r="B938" s="64"/>
      <c r="F938" s="65"/>
      <c r="G938" s="66"/>
      <c r="H938" s="67"/>
      <c r="I938" s="68"/>
      <c r="J938" s="68"/>
    </row>
    <row r="939" spans="2:10" ht="12.75" x14ac:dyDescent="0.2">
      <c r="B939" s="64"/>
      <c r="F939" s="65"/>
      <c r="G939" s="66"/>
      <c r="H939" s="67"/>
      <c r="I939" s="68"/>
      <c r="J939" s="68"/>
    </row>
    <row r="940" spans="2:10" ht="12.75" x14ac:dyDescent="0.2">
      <c r="B940" s="64"/>
      <c r="F940" s="65"/>
      <c r="G940" s="66"/>
      <c r="H940" s="67"/>
      <c r="I940" s="68"/>
      <c r="J940" s="68"/>
    </row>
    <row r="941" spans="2:10" ht="12.75" x14ac:dyDescent="0.2">
      <c r="B941" s="64"/>
      <c r="F941" s="65"/>
      <c r="G941" s="66"/>
      <c r="H941" s="67"/>
      <c r="I941" s="68"/>
      <c r="J941" s="68"/>
    </row>
    <row r="942" spans="2:10" ht="12.75" x14ac:dyDescent="0.2">
      <c r="B942" s="64"/>
      <c r="F942" s="65"/>
      <c r="G942" s="66"/>
      <c r="H942" s="67"/>
      <c r="I942" s="68"/>
      <c r="J942" s="68"/>
    </row>
    <row r="943" spans="2:10" ht="12.75" x14ac:dyDescent="0.2">
      <c r="B943" s="64"/>
      <c r="F943" s="65"/>
      <c r="G943" s="66"/>
      <c r="H943" s="67"/>
      <c r="I943" s="68"/>
      <c r="J943" s="68"/>
    </row>
    <row r="944" spans="2:10" ht="12.75" x14ac:dyDescent="0.2">
      <c r="B944" s="64"/>
      <c r="F944" s="65"/>
      <c r="G944" s="66"/>
      <c r="H944" s="67"/>
      <c r="I944" s="68"/>
      <c r="J944" s="68"/>
    </row>
    <row r="945" spans="2:10" ht="12.75" x14ac:dyDescent="0.2">
      <c r="B945" s="64"/>
      <c r="F945" s="65"/>
      <c r="G945" s="66"/>
      <c r="H945" s="67"/>
      <c r="I945" s="68"/>
      <c r="J945" s="68"/>
    </row>
    <row r="946" spans="2:10" ht="12.75" x14ac:dyDescent="0.2">
      <c r="B946" s="64"/>
      <c r="F946" s="65"/>
      <c r="G946" s="66"/>
      <c r="H946" s="67"/>
      <c r="I946" s="68"/>
      <c r="J946" s="68"/>
    </row>
    <row r="947" spans="2:10" ht="12.75" x14ac:dyDescent="0.2">
      <c r="B947" s="64"/>
      <c r="F947" s="65"/>
      <c r="G947" s="66"/>
      <c r="H947" s="67"/>
      <c r="I947" s="68"/>
      <c r="J947" s="68"/>
    </row>
    <row r="948" spans="2:10" ht="12.75" x14ac:dyDescent="0.2">
      <c r="B948" s="64"/>
      <c r="F948" s="65"/>
      <c r="G948" s="66"/>
      <c r="H948" s="67"/>
      <c r="I948" s="68"/>
      <c r="J948" s="68"/>
    </row>
    <row r="949" spans="2:10" ht="12.75" x14ac:dyDescent="0.2">
      <c r="B949" s="64"/>
      <c r="F949" s="65"/>
      <c r="G949" s="66"/>
      <c r="H949" s="67"/>
      <c r="I949" s="68"/>
      <c r="J949" s="68"/>
    </row>
    <row r="950" spans="2:10" ht="12.75" x14ac:dyDescent="0.2">
      <c r="B950" s="64"/>
      <c r="F950" s="65"/>
      <c r="G950" s="66"/>
      <c r="H950" s="67"/>
      <c r="I950" s="68"/>
      <c r="J950" s="68"/>
    </row>
    <row r="951" spans="2:10" ht="12.75" x14ac:dyDescent="0.2">
      <c r="B951" s="64"/>
      <c r="F951" s="65"/>
      <c r="G951" s="66"/>
      <c r="H951" s="67"/>
      <c r="I951" s="68"/>
      <c r="J951" s="68"/>
    </row>
    <row r="952" spans="2:10" ht="12.75" x14ac:dyDescent="0.2">
      <c r="B952" s="64"/>
      <c r="F952" s="65"/>
      <c r="G952" s="66"/>
      <c r="H952" s="67"/>
      <c r="I952" s="68"/>
      <c r="J952" s="68"/>
    </row>
    <row r="953" spans="2:10" ht="12.75" x14ac:dyDescent="0.2">
      <c r="B953" s="64"/>
      <c r="F953" s="65"/>
      <c r="G953" s="66"/>
      <c r="H953" s="67"/>
      <c r="I953" s="68"/>
      <c r="J953" s="68"/>
    </row>
    <row r="954" spans="2:10" ht="12.75" x14ac:dyDescent="0.2">
      <c r="B954" s="64"/>
      <c r="F954" s="65"/>
      <c r="G954" s="66"/>
      <c r="H954" s="67"/>
      <c r="I954" s="68"/>
      <c r="J954" s="68"/>
    </row>
    <row r="955" spans="2:10" ht="12.75" x14ac:dyDescent="0.2">
      <c r="B955" s="64"/>
      <c r="F955" s="65"/>
      <c r="G955" s="66"/>
      <c r="H955" s="67"/>
      <c r="I955" s="68"/>
      <c r="J955" s="68"/>
    </row>
    <row r="956" spans="2:10" ht="12.75" x14ac:dyDescent="0.2">
      <c r="B956" s="64"/>
      <c r="F956" s="65"/>
      <c r="G956" s="66"/>
      <c r="H956" s="67"/>
      <c r="I956" s="68"/>
      <c r="J956" s="68"/>
    </row>
    <row r="957" spans="2:10" ht="12.75" x14ac:dyDescent="0.2">
      <c r="B957" s="64"/>
      <c r="F957" s="65"/>
      <c r="G957" s="66"/>
      <c r="H957" s="67"/>
      <c r="I957" s="68"/>
      <c r="J957" s="68"/>
    </row>
    <row r="958" spans="2:10" ht="12.75" x14ac:dyDescent="0.2">
      <c r="B958" s="64"/>
      <c r="F958" s="65"/>
      <c r="G958" s="66"/>
      <c r="H958" s="67"/>
      <c r="I958" s="68"/>
      <c r="J958" s="68"/>
    </row>
    <row r="959" spans="2:10" ht="12.75" x14ac:dyDescent="0.2">
      <c r="B959" s="64"/>
      <c r="F959" s="65"/>
      <c r="G959" s="66"/>
      <c r="H959" s="67"/>
      <c r="I959" s="68"/>
      <c r="J959" s="68"/>
    </row>
    <row r="960" spans="2:10" ht="12.75" x14ac:dyDescent="0.2">
      <c r="B960" s="64"/>
      <c r="F960" s="65"/>
      <c r="G960" s="66"/>
      <c r="H960" s="67"/>
      <c r="I960" s="68"/>
      <c r="J960" s="68"/>
    </row>
    <row r="961" spans="2:10" ht="12.75" x14ac:dyDescent="0.2">
      <c r="B961" s="64"/>
      <c r="F961" s="65"/>
      <c r="G961" s="66"/>
      <c r="H961" s="67"/>
      <c r="I961" s="68"/>
      <c r="J961" s="68"/>
    </row>
    <row r="962" spans="2:10" ht="12.75" x14ac:dyDescent="0.2">
      <c r="B962" s="64"/>
      <c r="F962" s="65"/>
      <c r="G962" s="66"/>
      <c r="H962" s="67"/>
      <c r="I962" s="68"/>
      <c r="J962" s="68"/>
    </row>
    <row r="963" spans="2:10" ht="12.75" x14ac:dyDescent="0.2">
      <c r="B963" s="64"/>
      <c r="F963" s="65"/>
      <c r="G963" s="66"/>
      <c r="H963" s="67"/>
      <c r="I963" s="68"/>
      <c r="J963" s="68"/>
    </row>
    <row r="964" spans="2:10" ht="12.75" x14ac:dyDescent="0.2">
      <c r="B964" s="64"/>
      <c r="F964" s="65"/>
      <c r="G964" s="66"/>
      <c r="H964" s="67"/>
      <c r="I964" s="68"/>
      <c r="J964" s="68"/>
    </row>
    <row r="965" spans="2:10" ht="12.75" x14ac:dyDescent="0.2">
      <c r="B965" s="64"/>
      <c r="F965" s="65"/>
      <c r="G965" s="66"/>
      <c r="H965" s="67"/>
      <c r="I965" s="68"/>
      <c r="J965" s="68"/>
    </row>
    <row r="966" spans="2:10" ht="12.75" x14ac:dyDescent="0.2">
      <c r="B966" s="64"/>
      <c r="F966" s="65"/>
      <c r="G966" s="66"/>
      <c r="H966" s="67"/>
      <c r="I966" s="68"/>
      <c r="J966" s="68"/>
    </row>
    <row r="967" spans="2:10" ht="12.75" x14ac:dyDescent="0.2">
      <c r="B967" s="64"/>
      <c r="F967" s="65"/>
      <c r="G967" s="66"/>
      <c r="H967" s="67"/>
      <c r="I967" s="68"/>
      <c r="J967" s="68"/>
    </row>
    <row r="968" spans="2:10" ht="12.75" x14ac:dyDescent="0.2">
      <c r="B968" s="64"/>
      <c r="F968" s="65"/>
      <c r="G968" s="66"/>
      <c r="H968" s="67"/>
      <c r="I968" s="68"/>
      <c r="J968" s="68"/>
    </row>
    <row r="969" spans="2:10" ht="12.75" x14ac:dyDescent="0.2">
      <c r="B969" s="64"/>
      <c r="F969" s="65"/>
      <c r="G969" s="66"/>
      <c r="H969" s="67"/>
      <c r="I969" s="68"/>
      <c r="J969" s="68"/>
    </row>
    <row r="970" spans="2:10" ht="12.75" x14ac:dyDescent="0.2">
      <c r="B970" s="64"/>
      <c r="F970" s="65"/>
      <c r="G970" s="66"/>
      <c r="H970" s="67"/>
      <c r="I970" s="68"/>
      <c r="J970" s="68"/>
    </row>
    <row r="971" spans="2:10" ht="12.75" x14ac:dyDescent="0.2">
      <c r="B971" s="64"/>
      <c r="F971" s="65"/>
      <c r="G971" s="66"/>
      <c r="H971" s="67"/>
      <c r="I971" s="68"/>
      <c r="J971" s="68"/>
    </row>
    <row r="972" spans="2:10" ht="12.75" x14ac:dyDescent="0.2">
      <c r="B972" s="64"/>
      <c r="F972" s="65"/>
      <c r="G972" s="66"/>
      <c r="H972" s="67"/>
      <c r="I972" s="68"/>
      <c r="J972" s="68"/>
    </row>
    <row r="973" spans="2:10" ht="12.75" x14ac:dyDescent="0.2">
      <c r="B973" s="64"/>
      <c r="F973" s="65"/>
      <c r="G973" s="66"/>
      <c r="H973" s="67"/>
      <c r="I973" s="68"/>
      <c r="J973" s="68"/>
    </row>
    <row r="974" spans="2:10" ht="12.75" x14ac:dyDescent="0.2">
      <c r="B974" s="64"/>
      <c r="F974" s="65"/>
      <c r="G974" s="66"/>
      <c r="H974" s="67"/>
      <c r="I974" s="68"/>
      <c r="J974" s="68"/>
    </row>
    <row r="975" spans="2:10" ht="12.75" x14ac:dyDescent="0.2">
      <c r="B975" s="64"/>
      <c r="F975" s="65"/>
      <c r="G975" s="66"/>
      <c r="H975" s="67"/>
      <c r="I975" s="68"/>
      <c r="J975" s="68"/>
    </row>
    <row r="976" spans="2:10" ht="12.75" x14ac:dyDescent="0.2">
      <c r="B976" s="64"/>
      <c r="F976" s="65"/>
      <c r="G976" s="66"/>
      <c r="H976" s="67"/>
      <c r="I976" s="68"/>
      <c r="J976" s="68"/>
    </row>
    <row r="977" spans="2:10" ht="12.75" x14ac:dyDescent="0.2">
      <c r="B977" s="64"/>
      <c r="F977" s="65"/>
      <c r="G977" s="66"/>
      <c r="H977" s="67"/>
      <c r="I977" s="68"/>
      <c r="J977" s="68"/>
    </row>
    <row r="978" spans="2:10" ht="12.75" x14ac:dyDescent="0.2">
      <c r="B978" s="64"/>
      <c r="F978" s="65"/>
      <c r="G978" s="66"/>
      <c r="H978" s="67"/>
      <c r="I978" s="68"/>
      <c r="J978" s="68"/>
    </row>
    <row r="979" spans="2:10" ht="12.75" x14ac:dyDescent="0.2">
      <c r="B979" s="64"/>
      <c r="F979" s="65"/>
      <c r="G979" s="66"/>
      <c r="H979" s="67"/>
      <c r="I979" s="68"/>
      <c r="J979" s="68"/>
    </row>
    <row r="980" spans="2:10" ht="12.75" x14ac:dyDescent="0.2">
      <c r="B980" s="64"/>
      <c r="F980" s="65"/>
      <c r="G980" s="66"/>
      <c r="H980" s="67"/>
      <c r="I980" s="68"/>
      <c r="J980" s="68"/>
    </row>
    <row r="981" spans="2:10" ht="12.75" x14ac:dyDescent="0.2">
      <c r="B981" s="64"/>
      <c r="F981" s="65"/>
      <c r="G981" s="66"/>
      <c r="H981" s="67"/>
      <c r="I981" s="68"/>
      <c r="J981" s="68"/>
    </row>
    <row r="982" spans="2:10" ht="12.75" x14ac:dyDescent="0.2">
      <c r="B982" s="64"/>
      <c r="F982" s="65"/>
      <c r="G982" s="66"/>
      <c r="H982" s="67"/>
      <c r="I982" s="68"/>
      <c r="J982" s="68"/>
    </row>
    <row r="983" spans="2:10" ht="12.75" x14ac:dyDescent="0.2">
      <c r="B983" s="64"/>
      <c r="F983" s="65"/>
      <c r="G983" s="66"/>
      <c r="H983" s="67"/>
      <c r="I983" s="68"/>
      <c r="J983" s="68"/>
    </row>
    <row r="984" spans="2:10" ht="12.75" x14ac:dyDescent="0.2">
      <c r="B984" s="64"/>
      <c r="F984" s="65"/>
      <c r="G984" s="66"/>
      <c r="H984" s="67"/>
      <c r="I984" s="68"/>
      <c r="J984" s="68"/>
    </row>
    <row r="985" spans="2:10" ht="12.75" x14ac:dyDescent="0.2">
      <c r="B985" s="64"/>
      <c r="F985" s="65"/>
      <c r="G985" s="66"/>
      <c r="H985" s="67"/>
      <c r="I985" s="68"/>
      <c r="J985" s="68"/>
    </row>
    <row r="986" spans="2:10" ht="12.75" x14ac:dyDescent="0.2">
      <c r="B986" s="64"/>
      <c r="F986" s="65"/>
      <c r="G986" s="66"/>
      <c r="H986" s="67"/>
      <c r="I986" s="68"/>
      <c r="J986" s="68"/>
    </row>
    <row r="987" spans="2:10" ht="12.75" x14ac:dyDescent="0.2">
      <c r="B987" s="64"/>
      <c r="F987" s="65"/>
      <c r="G987" s="66"/>
      <c r="H987" s="67"/>
      <c r="I987" s="68"/>
      <c r="J987" s="68"/>
    </row>
    <row r="988" spans="2:10" ht="12.75" x14ac:dyDescent="0.2">
      <c r="B988" s="64"/>
      <c r="F988" s="65"/>
      <c r="G988" s="66"/>
      <c r="H988" s="67"/>
      <c r="I988" s="68"/>
      <c r="J988" s="68"/>
    </row>
    <row r="989" spans="2:10" ht="12.75" x14ac:dyDescent="0.2">
      <c r="B989" s="64"/>
      <c r="F989" s="65"/>
      <c r="G989" s="66"/>
      <c r="H989" s="67"/>
      <c r="I989" s="68"/>
      <c r="J989" s="68"/>
    </row>
    <row r="990" spans="2:10" ht="12.75" x14ac:dyDescent="0.2">
      <c r="B990" s="64"/>
      <c r="F990" s="65"/>
      <c r="G990" s="66"/>
      <c r="H990" s="67"/>
      <c r="I990" s="68"/>
      <c r="J990" s="68"/>
    </row>
    <row r="991" spans="2:10" ht="12.75" x14ac:dyDescent="0.2">
      <c r="B991" s="64"/>
      <c r="F991" s="65"/>
      <c r="G991" s="66"/>
      <c r="H991" s="67"/>
      <c r="I991" s="68"/>
      <c r="J991" s="68"/>
    </row>
    <row r="992" spans="2:10" ht="12.75" x14ac:dyDescent="0.2">
      <c r="B992" s="64"/>
      <c r="F992" s="65"/>
      <c r="G992" s="66"/>
      <c r="H992" s="67"/>
      <c r="I992" s="68"/>
      <c r="J992" s="68"/>
    </row>
    <row r="993" spans="2:10" ht="12.75" x14ac:dyDescent="0.2">
      <c r="B993" s="64"/>
      <c r="F993" s="65"/>
      <c r="G993" s="66"/>
      <c r="H993" s="67"/>
      <c r="I993" s="68"/>
      <c r="J993" s="68"/>
    </row>
    <row r="994" spans="2:10" ht="12.75" x14ac:dyDescent="0.2">
      <c r="B994" s="64"/>
      <c r="F994" s="65"/>
      <c r="G994" s="66"/>
      <c r="H994" s="67"/>
      <c r="I994" s="68"/>
      <c r="J994" s="68"/>
    </row>
    <row r="995" spans="2:10" ht="12.75" x14ac:dyDescent="0.2">
      <c r="B995" s="64"/>
      <c r="F995" s="65"/>
      <c r="G995" s="66"/>
      <c r="H995" s="67"/>
      <c r="I995" s="68"/>
      <c r="J995" s="68"/>
    </row>
    <row r="996" spans="2:10" ht="12.75" x14ac:dyDescent="0.2">
      <c r="B996" s="64"/>
      <c r="F996" s="65"/>
      <c r="G996" s="66"/>
      <c r="H996" s="67"/>
      <c r="I996" s="68"/>
      <c r="J996" s="68"/>
    </row>
    <row r="997" spans="2:10" ht="12.75" x14ac:dyDescent="0.2">
      <c r="B997" s="64"/>
      <c r="F997" s="65"/>
      <c r="G997" s="66"/>
      <c r="H997" s="67"/>
      <c r="I997" s="68"/>
      <c r="J997" s="68"/>
    </row>
    <row r="998" spans="2:10" ht="12.75" x14ac:dyDescent="0.2">
      <c r="B998" s="64"/>
      <c r="F998" s="65"/>
      <c r="G998" s="66"/>
      <c r="H998" s="67"/>
      <c r="I998" s="68"/>
      <c r="J998" s="68"/>
    </row>
    <row r="999" spans="2:10" ht="12.75" x14ac:dyDescent="0.2">
      <c r="B999" s="64"/>
      <c r="F999" s="65"/>
      <c r="G999" s="66"/>
      <c r="H999" s="67"/>
      <c r="I999" s="68"/>
      <c r="J999" s="68"/>
    </row>
    <row r="1000" spans="2:10" ht="12.75" x14ac:dyDescent="0.2">
      <c r="B1000" s="64"/>
      <c r="F1000" s="65"/>
      <c r="G1000" s="66"/>
      <c r="H1000" s="67"/>
      <c r="I1000" s="68"/>
      <c r="J1000" s="68"/>
    </row>
    <row r="1001" spans="2:10" ht="12.75" x14ac:dyDescent="0.2">
      <c r="B1001" s="64"/>
      <c r="F1001" s="65"/>
      <c r="G1001" s="66"/>
      <c r="H1001" s="67"/>
      <c r="I1001" s="68"/>
      <c r="J1001" s="68"/>
    </row>
    <row r="1002" spans="2:10" ht="12.75" x14ac:dyDescent="0.2">
      <c r="B1002" s="64"/>
      <c r="F1002" s="65"/>
      <c r="G1002" s="66"/>
      <c r="H1002" s="67"/>
      <c r="I1002" s="68"/>
      <c r="J1002" s="68"/>
    </row>
    <row r="1003" spans="2:10" ht="12.75" x14ac:dyDescent="0.2">
      <c r="B1003" s="64"/>
      <c r="F1003" s="65"/>
      <c r="G1003" s="66"/>
      <c r="H1003" s="67"/>
      <c r="I1003" s="68"/>
      <c r="J1003" s="68"/>
    </row>
    <row r="1004" spans="2:10" ht="12.75" x14ac:dyDescent="0.2">
      <c r="B1004" s="64"/>
      <c r="F1004" s="65"/>
      <c r="G1004" s="66"/>
      <c r="H1004" s="67"/>
      <c r="I1004" s="68"/>
      <c r="J1004" s="68"/>
    </row>
    <row r="1005" spans="2:10" ht="12.75" x14ac:dyDescent="0.2">
      <c r="B1005" s="64"/>
      <c r="F1005" s="65"/>
      <c r="G1005" s="66"/>
      <c r="H1005" s="67"/>
      <c r="I1005" s="68"/>
      <c r="J1005" s="68"/>
    </row>
    <row r="1006" spans="2:10" ht="12.75" x14ac:dyDescent="0.2">
      <c r="B1006" s="64"/>
      <c r="F1006" s="65"/>
      <c r="G1006" s="66"/>
      <c r="H1006" s="67"/>
      <c r="I1006" s="68"/>
      <c r="J1006" s="68"/>
    </row>
    <row r="1007" spans="2:10" ht="12.75" x14ac:dyDescent="0.2">
      <c r="B1007" s="64"/>
      <c r="F1007" s="65"/>
      <c r="G1007" s="66"/>
      <c r="H1007" s="67"/>
      <c r="I1007" s="68"/>
      <c r="J1007" s="68"/>
    </row>
    <row r="1008" spans="2:10" ht="12.75" x14ac:dyDescent="0.2">
      <c r="B1008" s="64"/>
      <c r="F1008" s="65"/>
      <c r="G1008" s="66"/>
      <c r="H1008" s="67"/>
      <c r="I1008" s="68"/>
      <c r="J1008" s="68"/>
    </row>
    <row r="1009" spans="2:10" ht="12.75" x14ac:dyDescent="0.2">
      <c r="B1009" s="64"/>
      <c r="F1009" s="65"/>
      <c r="G1009" s="66"/>
      <c r="H1009" s="67"/>
      <c r="I1009" s="68"/>
      <c r="J1009" s="68"/>
    </row>
    <row r="1010" spans="2:10" ht="12.75" x14ac:dyDescent="0.2">
      <c r="B1010" s="64"/>
      <c r="F1010" s="65"/>
      <c r="G1010" s="66"/>
      <c r="H1010" s="67"/>
      <c r="I1010" s="68"/>
      <c r="J1010" s="68"/>
    </row>
    <row r="1011" spans="2:10" ht="12.75" x14ac:dyDescent="0.2">
      <c r="B1011" s="64"/>
      <c r="F1011" s="65"/>
      <c r="G1011" s="66"/>
      <c r="H1011" s="67"/>
      <c r="I1011" s="68"/>
      <c r="J1011" s="68"/>
    </row>
    <row r="1012" spans="2:10" ht="12.75" x14ac:dyDescent="0.2">
      <c r="B1012" s="64"/>
      <c r="F1012" s="65"/>
      <c r="G1012" s="66"/>
      <c r="H1012" s="67"/>
      <c r="I1012" s="68"/>
      <c r="J1012" s="68"/>
    </row>
    <row r="1013" spans="2:10" ht="12.75" x14ac:dyDescent="0.2">
      <c r="B1013" s="64"/>
      <c r="F1013" s="65"/>
      <c r="G1013" s="66"/>
      <c r="H1013" s="67"/>
      <c r="I1013" s="68"/>
      <c r="J1013" s="68"/>
    </row>
    <row r="1014" spans="2:10" ht="12.75" x14ac:dyDescent="0.2">
      <c r="B1014" s="64"/>
      <c r="F1014" s="65"/>
      <c r="G1014" s="66"/>
      <c r="H1014" s="67"/>
      <c r="I1014" s="68"/>
      <c r="J1014" s="68"/>
    </row>
    <row r="1015" spans="2:10" ht="12.75" x14ac:dyDescent="0.2">
      <c r="B1015" s="64"/>
      <c r="F1015" s="65"/>
      <c r="G1015" s="66"/>
      <c r="H1015" s="67"/>
      <c r="I1015" s="68"/>
      <c r="J1015" s="68"/>
    </row>
    <row r="1016" spans="2:10" ht="12.75" x14ac:dyDescent="0.2">
      <c r="B1016" s="64"/>
      <c r="F1016" s="65"/>
      <c r="G1016" s="66"/>
      <c r="H1016" s="67"/>
      <c r="I1016" s="68"/>
      <c r="J1016" s="68"/>
    </row>
    <row r="1017" spans="2:10" ht="12.75" x14ac:dyDescent="0.2">
      <c r="B1017" s="64"/>
      <c r="F1017" s="65"/>
      <c r="G1017" s="66"/>
      <c r="H1017" s="67"/>
      <c r="I1017" s="68"/>
      <c r="J1017" s="68"/>
    </row>
    <row r="1018" spans="2:10" ht="12.75" x14ac:dyDescent="0.2">
      <c r="B1018" s="64"/>
      <c r="F1018" s="65"/>
      <c r="G1018" s="66"/>
      <c r="H1018" s="67"/>
      <c r="I1018" s="68"/>
      <c r="J1018" s="68"/>
    </row>
    <row r="1019" spans="2:10" ht="12.75" x14ac:dyDescent="0.2">
      <c r="B1019" s="64"/>
      <c r="F1019" s="65"/>
      <c r="G1019" s="66"/>
      <c r="H1019" s="67"/>
      <c r="I1019" s="68"/>
      <c r="J1019" s="68"/>
    </row>
    <row r="1020" spans="2:10" ht="12.75" x14ac:dyDescent="0.2">
      <c r="B1020" s="64"/>
      <c r="F1020" s="65"/>
      <c r="G1020" s="66"/>
      <c r="H1020" s="67"/>
      <c r="I1020" s="68"/>
      <c r="J1020" s="68"/>
    </row>
    <row r="1021" spans="2:10" ht="12.75" x14ac:dyDescent="0.2">
      <c r="B1021" s="64"/>
      <c r="F1021" s="65"/>
      <c r="G1021" s="66"/>
      <c r="H1021" s="67"/>
      <c r="I1021" s="68"/>
      <c r="J1021" s="68"/>
    </row>
    <row r="1022" spans="2:10" ht="12.75" x14ac:dyDescent="0.2">
      <c r="B1022" s="64"/>
      <c r="F1022" s="65"/>
      <c r="G1022" s="66"/>
      <c r="H1022" s="67"/>
      <c r="I1022" s="68"/>
      <c r="J1022" s="68"/>
    </row>
    <row r="1023" spans="2:10" ht="12.75" x14ac:dyDescent="0.2">
      <c r="B1023" s="64"/>
      <c r="F1023" s="65"/>
      <c r="G1023" s="66"/>
      <c r="H1023" s="67"/>
      <c r="I1023" s="68"/>
      <c r="J1023" s="68"/>
    </row>
    <row r="1024" spans="2:10" ht="12.75" x14ac:dyDescent="0.2">
      <c r="B1024" s="64"/>
      <c r="F1024" s="65"/>
      <c r="G1024" s="66"/>
      <c r="H1024" s="67"/>
      <c r="I1024" s="68"/>
      <c r="J1024" s="68"/>
    </row>
    <row r="1025" spans="2:10" ht="12.75" x14ac:dyDescent="0.2">
      <c r="B1025" s="64"/>
      <c r="F1025" s="65"/>
      <c r="G1025" s="66"/>
      <c r="H1025" s="67"/>
      <c r="I1025" s="68"/>
      <c r="J1025" s="68"/>
    </row>
    <row r="1026" spans="2:10" ht="12.75" x14ac:dyDescent="0.2">
      <c r="B1026" s="64"/>
      <c r="F1026" s="65"/>
      <c r="G1026" s="66"/>
      <c r="H1026" s="67"/>
      <c r="I1026" s="68"/>
      <c r="J1026" s="68"/>
    </row>
    <row r="1027" spans="2:10" ht="12.75" x14ac:dyDescent="0.2">
      <c r="B1027" s="64"/>
      <c r="F1027" s="65"/>
      <c r="G1027" s="66"/>
      <c r="H1027" s="67"/>
      <c r="I1027" s="68"/>
      <c r="J1027" s="68"/>
    </row>
    <row r="1028" spans="2:10" ht="12.75" x14ac:dyDescent="0.2">
      <c r="B1028" s="64"/>
      <c r="F1028" s="65"/>
      <c r="G1028" s="66"/>
      <c r="H1028" s="67"/>
      <c r="I1028" s="68"/>
      <c r="J1028" s="68"/>
    </row>
    <row r="1029" spans="2:10" ht="12.75" x14ac:dyDescent="0.2">
      <c r="B1029" s="64"/>
      <c r="F1029" s="65"/>
      <c r="G1029" s="66"/>
      <c r="H1029" s="67"/>
      <c r="I1029" s="68"/>
      <c r="J1029" s="68"/>
    </row>
    <row r="1030" spans="2:10" ht="12.75" x14ac:dyDescent="0.2">
      <c r="B1030" s="64"/>
      <c r="F1030" s="65"/>
      <c r="G1030" s="66"/>
      <c r="H1030" s="67"/>
      <c r="I1030" s="68"/>
      <c r="J1030" s="68"/>
    </row>
    <row r="1031" spans="2:10" ht="12.75" x14ac:dyDescent="0.2">
      <c r="B1031" s="64"/>
      <c r="F1031" s="65"/>
      <c r="G1031" s="66"/>
      <c r="H1031" s="67"/>
      <c r="I1031" s="68"/>
      <c r="J1031" s="68"/>
    </row>
    <row r="1032" spans="2:10" ht="12.75" x14ac:dyDescent="0.2">
      <c r="B1032" s="64"/>
      <c r="F1032" s="65"/>
      <c r="G1032" s="66"/>
      <c r="H1032" s="67"/>
      <c r="I1032" s="68"/>
      <c r="J1032" s="68"/>
    </row>
    <row r="1033" spans="2:10" ht="12.75" x14ac:dyDescent="0.2">
      <c r="B1033" s="64"/>
      <c r="F1033" s="65"/>
      <c r="G1033" s="66"/>
      <c r="H1033" s="67"/>
      <c r="I1033" s="68"/>
      <c r="J1033" s="68"/>
    </row>
    <row r="1034" spans="2:10" ht="12.75" x14ac:dyDescent="0.2">
      <c r="B1034" s="64"/>
      <c r="F1034" s="65"/>
      <c r="G1034" s="66"/>
      <c r="H1034" s="67"/>
      <c r="I1034" s="68"/>
      <c r="J1034" s="68"/>
    </row>
    <row r="1035" spans="2:10" ht="12.75" x14ac:dyDescent="0.2">
      <c r="B1035" s="64"/>
      <c r="F1035" s="65"/>
      <c r="G1035" s="66"/>
      <c r="H1035" s="67"/>
      <c r="I1035" s="68"/>
      <c r="J1035" s="68"/>
    </row>
    <row r="1036" spans="2:10" ht="12.75" x14ac:dyDescent="0.2">
      <c r="B1036" s="64"/>
      <c r="F1036" s="65"/>
      <c r="G1036" s="66"/>
      <c r="H1036" s="67"/>
      <c r="I1036" s="68"/>
      <c r="J1036" s="68"/>
    </row>
    <row r="1037" spans="2:10" ht="12.75" x14ac:dyDescent="0.2">
      <c r="B1037" s="64"/>
      <c r="F1037" s="65"/>
      <c r="G1037" s="66"/>
      <c r="H1037" s="67"/>
      <c r="I1037" s="68"/>
      <c r="J1037" s="68"/>
    </row>
    <row r="1038" spans="2:10" ht="12.75" x14ac:dyDescent="0.2">
      <c r="B1038" s="64"/>
      <c r="F1038" s="65"/>
      <c r="G1038" s="66"/>
      <c r="H1038" s="67"/>
      <c r="I1038" s="68"/>
      <c r="J1038" s="68"/>
    </row>
    <row r="1039" spans="2:10" ht="12.75" x14ac:dyDescent="0.2">
      <c r="B1039" s="64"/>
      <c r="F1039" s="65"/>
      <c r="G1039" s="66"/>
      <c r="H1039" s="67"/>
      <c r="I1039" s="68"/>
      <c r="J1039" s="68"/>
    </row>
    <row r="1040" spans="2:10" ht="12.75" x14ac:dyDescent="0.2">
      <c r="B1040" s="64"/>
      <c r="F1040" s="65"/>
      <c r="G1040" s="66"/>
      <c r="H1040" s="67"/>
      <c r="I1040" s="68"/>
      <c r="J1040" s="68"/>
    </row>
    <row r="1041" spans="2:10" ht="12.75" x14ac:dyDescent="0.2">
      <c r="B1041" s="64"/>
      <c r="F1041" s="65"/>
      <c r="G1041" s="66"/>
      <c r="H1041" s="67"/>
      <c r="I1041" s="68"/>
      <c r="J1041" s="68"/>
    </row>
    <row r="1042" spans="2:10" ht="12.75" x14ac:dyDescent="0.2">
      <c r="B1042" s="64"/>
      <c r="F1042" s="65"/>
      <c r="G1042" s="66"/>
      <c r="H1042" s="67"/>
      <c r="I1042" s="68"/>
      <c r="J1042" s="68"/>
    </row>
    <row r="1043" spans="2:10" ht="12.75" x14ac:dyDescent="0.2">
      <c r="B1043" s="64"/>
      <c r="F1043" s="65"/>
      <c r="G1043" s="66"/>
      <c r="H1043" s="67"/>
      <c r="I1043" s="68"/>
      <c r="J1043" s="68"/>
    </row>
    <row r="1044" spans="2:10" ht="12.75" x14ac:dyDescent="0.2">
      <c r="B1044" s="64"/>
      <c r="F1044" s="65"/>
      <c r="G1044" s="66"/>
      <c r="H1044" s="67"/>
      <c r="I1044" s="68"/>
      <c r="J1044" s="68"/>
    </row>
    <row r="1045" spans="2:10" ht="12.75" x14ac:dyDescent="0.2">
      <c r="B1045" s="64"/>
      <c r="F1045" s="65"/>
      <c r="G1045" s="66"/>
      <c r="H1045" s="67"/>
      <c r="I1045" s="68"/>
      <c r="J1045" s="68"/>
    </row>
    <row r="1046" spans="2:10" ht="12.75" x14ac:dyDescent="0.2">
      <c r="B1046" s="64"/>
      <c r="F1046" s="65"/>
      <c r="G1046" s="66"/>
      <c r="H1046" s="67"/>
      <c r="I1046" s="68"/>
      <c r="J1046" s="68"/>
    </row>
    <row r="1047" spans="2:10" ht="12.75" x14ac:dyDescent="0.2">
      <c r="B1047" s="64"/>
      <c r="F1047" s="65"/>
      <c r="G1047" s="66"/>
      <c r="H1047" s="67"/>
      <c r="I1047" s="68"/>
      <c r="J1047" s="68"/>
    </row>
    <row r="1048" spans="2:10" ht="12.75" x14ac:dyDescent="0.2">
      <c r="B1048" s="64"/>
      <c r="F1048" s="65"/>
      <c r="G1048" s="66"/>
      <c r="H1048" s="67"/>
      <c r="I1048" s="68"/>
      <c r="J1048" s="68"/>
    </row>
    <row r="1049" spans="2:10" ht="12.75" x14ac:dyDescent="0.2">
      <c r="B1049" s="64"/>
      <c r="F1049" s="65"/>
      <c r="G1049" s="66"/>
      <c r="H1049" s="67"/>
      <c r="I1049" s="68"/>
      <c r="J1049" s="68"/>
    </row>
    <row r="1050" spans="2:10" ht="12.75" x14ac:dyDescent="0.2">
      <c r="B1050" s="64"/>
      <c r="F1050" s="65"/>
      <c r="G1050" s="66"/>
      <c r="H1050" s="67"/>
      <c r="I1050" s="68"/>
      <c r="J1050" s="68"/>
    </row>
    <row r="1051" spans="2:10" ht="12.75" x14ac:dyDescent="0.2">
      <c r="B1051" s="64"/>
      <c r="F1051" s="65"/>
      <c r="G1051" s="66"/>
      <c r="H1051" s="67"/>
      <c r="I1051" s="68"/>
      <c r="J1051" s="68"/>
    </row>
    <row r="1052" spans="2:10" ht="12.75" x14ac:dyDescent="0.2">
      <c r="B1052" s="64"/>
      <c r="F1052" s="65"/>
      <c r="G1052" s="66"/>
      <c r="H1052" s="67"/>
      <c r="I1052" s="68"/>
      <c r="J1052" s="68"/>
    </row>
    <row r="1053" spans="2:10" ht="12.75" x14ac:dyDescent="0.2">
      <c r="B1053" s="64"/>
      <c r="F1053" s="65"/>
      <c r="G1053" s="66"/>
      <c r="H1053" s="67"/>
      <c r="I1053" s="68"/>
      <c r="J1053" s="68"/>
    </row>
    <row r="1054" spans="2:10" ht="12.75" x14ac:dyDescent="0.2">
      <c r="B1054" s="64"/>
      <c r="F1054" s="65"/>
      <c r="G1054" s="66"/>
      <c r="H1054" s="67"/>
      <c r="I1054" s="68"/>
      <c r="J1054" s="68"/>
    </row>
    <row r="1055" spans="2:10" ht="12.75" x14ac:dyDescent="0.2">
      <c r="B1055" s="64"/>
      <c r="F1055" s="65"/>
      <c r="G1055" s="66"/>
      <c r="H1055" s="67"/>
      <c r="I1055" s="68"/>
      <c r="J1055" s="68"/>
    </row>
    <row r="1056" spans="2:10" ht="12.75" x14ac:dyDescent="0.2">
      <c r="B1056" s="64"/>
      <c r="F1056" s="65"/>
      <c r="G1056" s="66"/>
      <c r="H1056" s="67"/>
      <c r="I1056" s="68"/>
      <c r="J1056" s="68"/>
    </row>
    <row r="1057" spans="2:10" ht="12.75" x14ac:dyDescent="0.2">
      <c r="B1057" s="64"/>
      <c r="F1057" s="65"/>
      <c r="G1057" s="66"/>
      <c r="H1057" s="67"/>
      <c r="I1057" s="68"/>
      <c r="J1057" s="68"/>
    </row>
    <row r="1058" spans="2:10" ht="12.75" x14ac:dyDescent="0.2">
      <c r="B1058" s="64"/>
      <c r="F1058" s="65"/>
      <c r="G1058" s="66"/>
      <c r="H1058" s="67"/>
      <c r="I1058" s="68"/>
      <c r="J1058" s="68"/>
    </row>
    <row r="1059" spans="2:10" ht="12.75" x14ac:dyDescent="0.2">
      <c r="B1059" s="64"/>
      <c r="F1059" s="65"/>
      <c r="G1059" s="66"/>
      <c r="H1059" s="67"/>
      <c r="I1059" s="68"/>
      <c r="J1059" s="68"/>
    </row>
    <row r="1060" spans="2:10" ht="12.75" x14ac:dyDescent="0.2">
      <c r="B1060" s="64"/>
      <c r="F1060" s="65"/>
      <c r="G1060" s="66"/>
      <c r="H1060" s="67"/>
      <c r="I1060" s="68"/>
      <c r="J1060" s="68"/>
    </row>
    <row r="1061" spans="2:10" ht="12.75" x14ac:dyDescent="0.2">
      <c r="B1061" s="64"/>
      <c r="F1061" s="65"/>
      <c r="G1061" s="66"/>
      <c r="H1061" s="67"/>
      <c r="I1061" s="68"/>
      <c r="J1061" s="68"/>
    </row>
    <row r="1062" spans="2:10" ht="12.75" x14ac:dyDescent="0.2">
      <c r="B1062" s="64"/>
      <c r="F1062" s="65"/>
      <c r="G1062" s="66"/>
      <c r="H1062" s="67"/>
      <c r="I1062" s="68"/>
      <c r="J1062" s="68"/>
    </row>
    <row r="1063" spans="2:10" ht="12.75" x14ac:dyDescent="0.2">
      <c r="B1063" s="64"/>
      <c r="F1063" s="65"/>
      <c r="G1063" s="66"/>
      <c r="H1063" s="67"/>
      <c r="I1063" s="68"/>
      <c r="J1063" s="68"/>
    </row>
    <row r="1064" spans="2:10" ht="12.75" x14ac:dyDescent="0.2">
      <c r="B1064" s="64"/>
      <c r="F1064" s="65"/>
      <c r="G1064" s="66"/>
      <c r="H1064" s="67"/>
      <c r="I1064" s="68"/>
      <c r="J1064" s="68"/>
    </row>
    <row r="1065" spans="2:10" ht="12.75" x14ac:dyDescent="0.2">
      <c r="B1065" s="64"/>
      <c r="F1065" s="65"/>
      <c r="G1065" s="66"/>
      <c r="H1065" s="67"/>
      <c r="I1065" s="68"/>
      <c r="J1065" s="68"/>
    </row>
    <row r="1066" spans="2:10" ht="12.75" x14ac:dyDescent="0.2">
      <c r="B1066" s="64"/>
      <c r="F1066" s="65"/>
      <c r="G1066" s="66"/>
      <c r="H1066" s="67"/>
      <c r="I1066" s="68"/>
      <c r="J1066" s="68"/>
    </row>
    <row r="1067" spans="2:10" ht="12.75" x14ac:dyDescent="0.2">
      <c r="B1067" s="64"/>
      <c r="F1067" s="65"/>
      <c r="G1067" s="66"/>
      <c r="H1067" s="67"/>
      <c r="I1067" s="68"/>
      <c r="J1067" s="68"/>
    </row>
    <row r="1068" spans="2:10" ht="12.75" x14ac:dyDescent="0.2">
      <c r="B1068" s="64"/>
      <c r="F1068" s="65"/>
      <c r="G1068" s="66"/>
      <c r="H1068" s="67"/>
      <c r="I1068" s="68"/>
      <c r="J1068" s="68"/>
    </row>
    <row r="1069" spans="2:10" ht="12.75" x14ac:dyDescent="0.2">
      <c r="B1069" s="64"/>
      <c r="F1069" s="65"/>
      <c r="G1069" s="66"/>
      <c r="H1069" s="67"/>
      <c r="I1069" s="68"/>
      <c r="J1069" s="68"/>
    </row>
    <row r="1070" spans="2:10" ht="12.75" x14ac:dyDescent="0.2">
      <c r="B1070" s="64"/>
      <c r="F1070" s="65"/>
      <c r="G1070" s="66"/>
      <c r="H1070" s="67"/>
      <c r="I1070" s="68"/>
      <c r="J1070" s="68"/>
    </row>
    <row r="1071" spans="2:10" ht="12.75" x14ac:dyDescent="0.2">
      <c r="B1071" s="64"/>
      <c r="F1071" s="65"/>
      <c r="G1071" s="66"/>
      <c r="H1071" s="67"/>
      <c r="I1071" s="68"/>
      <c r="J1071" s="68"/>
    </row>
    <row r="1072" spans="2:10" ht="12.75" x14ac:dyDescent="0.2">
      <c r="B1072" s="64"/>
      <c r="F1072" s="65"/>
      <c r="G1072" s="66"/>
      <c r="H1072" s="67"/>
      <c r="I1072" s="68"/>
      <c r="J1072" s="68"/>
    </row>
    <row r="1073" spans="2:10" ht="12.75" x14ac:dyDescent="0.2">
      <c r="B1073" s="64"/>
      <c r="F1073" s="65"/>
      <c r="G1073" s="66"/>
      <c r="H1073" s="67"/>
      <c r="I1073" s="68"/>
      <c r="J1073" s="68"/>
    </row>
    <row r="1074" spans="2:10" ht="12.75" x14ac:dyDescent="0.2">
      <c r="B1074" s="64"/>
      <c r="F1074" s="65"/>
      <c r="G1074" s="66"/>
      <c r="H1074" s="67"/>
      <c r="I1074" s="68"/>
      <c r="J1074" s="68"/>
    </row>
    <row r="1075" spans="2:10" ht="12.75" x14ac:dyDescent="0.2">
      <c r="B1075" s="64"/>
      <c r="F1075" s="65"/>
      <c r="G1075" s="66"/>
      <c r="H1075" s="67"/>
      <c r="I1075" s="68"/>
      <c r="J1075" s="68"/>
    </row>
    <row r="1076" spans="2:10" ht="12.75" x14ac:dyDescent="0.2">
      <c r="B1076" s="64"/>
      <c r="F1076" s="65"/>
      <c r="G1076" s="66"/>
      <c r="H1076" s="67"/>
      <c r="I1076" s="68"/>
      <c r="J1076" s="68"/>
    </row>
    <row r="1077" spans="2:10" ht="12.75" x14ac:dyDescent="0.2">
      <c r="B1077" s="64"/>
      <c r="F1077" s="65"/>
      <c r="G1077" s="66"/>
      <c r="H1077" s="67"/>
      <c r="I1077" s="68"/>
      <c r="J1077" s="68"/>
    </row>
    <row r="1078" spans="2:10" ht="12.75" x14ac:dyDescent="0.2">
      <c r="B1078" s="64"/>
      <c r="F1078" s="65"/>
      <c r="G1078" s="66"/>
      <c r="H1078" s="67"/>
      <c r="I1078" s="68"/>
      <c r="J1078" s="68"/>
    </row>
    <row r="1079" spans="2:10" ht="12.75" x14ac:dyDescent="0.2">
      <c r="B1079" s="64"/>
      <c r="F1079" s="65"/>
      <c r="G1079" s="66"/>
      <c r="H1079" s="67"/>
      <c r="I1079" s="68"/>
      <c r="J1079" s="68"/>
    </row>
    <row r="1080" spans="2:10" ht="12.75" x14ac:dyDescent="0.2">
      <c r="B1080" s="64"/>
      <c r="F1080" s="65"/>
      <c r="G1080" s="66"/>
      <c r="H1080" s="67"/>
      <c r="I1080" s="68"/>
      <c r="J1080" s="68"/>
    </row>
  </sheetData>
  <autoFilter ref="A1:AG1080">
    <sortState ref="A2:AG1080">
      <sortCondition ref="A1:A1080"/>
    </sortState>
  </autoFilter>
  <hyperlinks>
    <hyperlink ref="M18" r:id="rId1"/>
    <hyperlink ref="M106" location="Keybills Master Sheet!H47" display="Information"/>
    <hyperlink ref="O222" r:id="rId2"/>
    <hyperlink ref="O237" r:id="rId3"/>
    <hyperlink ref="K297" r:id="rId4"/>
    <hyperlink ref="K309" r:id="rId5"/>
    <hyperlink ref="A313" location="Keybills Master Sheet!A127" display="SB 0554"/>
    <hyperlink ref="M321" r:id="rId6"/>
    <hyperlink ref="F174" r:id="rId7"/>
    <hyperlink ref="F178" r:id="rId8"/>
    <hyperlink ref="A184" r:id="rId9"/>
    <hyperlink ref="F184" r:id="rId10"/>
    <hyperlink ref="F186" r:id="rId11"/>
    <hyperlink ref="F188" r:id="rId12"/>
    <hyperlink ref="F335" r:id="rId13"/>
    <hyperlink ref="F350" r:id="rId14"/>
    <hyperlink ref="F351" r:id="rId15"/>
    <hyperlink ref="A155" r:id="rId16"/>
    <hyperlink ref="E155" r:id="rId17"/>
    <hyperlink ref="F348" r:id="rId18"/>
    <hyperlink ref="F354" r:id="rId19"/>
    <hyperlink ref="M28" r:id="rId20"/>
    <hyperlink ref="M30" r:id="rId21"/>
    <hyperlink ref="M32" r:id="rId22"/>
  </hyperlinks>
  <printOptions headings="1"/>
  <pageMargins left="0.7" right="0.7" top="0.75" bottom="0.75" header="0.3" footer="0.3"/>
  <pageSetup orientation="landscape" horizontalDpi="4294967293" verticalDpi="4294967293"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Keybills Master Sheet</vt:lpstr>
      <vt:lpstr>'Keybills Master Sheet'!Print_Area</vt:lpstr>
      <vt:lpstr>'Keybills Master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 Grant S.  DPI</dc:creator>
  <cp:lastModifiedBy>Huber, Grant S.  DPI</cp:lastModifiedBy>
  <cp:lastPrinted>2020-10-06T18:44:00Z</cp:lastPrinted>
  <dcterms:created xsi:type="dcterms:W3CDTF">2020-10-06T15:20:43Z</dcterms:created>
  <dcterms:modified xsi:type="dcterms:W3CDTF">2020-10-06T19:24:54Z</dcterms:modified>
</cp:coreProperties>
</file>