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drawings/drawing9.xml" ContentType="application/vnd.openxmlformats-officedocument.drawing+xml"/>
  <Override PartName="/xl/worksheets/sheet30.xml" ContentType="application/vnd.openxmlformats-officedocument.spreadsheetml.worksheet+xml"/>
  <Override PartName="/xl/drawings/drawing10.xml" ContentType="application/vnd.openxmlformats-officedocument.drawing+xml"/>
  <Override PartName="/xl/worksheets/sheet31.xml" ContentType="application/vnd.openxmlformats-officedocument.spreadsheetml.worksheet+xml"/>
  <Override PartName="/xl/drawings/drawing11.xml" ContentType="application/vnd.openxmlformats-officedocument.drawing+xml"/>
  <Override PartName="/xl/worksheets/sheet3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893" activeTab="0"/>
  </bookViews>
  <sheets>
    <sheet name="Instructions" sheetId="1" r:id="rId1"/>
    <sheet name="Instructions (cont)" sheetId="2" r:id="rId2"/>
    <sheet name="Months" sheetId="3" state="hidden" r:id="rId3"/>
    <sheet name="New School Minimums" sheetId="4" state="hidden" r:id="rId4"/>
    <sheet name="Cover Page" sheetId="5" r:id="rId5"/>
    <sheet name="Required Attachments" sheetId="6" r:id="rId6"/>
    <sheet name="Error Report" sheetId="7" r:id="rId7"/>
    <sheet name="SCH 1 General Info" sheetId="8" r:id="rId8"/>
    <sheet name="SCH 2-1 All &amp; Choice Pupils" sheetId="9" r:id="rId9"/>
    <sheet name="SCH 2-2 SNSP Pupils" sheetId="10" r:id="rId10"/>
    <sheet name="SCH 2-3 Outreach" sheetId="11" r:id="rId11"/>
    <sheet name="SCH 3-1 Expenses" sheetId="12" r:id="rId12"/>
    <sheet name="SCH 3-2 Expenses" sheetId="13" r:id="rId13"/>
    <sheet name="SCH 3-3 Expenses" sheetId="14" r:id="rId14"/>
    <sheet name="SCH 4-1 Revenue" sheetId="15" r:id="rId15"/>
    <sheet name="SCH 4-2 Revenue" sheetId="16" r:id="rId16"/>
    <sheet name="SCH 4-3 Revenue" sheetId="17" r:id="rId17"/>
    <sheet name="SCH 4-4 Revenue" sheetId="18" r:id="rId18"/>
    <sheet name="SCH 5-1 Fixed Assets" sheetId="19" r:id="rId19"/>
    <sheet name="SCH 5-2 Fixed Asset Detail" sheetId="20" r:id="rId20"/>
    <sheet name="SCH 5-3 Leases" sheetId="21" r:id="rId21"/>
    <sheet name="SCH 6 Debt" sheetId="22" r:id="rId22"/>
    <sheet name="SCH 7-1 Net Assets" sheetId="23" r:id="rId23"/>
    <sheet name="SCH 7-2  Net Assets Detail" sheetId="24" r:id="rId24"/>
    <sheet name="SCH 8-1 Jul-Dec Cash Flows" sheetId="25" r:id="rId25"/>
    <sheet name="SCH 8-2 Jan - Jun Cash Flows" sheetId="26" r:id="rId26"/>
    <sheet name="SCH 9 Operating Balances" sheetId="27" r:id="rId27"/>
    <sheet name="SCH 10 Reserves" sheetId="28" r:id="rId28"/>
    <sheet name="SCH 11-1 Budget Questions" sheetId="29" r:id="rId29"/>
    <sheet name="SCH 11-2 Pupil Questions" sheetId="30" r:id="rId30"/>
    <sheet name="SCH 12-1 Low Budget" sheetId="31" r:id="rId31"/>
    <sheet name="SCH 12-2 Low Budget" sheetId="32" r:id="rId32"/>
  </sheets>
  <externalReferences>
    <externalReference r:id="rId35"/>
  </externalReferences>
  <definedNames>
    <definedName name="_xlfn.IFNA" hidden="1">#NAME?</definedName>
    <definedName name="Auditor_fee">'Months'!$B$45</definedName>
    <definedName name="Change_In_Cash">'SCH 8-2 Jan - Jun Cash Flows'!$J$34</definedName>
    <definedName name="Choice_912_Pmt">'Months'!$B$41</definedName>
    <definedName name="Choice_K8_Pmt">'Months'!$B$40</definedName>
    <definedName name="Last_Row" localSheetId="1">IF(Values_Entered,Header_Row+Number_of_Payments,Header_Row)</definedName>
    <definedName name="Last_Row" localSheetId="5">IF(Values_Entered,Header_Row+Number_of_Payments,Header_Row)</definedName>
    <definedName name="Last_Row" localSheetId="7">IF('SCH 1 General Info'!Values_Entered,Header_Row+Number_of_Payments,Header_Row)</definedName>
    <definedName name="Last_Row" localSheetId="27">IF(Values_Entered,Header_Row+Number_of_Payments,Header_Row)</definedName>
    <definedName name="Last_Row" localSheetId="28">IF('SCH 11-1 Budget Questions'!Values_Entered,[1]!Header_Row+Number_of_Payments,[1]!Header_Row)</definedName>
    <definedName name="Last_Row" localSheetId="29">IF(Values_Entered,Header_Row+Number_of_Payments,Header_Row)</definedName>
    <definedName name="Last_Row" localSheetId="30">IF(Values_Entered,Header_Row+Number_of_Payments,Header_Row)</definedName>
    <definedName name="Last_Row" localSheetId="31">IF(Values_Entered,Header_Row+Number_of_Payments,Header_Row)</definedName>
    <definedName name="Last_Row" localSheetId="9">IF(Values_Entered,Header_Row+Number_of_Payments,Header_Row)</definedName>
    <definedName name="Last_Row" localSheetId="12">IF(Values_Entered,Header_Row+Number_of_Payments,Header_Row)</definedName>
    <definedName name="Last_Row" localSheetId="13">IF(Values_Entered,Header_Row+Number_of_Payments,Header_Row)</definedName>
    <definedName name="Last_Row" localSheetId="15">IF(Values_Entered,Header_Row+Number_of_Payments,Header_Row)</definedName>
    <definedName name="Last_Row" localSheetId="16">IF(Values_Entered,Header_Row+Number_of_Payments,Header_Row)</definedName>
    <definedName name="Last_Row" localSheetId="18">IF(Values_Entered,Header_Row+Number_of_Payments,Header_Row)</definedName>
    <definedName name="Last_Row" localSheetId="19">IF(Values_Entered,Header_Row+Number_of_Payments,Header_Row)</definedName>
    <definedName name="Last_Row" localSheetId="20">IF(Values_Entered,Header_Row+Number_of_Payments,Header_Row)</definedName>
    <definedName name="Last_Row" localSheetId="21">IF(Values_Entered,Header_Row+Number_of_Payments,Header_Row)</definedName>
    <definedName name="Last_Row">IF(Values_Entered,Header_Row+Number_of_Payments,Header_Row)</definedName>
    <definedName name="Last_Row_16_3" localSheetId="1">IF(Values_Entered,Header_Row+Number_of_Payments,Header_Row)</definedName>
    <definedName name="Last_Row_16_3" localSheetId="27">IF(Values_Entered,Header_Row+Number_of_Payments,Header_Row)</definedName>
    <definedName name="Last_Row_16_3" localSheetId="29">IF(Values_Entered,Header_Row+Number_of_Payments,Header_Row)</definedName>
    <definedName name="Last_Row_16_3" localSheetId="30">IF(Values_Entered,Header_Row+Number_of_Payments,Header_Row)</definedName>
    <definedName name="Last_Row_16_3" localSheetId="31">IF(Values_Entered,Header_Row+Number_of_Payments,Header_Row)</definedName>
    <definedName name="Last_Row_16_3" localSheetId="9">IF(Values_Entered,Header_Row+Number_of_Payments,Header_Row)</definedName>
    <definedName name="Last_Row_16_3" localSheetId="12">IF(Values_Entered,Header_Row+Number_of_Payments,Header_Row)</definedName>
    <definedName name="Last_Row_16_3" localSheetId="13">IF(Values_Entered,Header_Row+Number_of_Payments,Header_Row)</definedName>
    <definedName name="Last_Row_16_3" localSheetId="15">IF(Values_Entered,Header_Row+Number_of_Payments,Header_Row)</definedName>
    <definedName name="Last_Row_16_3" localSheetId="16">IF(Values_Entered,Header_Row+Number_of_Payments,Header_Row)</definedName>
    <definedName name="Last_Row_16_3" localSheetId="18">IF(Values_Entered,Header_Row+Number_of_Payments,Header_Row)</definedName>
    <definedName name="Last_Row_16_3" localSheetId="20">IF(Values_Entered,Header_Row+Number_of_Payments,Header_Row)</definedName>
    <definedName name="Last_Row_16_3" localSheetId="21">IF(Values_Entered,Header_Row+Number_of_Payments,Header_Row)</definedName>
    <definedName name="Last_Row_16_3">IF(Values_Entered,Header_Row+Number_of_Payments,Header_Row)</definedName>
    <definedName name="_xlnm.Print_Area" localSheetId="4">'Cover Page'!$A$1:$H$44</definedName>
    <definedName name="_xlnm.Print_Area" localSheetId="6">'Error Report'!$A$1:$G$73</definedName>
    <definedName name="_xlnm.Print_Area" localSheetId="3">'New School Minimums'!$A$1:$A$22</definedName>
    <definedName name="_xlnm.Print_Area" localSheetId="5">'Required Attachments'!$A$1:$H$37</definedName>
    <definedName name="_xlnm.Print_Area" localSheetId="7">'SCH 1 General Info'!$A$1:$G$47</definedName>
    <definedName name="_xlnm.Print_Area" localSheetId="27">'SCH 10 Reserves'!$A$1:$D$30</definedName>
    <definedName name="_xlnm.Print_Area" localSheetId="28">'SCH 11-1 Budget Questions'!$A$1:$D$25</definedName>
    <definedName name="_xlnm.Print_Area" localSheetId="29">'SCH 11-2 Pupil Questions'!$A$1:$G$27</definedName>
    <definedName name="_xlnm.Print_Area" localSheetId="30">'SCH 12-1 Low Budget'!$A$1:$J$37</definedName>
    <definedName name="_xlnm.Print_Area" localSheetId="31">'SCH 12-2 Low Budget'!$A$1:$G$31</definedName>
    <definedName name="_xlnm.Print_Area" localSheetId="8">'SCH 2-1 All &amp; Choice Pupils'!$A$1:$H$38</definedName>
    <definedName name="_xlnm.Print_Area" localSheetId="9">'SCH 2-2 SNSP Pupils'!$A$1:$H$32</definedName>
    <definedName name="_xlnm.Print_Area" localSheetId="10">'SCH 2-3 Outreach'!$A$1:$E$28</definedName>
    <definedName name="_xlnm.Print_Area" localSheetId="11">'SCH 3-1 Expenses'!$A$1:$H$48</definedName>
    <definedName name="_xlnm.Print_Area" localSheetId="12">'SCH 3-2 Expenses'!$A$1:$G$46</definedName>
    <definedName name="_xlnm.Print_Area" localSheetId="13">'SCH 3-3 Expenses'!$A$1:$F$45</definedName>
    <definedName name="_xlnm.Print_Area" localSheetId="14">'SCH 4-1 Revenue'!$A$1:$G$45</definedName>
    <definedName name="_xlnm.Print_Area" localSheetId="15">'SCH 4-2 Revenue'!$A$1:$J$49</definedName>
    <definedName name="_xlnm.Print_Area" localSheetId="17">'SCH 4-4 Revenue'!$A$1:$H$34</definedName>
    <definedName name="_xlnm.Print_Area" localSheetId="18">'SCH 5-1 Fixed Assets'!$A$1:$G$42</definedName>
    <definedName name="_xlnm.Print_Area" localSheetId="19">'SCH 5-2 Fixed Asset Detail'!$A$1:$G$22</definedName>
    <definedName name="_xlnm.Print_Area" localSheetId="20">'SCH 5-3 Leases'!$A$1:$G$38</definedName>
    <definedName name="_xlnm.Print_Area" localSheetId="21">'SCH 6 Debt'!$A$1:$H$47</definedName>
    <definedName name="_xlnm.Print_Area" localSheetId="22">'SCH 7-1 Net Assets'!$A$1:$F$43</definedName>
    <definedName name="_xlnm.Print_Area" localSheetId="23">'SCH 7-2  Net Assets Detail'!$A$1:$G$39</definedName>
    <definedName name="_xlnm.Print_Area" localSheetId="24">'SCH 8-1 Jul-Dec Cash Flows'!$A$1:$I$43</definedName>
    <definedName name="_xlnm.Print_Area" localSheetId="25">'SCH 8-2 Jan - Jun Cash Flows'!$A$1:$J$43</definedName>
    <definedName name="_xlnm.Print_Area" localSheetId="26">'SCH 9 Operating Balances'!$A$1:$D$37</definedName>
    <definedName name="Print_Area_Reset" localSheetId="1">OFFSET(Full_Print,0,0,'Instructions (cont)'!Last_Row)</definedName>
    <definedName name="Print_Area_Reset" localSheetId="5">OFFSET(Full_Print,0,0,'Required Attachments'!Last_Row)</definedName>
    <definedName name="Print_Area_Reset" localSheetId="7">OFFSET(Full_Print,0,0,'SCH 1 General Info'!Last_Row)</definedName>
    <definedName name="Print_Area_Reset" localSheetId="27">OFFSET(Full_Print,0,0,'SCH 10 Reserves'!Last_Row)</definedName>
    <definedName name="Print_Area_Reset" localSheetId="28">OFFSET(Full_Print,0,0,'SCH 11-1 Budget Questions'!Last_Row)</definedName>
    <definedName name="Print_Area_Reset" localSheetId="29">OFFSET(Full_Print,0,0,'SCH 11-2 Pupil Questions'!Last_Row)</definedName>
    <definedName name="Print_Area_Reset" localSheetId="30">OFFSET(Full_Print,0,0,'SCH 12-1 Low Budget'!Last_Row)</definedName>
    <definedName name="Print_Area_Reset" localSheetId="31">OFFSET(Full_Print,0,0,'SCH 12-2 Low Budget'!Last_Row)</definedName>
    <definedName name="Print_Area_Reset" localSheetId="9">OFFSET(Full_Print,0,0,'SCH 2-2 SNSP Pupils'!Last_Row)</definedName>
    <definedName name="Print_Area_Reset" localSheetId="12">OFFSET(Full_Print,0,0,'SCH 3-2 Expenses'!Last_Row)</definedName>
    <definedName name="Print_Area_Reset" localSheetId="13">OFFSET(Full_Print,0,0,'SCH 3-3 Expenses'!Last_Row)</definedName>
    <definedName name="Print_Area_Reset" localSheetId="15">OFFSET(Full_Print,0,0,'SCH 4-2 Revenue'!Last_Row)</definedName>
    <definedName name="Print_Area_Reset" localSheetId="16">OFFSET(Full_Print,0,0,'SCH 4-3 Revenue'!Last_Row)</definedName>
    <definedName name="Print_Area_Reset" localSheetId="18">OFFSET(Full_Print,0,0,'SCH 5-1 Fixed Assets'!Last_Row)</definedName>
    <definedName name="Print_Area_Reset" localSheetId="19">OFFSET(Full_Print,0,0,'SCH 5-2 Fixed Asset Detail'!Last_Row)</definedName>
    <definedName name="Print_Area_Reset" localSheetId="20">OFFSET(Full_Print,0,0,'SCH 5-3 Leases'!Last_Row)</definedName>
    <definedName name="Print_Area_Reset" localSheetId="21">OFFSET(Full_Print,0,0,'SCH 6 Debt'!Last_Row)</definedName>
    <definedName name="Print_Area_Reset">OFFSET(Full_Print,0,0,Last_Row)</definedName>
    <definedName name="_xlnm.Print_Titles" localSheetId="6">'Error Report'!$1:$4</definedName>
    <definedName name="_xlnm.Print_Titles" localSheetId="5">'Required Attachments'!$1:$6</definedName>
    <definedName name="_xlnm.Print_Titles" localSheetId="28">'SCH 11-1 Budget Questions'!$1:$4</definedName>
    <definedName name="_xlnm.Print_Titles" localSheetId="10">'SCH 2-3 Outreach'!$1:$6</definedName>
    <definedName name="_xlnm.Print_Titles" localSheetId="11">'SCH 3-1 Expenses'!$1:$3</definedName>
    <definedName name="_xlnm.Print_Titles" localSheetId="12">'SCH 3-2 Expenses'!$1:$3</definedName>
    <definedName name="_xlnm.Print_Titles" localSheetId="13">'SCH 3-3 Expenses'!$1:$3</definedName>
    <definedName name="_xlnm.Print_Titles" localSheetId="18">'SCH 5-1 Fixed Assets'!$1:$3</definedName>
    <definedName name="_xlnm.Print_Titles" localSheetId="20">'SCH 5-3 Leases'!$1:$3</definedName>
    <definedName name="_xlnm.Print_Titles" localSheetId="21">'SCH 6 Debt'!$1:$3</definedName>
    <definedName name="_xlnm.Print_Titles" localSheetId="24">'SCH 8-1 Jul-Dec Cash Flows'!$3:$3</definedName>
    <definedName name="_xlnm.Print_Titles" localSheetId="25">'SCH 8-2 Jan - Jun Cash Flows'!$3:$3</definedName>
    <definedName name="PY_Choice_912_Pmt">'Months'!$C$41</definedName>
    <definedName name="PY_Choice_K8_Pmt">'Months'!$C$40</definedName>
    <definedName name="PY_SNSP_Pmt">'Months'!$C$42</definedName>
    <definedName name="SNSP_Pmt">'Months'!$B$42</definedName>
    <definedName name="Z_B6A00EFF_DEFD_4016_BDF1_DED1CC30490C_.wvu.PrintArea" localSheetId="6" hidden="1">'Error Report'!$A$1:$G$70</definedName>
    <definedName name="Z_B6A00EFF_DEFD_4016_BDF1_DED1CC30490C_.wvu.PrintArea" localSheetId="5" hidden="1">'Required Attachments'!$A$2:$I$4</definedName>
    <definedName name="Z_B6A00EFF_DEFD_4016_BDF1_DED1CC30490C_.wvu.PrintArea" localSheetId="29" hidden="1">'SCH 11-2 Pupil Questions'!$A$2:$G$15</definedName>
    <definedName name="Z_B6A00EFF_DEFD_4016_BDF1_DED1CC30490C_.wvu.PrintArea" localSheetId="30" hidden="1">'SCH 12-1 Low Budget'!$A$2:$G$16</definedName>
    <definedName name="Z_B6A00EFF_DEFD_4016_BDF1_DED1CC30490C_.wvu.PrintArea" localSheetId="31" hidden="1">'SCH 12-2 Low Budget'!$A$2:$G$3</definedName>
    <definedName name="Z_B6A00EFF_DEFD_4016_BDF1_DED1CC30490C_.wvu.PrintArea" localSheetId="8" hidden="1">'SCH 2-1 All &amp; Choice Pupils'!$A$2:$I$40</definedName>
    <definedName name="Z_B6A00EFF_DEFD_4016_BDF1_DED1CC30490C_.wvu.PrintArea" localSheetId="9" hidden="1">'SCH 2-2 SNSP Pupils'!$A$2:$I$30</definedName>
    <definedName name="Z_B6A00EFF_DEFD_4016_BDF1_DED1CC30490C_.wvu.PrintArea" localSheetId="11" hidden="1">'SCH 3-1 Expenses'!$A$1:$G$44</definedName>
    <definedName name="Z_B6A00EFF_DEFD_4016_BDF1_DED1CC30490C_.wvu.PrintArea" localSheetId="12" hidden="1">'SCH 3-2 Expenses'!$A$1:$G$39</definedName>
    <definedName name="Z_B6A00EFF_DEFD_4016_BDF1_DED1CC30490C_.wvu.PrintArea" localSheetId="13" hidden="1">'SCH 3-3 Expenses'!$A$1:$F$37</definedName>
    <definedName name="Z_B6A00EFF_DEFD_4016_BDF1_DED1CC30490C_.wvu.PrintArea" localSheetId="14" hidden="1">'SCH 4-1 Revenue'!$A$1:$F$23</definedName>
    <definedName name="Z_B6A00EFF_DEFD_4016_BDF1_DED1CC30490C_.wvu.PrintArea" localSheetId="15" hidden="1">'SCH 4-2 Revenue'!$A$1:$E$27</definedName>
    <definedName name="Z_B6A00EFF_DEFD_4016_BDF1_DED1CC30490C_.wvu.PrintArea" localSheetId="16" hidden="1">'SCH 4-3 Revenue'!$A$1:$E$21</definedName>
    <definedName name="Z_B6A00EFF_DEFD_4016_BDF1_DED1CC30490C_.wvu.PrintArea" localSheetId="17" hidden="1">'SCH 4-4 Revenue'!$A$1:$F$11</definedName>
    <definedName name="Z_B6A00EFF_DEFD_4016_BDF1_DED1CC30490C_.wvu.PrintArea" localSheetId="18" hidden="1">'SCH 5-1 Fixed Assets'!$A$1:$G$41</definedName>
    <definedName name="Z_B6A00EFF_DEFD_4016_BDF1_DED1CC30490C_.wvu.PrintArea" localSheetId="19" hidden="1">'SCH 5-2 Fixed Asset Detail'!$A$1:$G$7</definedName>
    <definedName name="Z_B6A00EFF_DEFD_4016_BDF1_DED1CC30490C_.wvu.PrintArea" localSheetId="20" hidden="1">'SCH 5-3 Leases'!$A$2:$F$32</definedName>
    <definedName name="Z_B6A00EFF_DEFD_4016_BDF1_DED1CC30490C_.wvu.PrintArea" localSheetId="21" hidden="1">'SCH 6 Debt'!$A$1:$H$47</definedName>
    <definedName name="Z_B6A00EFF_DEFD_4016_BDF1_DED1CC30490C_.wvu.PrintArea" localSheetId="22" hidden="1">'SCH 7-1 Net Assets'!$A$1:$F$36</definedName>
    <definedName name="Z_B6A00EFF_DEFD_4016_BDF1_DED1CC30490C_.wvu.PrintArea" localSheetId="26" hidden="1">'SCH 9 Operating Balances'!$A$2:$D$28</definedName>
    <definedName name="Z_B6A00EFF_DEFD_4016_BDF1_DED1CC30490C_.wvu.PrintTitles" localSheetId="11" hidden="1">'SCH 3-1 Expenses'!$1:$3</definedName>
    <definedName name="Z_B6A00EFF_DEFD_4016_BDF1_DED1CC30490C_.wvu.PrintTitles" localSheetId="12" hidden="1">'SCH 3-2 Expenses'!$1:$3</definedName>
    <definedName name="Z_B6A00EFF_DEFD_4016_BDF1_DED1CC30490C_.wvu.PrintTitles" localSheetId="13" hidden="1">'SCH 3-3 Expenses'!$1:$3</definedName>
    <definedName name="Z_B6A00EFF_DEFD_4016_BDF1_DED1CC30490C_.wvu.PrintTitles" localSheetId="18" hidden="1">'SCH 5-1 Fixed Assets'!$1:$3</definedName>
    <definedName name="Z_B6A00EFF_DEFD_4016_BDF1_DED1CC30490C_.wvu.PrintTitles" localSheetId="20" hidden="1">'SCH 5-3 Leases'!$1:$3</definedName>
    <definedName name="Z_B6A00EFF_DEFD_4016_BDF1_DED1CC30490C_.wvu.PrintTitles" localSheetId="21" hidden="1">'SCH 6 Debt'!$1:$3</definedName>
    <definedName name="Z_B6A00EFF_DEFD_4016_BDF1_DED1CC30490C_.wvu.PrintTitles" localSheetId="24" hidden="1">'SCH 8-1 Jul-Dec Cash Flows'!$3:$3</definedName>
    <definedName name="Z_B6A00EFF_DEFD_4016_BDF1_DED1CC30490C_.wvu.PrintTitles" localSheetId="25" hidden="1">'SCH 8-2 Jan - Jun Cash Flows'!$3:$3</definedName>
    <definedName name="Z_CAD7CBAD_5F25_400D_A60F_BDDD49F94265_.wvu.PrintArea" localSheetId="6" hidden="1">'Error Report'!$A$1:$G$70</definedName>
    <definedName name="Z_CAD7CBAD_5F25_400D_A60F_BDDD49F94265_.wvu.PrintArea" localSheetId="5" hidden="1">'Required Attachments'!$A$2:$I$4</definedName>
    <definedName name="Z_CAD7CBAD_5F25_400D_A60F_BDDD49F94265_.wvu.PrintArea" localSheetId="29" hidden="1">'SCH 11-2 Pupil Questions'!$A$2:$G$15</definedName>
    <definedName name="Z_CAD7CBAD_5F25_400D_A60F_BDDD49F94265_.wvu.PrintArea" localSheetId="30" hidden="1">'SCH 12-1 Low Budget'!$A$2:$G$16</definedName>
    <definedName name="Z_CAD7CBAD_5F25_400D_A60F_BDDD49F94265_.wvu.PrintArea" localSheetId="31" hidden="1">'SCH 12-2 Low Budget'!$A$2:$G$3</definedName>
    <definedName name="Z_CAD7CBAD_5F25_400D_A60F_BDDD49F94265_.wvu.PrintArea" localSheetId="8" hidden="1">'SCH 2-1 All &amp; Choice Pupils'!$A$2:$I$40</definedName>
    <definedName name="Z_CAD7CBAD_5F25_400D_A60F_BDDD49F94265_.wvu.PrintArea" localSheetId="9" hidden="1">'SCH 2-2 SNSP Pupils'!$A$2:$I$30</definedName>
    <definedName name="Z_CAD7CBAD_5F25_400D_A60F_BDDD49F94265_.wvu.PrintArea" localSheetId="11" hidden="1">'SCH 3-1 Expenses'!$A$2:$G$44</definedName>
    <definedName name="Z_CAD7CBAD_5F25_400D_A60F_BDDD49F94265_.wvu.PrintArea" localSheetId="12" hidden="1">'SCH 3-2 Expenses'!$A$2:$G$39</definedName>
    <definedName name="Z_CAD7CBAD_5F25_400D_A60F_BDDD49F94265_.wvu.PrintArea" localSheetId="13" hidden="1">'SCH 3-3 Expenses'!$A$2:$F$37</definedName>
    <definedName name="Z_CAD7CBAD_5F25_400D_A60F_BDDD49F94265_.wvu.PrintArea" localSheetId="14" hidden="1">'SCH 4-1 Revenue'!$A$1:$F$23</definedName>
    <definedName name="Z_CAD7CBAD_5F25_400D_A60F_BDDD49F94265_.wvu.PrintArea" localSheetId="15" hidden="1">'SCH 4-2 Revenue'!$A$1:$E$27</definedName>
    <definedName name="Z_CAD7CBAD_5F25_400D_A60F_BDDD49F94265_.wvu.PrintArea" localSheetId="16" hidden="1">'SCH 4-3 Revenue'!$A$1:$E$21</definedName>
    <definedName name="Z_CAD7CBAD_5F25_400D_A60F_BDDD49F94265_.wvu.PrintArea" localSheetId="17" hidden="1">'SCH 4-4 Revenue'!$A$1:$F$11</definedName>
    <definedName name="Z_CAD7CBAD_5F25_400D_A60F_BDDD49F94265_.wvu.PrintArea" localSheetId="18" hidden="1">'SCH 5-1 Fixed Assets'!$A$2:$G$41</definedName>
    <definedName name="Z_CAD7CBAD_5F25_400D_A60F_BDDD49F94265_.wvu.PrintArea" localSheetId="19" hidden="1">'SCH 5-2 Fixed Asset Detail'!$A$1:$G$7</definedName>
    <definedName name="Z_CAD7CBAD_5F25_400D_A60F_BDDD49F94265_.wvu.PrintArea" localSheetId="20" hidden="1">'SCH 5-3 Leases'!$A$2:$F$32</definedName>
    <definedName name="Z_CAD7CBAD_5F25_400D_A60F_BDDD49F94265_.wvu.PrintArea" localSheetId="21" hidden="1">'SCH 6 Debt'!$A$2:$H$47</definedName>
    <definedName name="Z_CAD7CBAD_5F25_400D_A60F_BDDD49F94265_.wvu.PrintArea" localSheetId="22" hidden="1">'SCH 7-1 Net Assets'!$A$1:$F$36</definedName>
    <definedName name="Z_CAD7CBAD_5F25_400D_A60F_BDDD49F94265_.wvu.PrintArea" localSheetId="26" hidden="1">'SCH 9 Operating Balances'!$A$2:$D$28</definedName>
    <definedName name="Z_CAD7CBAD_5F25_400D_A60F_BDDD49F94265_.wvu.PrintTitles" localSheetId="11" hidden="1">'SCH 3-1 Expenses'!$2:$18</definedName>
    <definedName name="Z_CAD7CBAD_5F25_400D_A60F_BDDD49F94265_.wvu.PrintTitles" localSheetId="12" hidden="1">'SCH 3-2 Expenses'!$2:$6</definedName>
    <definedName name="Z_CAD7CBAD_5F25_400D_A60F_BDDD49F94265_.wvu.PrintTitles" localSheetId="13" hidden="1">'SCH 3-3 Expenses'!$2:$6</definedName>
    <definedName name="Z_CAD7CBAD_5F25_400D_A60F_BDDD49F94265_.wvu.PrintTitles" localSheetId="18" hidden="1">'SCH 5-1 Fixed Assets'!$2:$6</definedName>
    <definedName name="Z_CAD7CBAD_5F25_400D_A60F_BDDD49F94265_.wvu.PrintTitles" localSheetId="20" hidden="1">'SCH 5-3 Leases'!$2:$3</definedName>
    <definedName name="Z_CAD7CBAD_5F25_400D_A60F_BDDD49F94265_.wvu.PrintTitles" localSheetId="21" hidden="1">'SCH 6 Debt'!$2:$14</definedName>
    <definedName name="Z_CAD7CBAD_5F25_400D_A60F_BDDD49F94265_.wvu.PrintTitles" localSheetId="24" hidden="1">'SCH 8-1 Jul-Dec Cash Flows'!$3:$3</definedName>
    <definedName name="Z_CAD7CBAD_5F25_400D_A60F_BDDD49F94265_.wvu.PrintTitles" localSheetId="25" hidden="1">'SCH 8-2 Jan - Jun Cash Flows'!$3:$3</definedName>
  </definedNames>
  <calcPr fullCalcOnLoad="1"/>
</workbook>
</file>

<file path=xl/comments20.xml><?xml version="1.0" encoding="utf-8"?>
<comments xmlns="http://schemas.openxmlformats.org/spreadsheetml/2006/main">
  <authors>
    <author>Andrea Kratz</author>
  </authors>
  <commentList>
    <comment ref="G7" authorId="0">
      <text>
        <r>
          <rPr>
            <b/>
            <sz val="9"/>
            <rFont val="Tahoma"/>
            <family val="2"/>
          </rPr>
          <t xml:space="preserve">Debt Outstanding:
</t>
        </r>
        <r>
          <rPr>
            <sz val="9"/>
            <rFont val="Tahoma"/>
            <family val="2"/>
          </rPr>
          <t xml:space="preserve">
The school should answer yes if the legal entity of the school will have debt outstanding as of the beginning of the budget year that was used to finance the initial purchase of the building or improvements to the building.  If there is debt outstanding, it must be included on Schedule 6.</t>
        </r>
      </text>
    </comment>
  </commentList>
</comments>
</file>

<file path=xl/comments28.xml><?xml version="1.0" encoding="utf-8"?>
<comments xmlns="http://schemas.openxmlformats.org/spreadsheetml/2006/main">
  <authors>
    <author>Andrea Kratz</author>
  </authors>
  <commentList>
    <comment ref="B13" authorId="0">
      <text>
        <r>
          <rPr>
            <b/>
            <sz val="9"/>
            <rFont val="Tahoma"/>
            <family val="2"/>
          </rPr>
          <t>Administrative fundraising expenses include expenses for school personnel, copying, mailing, or capital assets used for other school purposes.</t>
        </r>
        <r>
          <rPr>
            <sz val="9"/>
            <rFont val="Tahoma"/>
            <family val="2"/>
          </rPr>
          <t xml:space="preserve">
</t>
        </r>
      </text>
    </comment>
    <comment ref="B21" authorId="0">
      <text>
        <r>
          <rPr>
            <b/>
            <sz val="9"/>
            <rFont val="Tahoma"/>
            <family val="2"/>
          </rPr>
          <t>Administrative fundraising expenses include expenses for school personnel, copying, mailing, or capital assets used for other school purposes.</t>
        </r>
        <r>
          <rPr>
            <sz val="9"/>
            <rFont val="Tahoma"/>
            <family val="2"/>
          </rPr>
          <t xml:space="preserve">
</t>
        </r>
      </text>
    </comment>
  </commentList>
</comments>
</file>

<file path=xl/comments7.xml><?xml version="1.0" encoding="utf-8"?>
<comments xmlns="http://schemas.openxmlformats.org/spreadsheetml/2006/main">
  <authors>
    <author>Dennis Hanson</author>
  </authors>
  <commentList>
    <comment ref="A12" authorId="0">
      <text>
        <r>
          <rPr>
            <b/>
            <sz val="10"/>
            <rFont val="Tahoma"/>
            <family val="2"/>
          </rPr>
          <t xml:space="preserve">ALL PUPIL COUNTS - SCHEDULE 2-1:
</t>
        </r>
        <r>
          <rPr>
            <sz val="10"/>
            <rFont val="Tahoma"/>
            <family val="2"/>
          </rPr>
          <t>The all pupil enrollment counts must be included for all count dates (Prelim, 3rd Fri Sept &amp; 2nd Fri Jan) on Schedule 2-1, Lines 1-10.</t>
        </r>
      </text>
    </comment>
    <comment ref="A13" authorId="0">
      <text>
        <r>
          <rPr>
            <b/>
            <sz val="10"/>
            <rFont val="Tahoma"/>
            <family val="2"/>
          </rPr>
          <t xml:space="preserve">CHOICE PUPIL COUNTS - SCHEDULE 2-1:
</t>
        </r>
        <r>
          <rPr>
            <sz val="10"/>
            <rFont val="Tahoma"/>
            <family val="2"/>
          </rPr>
          <t xml:space="preserve">
The choice pupil enrollment counts must be included for all count dates (Prelim, 3rd Fri Sept &amp; 2nd Fri Jan) on Schedule 2-1, Lines 11-20.</t>
        </r>
      </text>
    </comment>
    <comment ref="A48" authorId="0">
      <text>
        <r>
          <rPr>
            <b/>
            <sz val="10"/>
            <rFont val="Tahoma"/>
            <family val="2"/>
          </rPr>
          <t xml:space="preserve">BORROWING INCURRED - SCHEDULE 6 :
</t>
        </r>
        <r>
          <rPr>
            <sz val="10"/>
            <rFont val="Tahoma"/>
            <family val="2"/>
          </rPr>
          <t>Borrowing incurred in total does not equal the amount received.  Revise one or both of these numbers so they match to resolve the error.</t>
        </r>
      </text>
    </comment>
    <comment ref="A11" authorId="0">
      <text>
        <r>
          <rPr>
            <b/>
            <sz val="10"/>
            <rFont val="Tahoma"/>
            <family val="2"/>
          </rPr>
          <t xml:space="preserve">PUPIL COUNT - SCHEDULE 2:
</t>
        </r>
        <r>
          <rPr>
            <sz val="10"/>
            <rFont val="Tahoma"/>
            <family val="2"/>
          </rPr>
          <t xml:space="preserve">
The Preliminary Enrollment, 3rd Friday in September, and/or 2nd Friday in January Choice and SNSP enrollment is more than the all pupil enrollment. See Schedule 2-1, Lines 1-9 for information on which category(ies) and count date(s) has/have an error. Correct the counts to correct the error.</t>
        </r>
      </text>
    </comment>
    <comment ref="A26" authorId="0">
      <text>
        <r>
          <rPr>
            <b/>
            <sz val="10"/>
            <rFont val="Tahoma"/>
            <family val="2"/>
          </rPr>
          <t xml:space="preserve">Prepaid Auditor Fee - Schedule 3-3:
</t>
        </r>
        <r>
          <rPr>
            <sz val="10"/>
            <rFont val="Tahoma"/>
            <family val="2"/>
          </rPr>
          <t>The prepaid amount on Schedule 3-3 for Other Expenses must be at least as much as the DPI auditor fee for both years since the school will be required to pay the DPI auditor fee prior to participating each school year.  Add the DPI auditor fee amount to remove this error.</t>
        </r>
      </text>
    </comment>
    <comment ref="A47" authorId="0">
      <text>
        <r>
          <rPr>
            <b/>
            <sz val="10"/>
            <rFont val="Tahoma"/>
            <family val="2"/>
          </rPr>
          <t xml:space="preserve">DEBT INFORMATION - SCHEDULE 6 :
</t>
        </r>
        <r>
          <rPr>
            <sz val="10"/>
            <rFont val="Tahoma"/>
            <family val="2"/>
          </rPr>
          <t>The school has not included the information related to debt. Complete Schedule 6, Lines 1-6 to resolve this error.</t>
        </r>
      </text>
    </comment>
    <comment ref="A37" authorId="0">
      <text>
        <r>
          <rPr>
            <b/>
            <sz val="10"/>
            <rFont val="Tahoma"/>
            <family val="2"/>
          </rPr>
          <t xml:space="preserve">OTHER REVENUE - SCHEDULE 4-4:
</t>
        </r>
        <r>
          <rPr>
            <sz val="10"/>
            <rFont val="Tahoma"/>
            <family val="2"/>
          </rPr>
          <t>An explanation must be included for revenue on Schedule 4-4.</t>
        </r>
      </text>
    </comment>
    <comment ref="A19" authorId="0">
      <text>
        <r>
          <rPr>
            <b/>
            <sz val="10"/>
            <rFont val="Tahoma"/>
            <family val="2"/>
          </rPr>
          <t xml:space="preserve">OTHER EMPLOYEES - SCHEDULE 3-1:
</t>
        </r>
        <r>
          <rPr>
            <sz val="10"/>
            <rFont val="Tahoma"/>
            <family val="2"/>
          </rPr>
          <t xml:space="preserve">
Other employees are included on Schedule 3-1, Line 11.  An explanation of who these employees are must be included in Schedule 3-1, Line 13.</t>
        </r>
      </text>
    </comment>
    <comment ref="A7" authorId="0">
      <text>
        <r>
          <rPr>
            <b/>
            <sz val="10"/>
            <rFont val="Tahoma"/>
            <family val="2"/>
          </rPr>
          <t xml:space="preserve">COVER PAGE COMPLETE:
</t>
        </r>
        <r>
          <rPr>
            <sz val="10"/>
            <rFont val="Tahoma"/>
            <family val="2"/>
          </rPr>
          <t xml:space="preserve">
The school must complete all yellow cells on the cover page, including indicating all programs it will be participating in.</t>
        </r>
      </text>
    </comment>
    <comment ref="A38" authorId="0">
      <text>
        <r>
          <rPr>
            <b/>
            <sz val="10"/>
            <rFont val="Tahoma"/>
            <family val="2"/>
          </rPr>
          <t xml:space="preserve">WRITTEN &amp; FUNDRAISING INFORMATION - SCHEDULE 4-2:
</t>
        </r>
        <r>
          <rPr>
            <sz val="10"/>
            <rFont val="Tahoma"/>
            <family val="2"/>
          </rPr>
          <t>For each amount included in Schedule 4-2, you must indicate if the school has something in writing indicating the school would receive the amount and if the amount is the result of fundraising in Columns F and G.</t>
        </r>
      </text>
    </comment>
    <comment ref="A18" authorId="0">
      <text>
        <r>
          <rPr>
            <b/>
            <sz val="10"/>
            <rFont val="Tahoma"/>
            <family val="2"/>
          </rPr>
          <t xml:space="preserve">MONTH OF HIRE - SCHEDULE 3-1:
</t>
        </r>
        <r>
          <rPr>
            <sz val="10"/>
            <rFont val="Tahoma"/>
            <family val="2"/>
          </rPr>
          <t xml:space="preserve">
The month of hire must be completed for all staff with positions on Schedule 3-1.</t>
        </r>
      </text>
    </comment>
    <comment ref="A42" authorId="0">
      <text>
        <r>
          <rPr>
            <b/>
            <sz val="10"/>
            <rFont val="Tahoma"/>
            <family val="2"/>
          </rPr>
          <t xml:space="preserve">YEARS OF SERVICE, PERCENT RELATING TO SCHOOL, ACCUMULATED DEPRECIATION OR ADDITIONAL DEPRECIATION - SCHEDULE 5-1:
</t>
        </r>
        <r>
          <rPr>
            <sz val="10"/>
            <rFont val="Tahoma"/>
            <family val="2"/>
          </rPr>
          <t>The number of years each type of asset will be in service, percent relating to school, accumulated depreciation, and additional depreciation must be completed for each type of asset with a cost on Schedule 5-1, Lines 1-12.</t>
        </r>
      </text>
    </comment>
    <comment ref="A53" authorId="0">
      <text>
        <r>
          <rPr>
            <b/>
            <sz val="10"/>
            <rFont val="Tahoma"/>
            <family val="2"/>
          </rPr>
          <t xml:space="preserve">WRITTEN AGREEMENTS - SCHEDULE 7-1:
</t>
        </r>
        <r>
          <rPr>
            <sz val="10"/>
            <rFont val="Tahoma"/>
            <family val="2"/>
          </rPr>
          <t>The school must explain how expenditures during the summer will be funded in Schedule 7-1, Line 27.</t>
        </r>
      </text>
    </comment>
    <comment ref="A24" authorId="0">
      <text>
        <r>
          <rPr>
            <b/>
            <sz val="10"/>
            <rFont val="Tahoma"/>
            <family val="2"/>
          </rPr>
          <t xml:space="preserve">ELIGIBLE EXPENSES - SCHEDULES 3-1:
</t>
        </r>
        <r>
          <rPr>
            <sz val="10"/>
            <rFont val="Tahoma"/>
            <family val="2"/>
          </rPr>
          <t xml:space="preserve">
The amount of eligible expenses on Line 14 and 15 of Schedule 3-1 exceeds the amount of total expenses on Line 16.  The total of the expenses on Line 14 and 15 must be equal to or less the amount of expenses on Line 16 to resolve this error.</t>
        </r>
      </text>
    </comment>
    <comment ref="A25" authorId="0">
      <text>
        <r>
          <rPr>
            <b/>
            <sz val="10"/>
            <rFont val="Tahoma"/>
            <family val="2"/>
          </rPr>
          <t xml:space="preserve">SNSP Expenses - Schedule 3-1 and 3-2:
</t>
        </r>
        <r>
          <rPr>
            <sz val="10"/>
            <rFont val="Tahoma"/>
            <family val="2"/>
          </rPr>
          <t xml:space="preserve">
The school did not indicate it was participating in the Special Needs Scholarship Program (SNSP) but has included SNSP expenses in Schedule 3-1 and/or 3-2.  Either remove the SNSP expenses if the school is not participating in the SNSP or indicate the school is participating in the SNSP on the cover page.</t>
        </r>
      </text>
    </comment>
    <comment ref="A54" authorId="0">
      <text>
        <r>
          <rPr>
            <b/>
            <sz val="10"/>
            <rFont val="Tahoma"/>
            <family val="2"/>
          </rPr>
          <t xml:space="preserve">CATEGORY CHANGES - SCHEDULE 7-1:
</t>
        </r>
        <r>
          <rPr>
            <sz val="10"/>
            <rFont val="Tahoma"/>
            <family val="2"/>
          </rPr>
          <t>The net of the category changes in Schedule 7-1, in Column D must equal zero.  Revise the category changes so that the net amount is zero.  Any decrease to a category must be negative.</t>
        </r>
      </text>
    </comment>
    <comment ref="A55" authorId="0">
      <text>
        <r>
          <rPr>
            <b/>
            <sz val="10"/>
            <rFont val="Tahoma"/>
            <family val="2"/>
          </rPr>
          <t xml:space="preserve">UNCOLLECTIBLE RECEIVABLES - SCHEDULE 7-1:
</t>
        </r>
        <r>
          <rPr>
            <sz val="10"/>
            <rFont val="Tahoma"/>
            <family val="2"/>
          </rPr>
          <t>The total uncollectible receivables on Schedule 7-1, Line 12, Column C must match the bad debt expense included on Schedule 3-2, line 14, Column B.</t>
        </r>
      </text>
    </comment>
    <comment ref="A20" authorId="0">
      <text>
        <r>
          <rPr>
            <b/>
            <sz val="10"/>
            <rFont val="Tahoma"/>
            <family val="2"/>
          </rPr>
          <t xml:space="preserve">UTILITIES &amp; SUPPLY EXPLANATIONS - SCHEDULE 3-2:
</t>
        </r>
        <r>
          <rPr>
            <sz val="10"/>
            <rFont val="Tahoma"/>
            <family val="2"/>
          </rPr>
          <t>One or more utilities and supplies on Schedule 3-2, Lines 1-10 do not have an amount included when the department expected an amount.  Either enter in an amount or explain why no expense is included for each category.</t>
        </r>
      </text>
    </comment>
    <comment ref="A21" authorId="0">
      <text>
        <r>
          <rPr>
            <b/>
            <sz val="10"/>
            <rFont val="Tahoma"/>
            <family val="2"/>
          </rPr>
          <t xml:space="preserve">SERVICES &amp; CONTRACTOR NAMES - SCHEDULE 3-3:
</t>
        </r>
        <r>
          <rPr>
            <sz val="10"/>
            <rFont val="Tahoma"/>
            <family val="2"/>
          </rPr>
          <t>A provider name is not included for one or more services or contractor names on Schedule 3-3, Lines 1-7.  Enter a provider name to resolve the error.  If the provider is not yet known, insert TBD (to be determined).</t>
        </r>
      </text>
    </comment>
    <comment ref="A45" authorId="0">
      <text>
        <r>
          <rPr>
            <b/>
            <sz val="10"/>
            <rFont val="Tahoma"/>
            <family val="2"/>
          </rPr>
          <t xml:space="preserve">LEASE INFORMATION - SCHEDULE 5-3:
</t>
        </r>
        <r>
          <rPr>
            <sz val="10"/>
            <rFont val="Tahoma"/>
            <family val="2"/>
          </rPr>
          <t>The information in Schedule 5-3, Lines 1-8 must be completed for any lines with a lease.</t>
        </r>
      </text>
    </comment>
    <comment ref="A43" authorId="0">
      <text>
        <r>
          <rPr>
            <b/>
            <sz val="10"/>
            <rFont val="Tahoma"/>
            <family val="2"/>
          </rPr>
          <t xml:space="preserve">LOCATIONS - SCHEDULE 5-2:
</t>
        </r>
        <r>
          <rPr>
            <sz val="10"/>
            <rFont val="Tahoma"/>
            <family val="2"/>
          </rPr>
          <t>The school must enter all locations for the legal entity of the school and complete all information for each location on Schedule 5-2.</t>
        </r>
      </text>
    </comment>
    <comment ref="A44" authorId="0">
      <text>
        <r>
          <rPr>
            <b/>
            <sz val="10"/>
            <rFont val="Tahoma"/>
            <family val="2"/>
          </rPr>
          <t xml:space="preserve">EQUIPMENT OR EDUCATIONAL MEDIA EXPLANATION - SCHEDULE 5-2:
</t>
        </r>
        <r>
          <rPr>
            <sz val="10"/>
            <rFont val="Tahoma"/>
            <family val="2"/>
          </rPr>
          <t>The school must explain on Schedule 5-2 how educational media or equipment will be obtained if no amount is included for these items or a low amount is included on Schedule 5-1.  If the amount is incorrect, it must be increased on Schedule 5-1.</t>
        </r>
      </text>
    </comment>
    <comment ref="A50" authorId="0">
      <text>
        <r>
          <rPr>
            <b/>
            <sz val="10"/>
            <rFont val="Tahoma"/>
            <family val="2"/>
          </rPr>
          <t xml:space="preserve">PRINCIPAL &amp; INTEREST PAID - SCHEDULE 6 :
</t>
        </r>
        <r>
          <rPr>
            <sz val="10"/>
            <rFont val="Tahoma"/>
            <family val="2"/>
          </rPr>
          <t>Either the total principal or interest paid does not equal the cash payments.  Revise one or both of these numbers so they match to resolve the error.</t>
        </r>
      </text>
    </comment>
    <comment ref="A56" authorId="0">
      <text>
        <r>
          <rPr>
            <b/>
            <sz val="10"/>
            <rFont val="Tahoma"/>
            <family val="2"/>
          </rPr>
          <t xml:space="preserve">RESERVE - SCHEDULE 7-1 &amp; SCHEDULE 10:
</t>
        </r>
        <r>
          <rPr>
            <sz val="10"/>
            <rFont val="Tahoma"/>
            <family val="2"/>
          </rPr>
          <t>The cash and investment balance must be at least as much as the required balance.  See Schedule 10, Line 20 for the required balance.</t>
        </r>
      </text>
    </comment>
    <comment ref="A57" authorId="0">
      <text>
        <r>
          <rPr>
            <b/>
            <sz val="10"/>
            <rFont val="Tahoma"/>
            <family val="2"/>
          </rPr>
          <t xml:space="preserve">NET ASSET DETAIL - SCHEDULE 7-1 &amp; SCHEDULE 7-2:
</t>
        </r>
        <r>
          <rPr>
            <sz val="10"/>
            <rFont val="Tahoma"/>
            <family val="2"/>
          </rPr>
          <t>The detail for one or more balances on Schedule 7-2 does not match the total on Schedule 7-1.</t>
        </r>
      </text>
    </comment>
    <comment ref="A32" authorId="0">
      <text>
        <r>
          <rPr>
            <b/>
            <sz val="10"/>
            <rFont val="Tahoma"/>
            <family val="2"/>
          </rPr>
          <t xml:space="preserve">GOVERNMENT ASSISTANCE REVENUE - SCHEDULE 4-1:
</t>
        </r>
        <r>
          <rPr>
            <sz val="10"/>
            <rFont val="Tahoma"/>
            <family val="2"/>
          </rPr>
          <t>A description of government assistance revenue must be included on Schedule 4-1.</t>
        </r>
      </text>
    </comment>
    <comment ref="A49" authorId="0">
      <text>
        <r>
          <rPr>
            <b/>
            <sz val="10"/>
            <rFont val="Tahoma"/>
            <family val="2"/>
          </rPr>
          <t xml:space="preserve">PERCENT RELATING TO SCHOOL - SCHEDULE 6:
</t>
        </r>
        <r>
          <rPr>
            <sz val="10"/>
            <rFont val="Tahoma"/>
            <family val="2"/>
          </rPr>
          <t>The percent relating to school must be completed for each debt with a cost on Schedule 6, Lines 7-12.</t>
        </r>
      </text>
    </comment>
    <comment ref="A8" authorId="0">
      <text>
        <r>
          <rPr>
            <b/>
            <sz val="10"/>
            <rFont val="Tahoma"/>
            <family val="2"/>
          </rPr>
          <t xml:space="preserve">REASON COMPLETED - Cover Page:
</t>
        </r>
        <r>
          <rPr>
            <sz val="10"/>
            <rFont val="Tahoma"/>
            <family val="2"/>
          </rPr>
          <t xml:space="preserve">
The school must indicate the reason the budget is being completed on the cover page.</t>
        </r>
      </text>
    </comment>
    <comment ref="A15" authorId="0">
      <text>
        <r>
          <rPr>
            <b/>
            <sz val="10"/>
            <rFont val="Tahoma"/>
            <family val="2"/>
          </rPr>
          <t xml:space="preserve">SNSP PUPIL COUNTS - SCHEDULE 2-2:
</t>
        </r>
        <r>
          <rPr>
            <sz val="10"/>
            <rFont val="Tahoma"/>
            <family val="2"/>
          </rPr>
          <t xml:space="preserve">
The SNSP pupil enrollment counts must be included for all count dates (Prelim, 3rd Fri Sept &amp; 2nd Fri Jan) on Schedule 2-2, Lines 1-21.</t>
        </r>
      </text>
    </comment>
    <comment ref="A9" authorId="0">
      <text>
        <r>
          <rPr>
            <b/>
            <sz val="10"/>
            <rFont val="Tahoma"/>
            <family val="2"/>
          </rPr>
          <t xml:space="preserve">REASON COMPLETED - Cover Page:
</t>
        </r>
        <r>
          <rPr>
            <sz val="10"/>
            <rFont val="Tahoma"/>
            <family val="2"/>
          </rPr>
          <t>A school may not use a budget submitted to meet the August 1st budget to meet any of the other required budgets.  Please revise the reasons the budget is being completed to indicate it is being done for the August 1 new Choice school requirement only or for other reasons.</t>
        </r>
      </text>
    </comment>
    <comment ref="A52" authorId="0">
      <text>
        <r>
          <rPr>
            <b/>
            <sz val="10"/>
            <rFont val="Tahoma"/>
            <family val="2"/>
          </rPr>
          <t xml:space="preserve">NEGATIVE SCHEDULE 7-1 BALANCES:
</t>
        </r>
        <r>
          <rPr>
            <sz val="10"/>
            <rFont val="Tahoma"/>
            <family val="2"/>
          </rPr>
          <t>One or more balances in Schedule 7-1 are negative, other than Accumulated Depreciation or cash.  Accumulated Depreciation will be negative.  Schools that have a negative cash balance in this schedule will not meet the Choice/SNSP requirements since this indicates the school has overdrawn on its bank account(s).  However, since it is possible a school may be overdrawn on its bank account(s), an error will not show for a negative cash balance.
If Long Term Pledge Receivable and/or Other Long Term Receivable are negative, the school included current receivables in Line 3 of Schedule 7-1 but has not included receivables in the revenue Schedules (Schedule 4-1, 4-2, 4-3, or 4-4).  Include the receivable in the cash flow section for the related revenue category to resolve this error.</t>
        </r>
      </text>
    </comment>
    <comment ref="A62" authorId="0">
      <text>
        <r>
          <rPr>
            <b/>
            <sz val="10"/>
            <rFont val="Tahoma"/>
            <family val="2"/>
          </rPr>
          <t xml:space="preserve">LOW BUDGET - SCHEDULE 12-2:
</t>
        </r>
        <r>
          <rPr>
            <sz val="10"/>
            <rFont val="Tahoma"/>
            <family val="2"/>
          </rPr>
          <t>The tuition and fees revenue (Line 12) and/or the government assistance revenue (Line 13) must be included in Schedule 12-2.  If no revenue will be received from these sources, insert 0.</t>
        </r>
      </text>
    </comment>
    <comment ref="A22" authorId="0">
      <text>
        <r>
          <rPr>
            <b/>
            <sz val="10"/>
            <rFont val="Tahoma"/>
            <family val="2"/>
          </rPr>
          <t xml:space="preserve">AUDITOR EXPENSE - SCHEDULE 3-3:
</t>
        </r>
        <r>
          <rPr>
            <sz val="10"/>
            <rFont val="Tahoma"/>
            <family val="2"/>
          </rPr>
          <t>The school is required to have an audit and agreed upon procedure reports completed for participation in the Choice program and SNSP.  Expenses for the auditor must be entered in Schedule 3-3, Line 2.</t>
        </r>
      </text>
    </comment>
    <comment ref="A23" authorId="0">
      <text>
        <r>
          <rPr>
            <b/>
            <sz val="10"/>
            <rFont val="Tahoma"/>
            <family val="2"/>
          </rPr>
          <t xml:space="preserve">CONTRACTED PUPIL TRANSPORTATION COSTS - SCHEDULE 3-3:
</t>
        </r>
        <r>
          <rPr>
            <sz val="10"/>
            <rFont val="Tahoma"/>
            <family val="2"/>
          </rPr>
          <t>The school has indicated it will provide pupil transportation through a contractor on Schedule 1 but no costs are included for pupil transportation.  If the school will not be obtaining pupil transportation from a contractor, modify the response in Schedule 1, question 7.  If the school will be using a contractor, insert the cost in Schedule 3-3, Line 5.</t>
        </r>
      </text>
    </comment>
    <comment ref="A16" authorId="0">
      <text>
        <r>
          <rPr>
            <b/>
            <sz val="10"/>
            <rFont val="Tahoma"/>
            <family val="2"/>
          </rPr>
          <t xml:space="preserve">K4 OUTREACH - SCHEDULES 2-1, 2-2 &amp; 2-3:
</t>
        </r>
        <r>
          <rPr>
            <sz val="10"/>
            <rFont val="Tahoma"/>
            <family val="2"/>
          </rPr>
          <t xml:space="preserve">
In order to qualify for the .6 FTE K4 category used on Schedule 2-1 and/or Schedule 2-2, 87.5 hours of allowed outreach activities must be planned.  The number of hours of activities on Schedule 2-3 is less than 87.5 hours.  Add additional activities/hours on Schedule 2-3 in order to qualify for the .6 FTE.  If you are unable to provide 87.5 hours, the .5 FTE must be used for K4 on Schedules 2-1 and 2-2.</t>
        </r>
      </text>
    </comment>
    <comment ref="A14" authorId="0">
      <text>
        <r>
          <rPr>
            <b/>
            <sz val="10"/>
            <rFont val="Tahoma"/>
            <family val="2"/>
          </rPr>
          <t xml:space="preserve">CHOICE PUPIL COUNTS - SCHEDULE 2-1:
</t>
        </r>
        <r>
          <rPr>
            <sz val="10"/>
            <rFont val="Tahoma"/>
            <family val="2"/>
          </rPr>
          <t xml:space="preserve">
The Choice pupils by program must be entered on Schedule 2-1, Lines 21-24. The total that will participate by program must match the maximum number enrolled for the count dates.</t>
        </r>
      </text>
    </comment>
    <comment ref="A27" authorId="0">
      <text>
        <r>
          <rPr>
            <b/>
            <sz val="10"/>
            <rFont val="Tahoma"/>
            <family val="2"/>
          </rPr>
          <t xml:space="preserve">STUDENT INFORMATION SYSTEM EXPENSE - SCHEDULE 3-3:
</t>
        </r>
        <r>
          <rPr>
            <sz val="10"/>
            <rFont val="Tahoma"/>
            <family val="2"/>
          </rPr>
          <t>The school is required to have a student information system if participating in the Choice programs.  Expenses for the student information system must be entered in Schedule 3-3, Line 6.</t>
        </r>
      </text>
    </comment>
    <comment ref="A58" authorId="0">
      <text>
        <r>
          <rPr>
            <b/>
            <sz val="10"/>
            <rFont val="Tahoma"/>
            <family val="2"/>
          </rPr>
          <t xml:space="preserve">DEBT BALANCES - SCHEDULE 7-1:
</t>
        </r>
        <r>
          <rPr>
            <sz val="10"/>
            <rFont val="Tahoma"/>
            <family val="2"/>
          </rPr>
          <t>The current debt balance is negative or the long term debt line is not completed. 
The current debt balance is negative when the school includes long term debt in in Line 22 of Schedule 7-1 but has not included the debt in Schedule 6. Include the debt in Schedule 6 to resolve this error.
The long term debt error occurs when the school has debt in Schedule 6 but has not completed the long term debt line on Line 22 of Schedule 7-1.  Long term debt is debt that is not due within a year. If all of the debt is current, insert 0 in this line.</t>
        </r>
      </text>
    </comment>
    <comment ref="A28" authorId="0">
      <text>
        <r>
          <rPr>
            <b/>
            <sz val="10"/>
            <rFont val="Tahoma"/>
            <family val="2"/>
          </rPr>
          <t xml:space="preserve">CASH PAYMENTS - SCHEDULES 3-1, 3-2 AND/OR 3-3:
</t>
        </r>
        <r>
          <rPr>
            <sz val="10"/>
            <rFont val="Tahoma"/>
            <family val="2"/>
          </rPr>
          <t xml:space="preserve">
Complete the cash payments section in Schedules 3-1, 3-2, and/or 3-3 with the anticipated cash payments by month for each type of expense.</t>
        </r>
      </text>
    </comment>
    <comment ref="A29" authorId="0">
      <text>
        <r>
          <rPr>
            <b/>
            <sz val="10"/>
            <rFont val="Tahoma"/>
            <family val="2"/>
          </rPr>
          <t xml:space="preserve">ELIGIBLE EDUCATION EXPENSES - SCHEDULES 3-1, 3-2 AND/OR 3-3:
</t>
        </r>
        <r>
          <rPr>
            <sz val="10"/>
            <rFont val="Tahoma"/>
            <family val="2"/>
          </rPr>
          <t xml:space="preserve">
Complete the eligible education expenses cells on Schedules 3-1, 3-2, and/or 3-3 with the amount that will be an eligible education expense to resolve this error.</t>
        </r>
      </text>
    </comment>
    <comment ref="A39" authorId="0">
      <text>
        <r>
          <rPr>
            <b/>
            <sz val="10"/>
            <rFont val="Tahoma"/>
            <family val="2"/>
          </rPr>
          <t xml:space="preserve">CASH RECEIPTS - SCHEDULES 4-1, 4-2, 4-3 AND/OR 4-4:
</t>
        </r>
        <r>
          <rPr>
            <sz val="10"/>
            <rFont val="Tahoma"/>
            <family val="2"/>
          </rPr>
          <t xml:space="preserve">
Complete the cash receipts section in Schedules 4-1, 4-2, 4-3 and/or 4-4 with the anticipated cash receipts by month for each type of revenue.</t>
        </r>
      </text>
    </comment>
    <comment ref="A60" authorId="0">
      <text>
        <r>
          <rPr>
            <b/>
            <sz val="10"/>
            <rFont val="Tahoma"/>
            <family val="2"/>
          </rPr>
          <t xml:space="preserve">LOW BUDGET - SCHEDULE 12-1:
</t>
        </r>
        <r>
          <rPr>
            <sz val="10"/>
            <rFont val="Tahoma"/>
            <family val="2"/>
          </rPr>
          <t>The Choice pupil low count on Schedule 12-1 cannot be more than the budget pupil count on Schedule 2-1. Modify the Choice pupil count for the low budget on Schedule 12-1 to resolve this error.</t>
        </r>
      </text>
    </comment>
    <comment ref="A30" authorId="0">
      <text>
        <r>
          <rPr>
            <b/>
            <sz val="10"/>
            <rFont val="Tahoma"/>
            <family val="2"/>
          </rPr>
          <t xml:space="preserve">NEGATIVE ACCOUNTS PAYABLE- SCHEDULES 3-1, 3-2 AND/OR 3-3:
</t>
        </r>
        <r>
          <rPr>
            <sz val="10"/>
            <rFont val="Tahoma"/>
            <family val="2"/>
          </rPr>
          <t xml:space="preserve">
The ending Accounts Payable is negative in Schedules 3-1, 3-2, and/or 3-3.  The ending Accounts Payable is the last line on Schedules 3-1, 3-2, and 3-3.  The amount must be 0 or a positive number.</t>
        </r>
      </text>
    </comment>
    <comment ref="A40" authorId="0">
      <text>
        <r>
          <rPr>
            <b/>
            <sz val="10"/>
            <rFont val="Tahoma"/>
            <family val="2"/>
          </rPr>
          <t xml:space="preserve">NEGATIVE ACCOUNTS RECEIVABLE- SCHEDULES 4-1, 4-2, 4-3 AND/OR 4-4:
</t>
        </r>
        <r>
          <rPr>
            <sz val="10"/>
            <rFont val="Tahoma"/>
            <family val="2"/>
          </rPr>
          <t xml:space="preserve">
The ending Accounts Receivable is negative in Schedules 4-1, 4-2, 4-3, and/or 4-4.  The ending Accounts Receivable is the last line on Schedules 4-1, 4-2, 4-3, and 4-4.  The amount must be 0 or a positive number.</t>
        </r>
      </text>
    </comment>
    <comment ref="A64" authorId="0">
      <text>
        <r>
          <rPr>
            <b/>
            <sz val="10"/>
            <rFont val="Tahoma"/>
            <family val="2"/>
          </rPr>
          <t xml:space="preserve">CHURCH INFORMATION - SCHEDULE 1:
</t>
        </r>
        <r>
          <rPr>
            <sz val="10"/>
            <rFont val="Tahoma"/>
            <family val="2"/>
          </rPr>
          <t>Schedule 1, question 2c indicates that the legal entity of the school includes a church. As a result, all of the financial information of the church must be included in the budget. This includes the number of church employees and salaries for the employees on Schedule 3-1, Line 9, church expenses on Schedule 3-2, Line 14, and church offerings on Schedule 4-2, Line 20, Column C. Review these schedules to determine the church related amounts have been included.</t>
        </r>
      </text>
    </comment>
    <comment ref="A65" authorId="0">
      <text>
        <r>
          <rPr>
            <b/>
            <sz val="10"/>
            <rFont val="Tahoma"/>
            <family val="2"/>
          </rPr>
          <t xml:space="preserve">SCHOOL INFORMATION - SCHEDULE 1:
</t>
        </r>
        <r>
          <rPr>
            <sz val="10"/>
            <rFont val="Tahoma"/>
            <family val="2"/>
          </rPr>
          <t>Schedule 1, question 4a indicates that the legal entity of the school includes a daycare/preschool. As a result, all of the financial information for the daycare/preschool must be included in the budget. This includes the number of daycare/preschool employees and salaries for the employees on Schedule 3-1, Line 10, daycare/preschool expenses on Schedule 3-2, Line 15, and daycare tuition and fees on Schedule 4-1, Line 6.</t>
        </r>
      </text>
    </comment>
    <comment ref="A72" authorId="0">
      <text>
        <r>
          <rPr>
            <b/>
            <sz val="10"/>
            <rFont val="Tahoma"/>
            <family val="2"/>
          </rPr>
          <t xml:space="preserve">PRIMARILY SNSP EXPENSES - SCHEDULE 10:
</t>
        </r>
        <r>
          <rPr>
            <sz val="10"/>
            <rFont val="Tahoma"/>
            <family val="2"/>
          </rPr>
          <t>The school identified SNSP only expenses on Schedule 3-1, Line 8 or primarily SNSP expenses on Schedule 3-3, Line 12 but did not identify the portion that is related to SNSP pupils on Schedule 10. The portion that is related to SNSP pupils must be input on Line 13, Column C of Schedule 10.</t>
        </r>
      </text>
    </comment>
    <comment ref="A73" authorId="0">
      <text>
        <r>
          <rPr>
            <b/>
            <sz val="10"/>
            <rFont val="Tahoma"/>
            <family val="2"/>
          </rPr>
          <t xml:space="preserve">PRIMARILY SNSP EXPENSES - SCHEDULE 10:
</t>
        </r>
        <r>
          <rPr>
            <sz val="10"/>
            <rFont val="Tahoma"/>
            <family val="2"/>
          </rPr>
          <t>The amount identified as primarily SNSP expenses on Line 13, Column C of Schedule 10 cannot exceed the amount on Line 9, Column C.</t>
        </r>
      </text>
    </comment>
    <comment ref="A33" authorId="0">
      <text>
        <r>
          <rPr>
            <b/>
            <sz val="10"/>
            <rFont val="Tahoma"/>
            <family val="2"/>
          </rPr>
          <t xml:space="preserve">NON-CHOICE PUPIL COUNTS - SCHEDULE 4-1:
</t>
        </r>
        <r>
          <rPr>
            <sz val="10"/>
            <rFont val="Tahoma"/>
            <family val="2"/>
          </rPr>
          <t>The number of non-Choice pupils charged tuition on Schedule 4-1 cannot exceed the the number of non-Choice pupils in the budget on Schedule 2-1.</t>
        </r>
      </text>
    </comment>
    <comment ref="A34" authorId="0">
      <text>
        <r>
          <rPr>
            <b/>
            <sz val="10"/>
            <rFont val="Tahoma"/>
            <family val="2"/>
          </rPr>
          <t xml:space="preserve">9-12 GRADE CHOICE PUPIL COUNTS - SCHEDULE 4-1:
</t>
        </r>
        <r>
          <rPr>
            <sz val="10"/>
            <rFont val="Tahoma"/>
            <family val="2"/>
          </rPr>
          <t>The number of 9-12 grade Choice pupils charged tuition on Schedule 4-1 cannot exceed the number of 9-12 grade Choice pupils in the budget on Schedule 2-1.</t>
        </r>
      </text>
    </comment>
    <comment ref="A36" authorId="0">
      <text>
        <r>
          <rPr>
            <b/>
            <sz val="10"/>
            <rFont val="Tahoma"/>
            <family val="2"/>
          </rPr>
          <t xml:space="preserve">CHOICE PUPIL COUNTS - SCHEDULE 4-1:
</t>
        </r>
        <r>
          <rPr>
            <sz val="10"/>
            <rFont val="Tahoma"/>
            <family val="2"/>
          </rPr>
          <t>The number of Choice pupils charged fees on Schedule 4-1 cannot exceed the the number of Choice pupils in the budget on Schedule 2-1.</t>
        </r>
      </text>
    </comment>
    <comment ref="A35" authorId="0">
      <text>
        <r>
          <rPr>
            <b/>
            <sz val="10"/>
            <rFont val="Tahoma"/>
            <family val="2"/>
          </rPr>
          <t xml:space="preserve">NON-CHOICE PUPIL COUNTS - SCHEDULE 4-1:
</t>
        </r>
        <r>
          <rPr>
            <sz val="10"/>
            <rFont val="Tahoma"/>
            <family val="2"/>
          </rPr>
          <t>The number of non-Choice pupils charged fees on Schedule 4-1 cannot exceed the the number of non-Choice pupils in the budget on Schedule 2-1.</t>
        </r>
      </text>
    </comment>
  </commentList>
</comments>
</file>

<file path=xl/sharedStrings.xml><?xml version="1.0" encoding="utf-8"?>
<sst xmlns="http://schemas.openxmlformats.org/spreadsheetml/2006/main" count="1220" uniqueCount="880">
  <si>
    <t>4-Year-Old K/437 Hours</t>
  </si>
  <si>
    <t xml:space="preserve">5-Year-Old K/.5 Day </t>
  </si>
  <si>
    <t xml:space="preserve">5-Year-Old K/3 Day </t>
  </si>
  <si>
    <t xml:space="preserve">5-Year-Old K/4 Day </t>
  </si>
  <si>
    <t xml:space="preserve">5-Year-Old K/5 Day </t>
  </si>
  <si>
    <t>Line</t>
  </si>
  <si>
    <t>A</t>
  </si>
  <si>
    <t>B</t>
  </si>
  <si>
    <t>C</t>
  </si>
  <si>
    <t>D</t>
  </si>
  <si>
    <t>E</t>
  </si>
  <si>
    <t>F</t>
  </si>
  <si>
    <t>G</t>
  </si>
  <si>
    <t>Educational Media</t>
  </si>
  <si>
    <t>Equipment</t>
  </si>
  <si>
    <t>Leasehold Improvements</t>
  </si>
  <si>
    <t>Food Service Employees</t>
  </si>
  <si>
    <t>Transportation Employees</t>
  </si>
  <si>
    <t>Other Employees</t>
  </si>
  <si>
    <t>Maintenance Employees</t>
  </si>
  <si>
    <t>School Lunch</t>
  </si>
  <si>
    <t>School Breakfast</t>
  </si>
  <si>
    <t>School Milk</t>
  </si>
  <si>
    <t>CASH RECEIPTS</t>
  </si>
  <si>
    <t>CASH PAYMENTS</t>
  </si>
  <si>
    <t>ASSETS</t>
  </si>
  <si>
    <t>TOTAL ASSETS</t>
  </si>
  <si>
    <t>LIABILITIES</t>
  </si>
  <si>
    <t>TOTAL LIABILITIES</t>
  </si>
  <si>
    <t>TOTAL CASH RECEIPTS</t>
  </si>
  <si>
    <t>TOTAL CASH PAYMENTS</t>
  </si>
  <si>
    <t>Before starting, save an unused copy of this spreadsheet for further use.</t>
  </si>
  <si>
    <t>Sub Total</t>
  </si>
  <si>
    <t>Year Total</t>
  </si>
  <si>
    <t>JAN FTE</t>
  </si>
  <si>
    <t>SEPT FTE</t>
  </si>
  <si>
    <t>ERROR REPORT</t>
  </si>
  <si>
    <t>[?]</t>
  </si>
  <si>
    <t>Pupil Transportation Supplies</t>
  </si>
  <si>
    <t>Other Expenses</t>
  </si>
  <si>
    <t>Beginning Cash And Investment Balance</t>
  </si>
  <si>
    <t>Cash</t>
  </si>
  <si>
    <t>Beginning Cash &amp; Investment Balance</t>
  </si>
  <si>
    <t>Wisconsin Department of Public Instruction</t>
  </si>
  <si>
    <t>School Name</t>
  </si>
  <si>
    <t>Date Signed</t>
  </si>
  <si>
    <t>BUDGET REPORT AND ANTICIPATED CASH FLOW</t>
  </si>
  <si>
    <t>Name of Individual Preparing the Report</t>
  </si>
  <si>
    <t>Employer of Individual Preparing the Report - If Self Employed so State</t>
  </si>
  <si>
    <t>INSTRUCTIONS FOR COMPLETION OF</t>
  </si>
  <si>
    <t>Payroll and Related Benefits</t>
  </si>
  <si>
    <t>Tax Withholdings and FICA-Medicare</t>
  </si>
  <si>
    <t>Vendor and Other Accounts Payable</t>
  </si>
  <si>
    <t>Choice State Aid</t>
  </si>
  <si>
    <t>Choice Revenue</t>
  </si>
  <si>
    <t>Item</t>
  </si>
  <si>
    <t>ENDING CASH BALANCE</t>
  </si>
  <si>
    <t>TOTAL HOURS</t>
  </si>
  <si>
    <t>TOTAL ALL PUPILS</t>
  </si>
  <si>
    <t>TOTAL CHOICE PUPILS</t>
  </si>
  <si>
    <t>NET OPERATING BALANCE</t>
  </si>
  <si>
    <t>(PI-PCP-14)</t>
  </si>
  <si>
    <t>E-mail Address</t>
  </si>
  <si>
    <t>GENERAL</t>
  </si>
  <si>
    <t>DEBT/LIABILITIES</t>
  </si>
  <si>
    <t>Grades 1-8</t>
  </si>
  <si>
    <t>Grades 9-12</t>
  </si>
  <si>
    <t>TOTAL K4-8 ALL PUPILS</t>
  </si>
  <si>
    <t>TOTAL K4-8 CHOICE PUPILS</t>
  </si>
  <si>
    <t>Classroom Teachers</t>
  </si>
  <si>
    <t>COVER PAGE</t>
  </si>
  <si>
    <t>Result</t>
  </si>
  <si>
    <t>Difference</t>
  </si>
  <si>
    <t>Administrative Supplies</t>
  </si>
  <si>
    <t>Owner of Building</t>
  </si>
  <si>
    <t>Relationship Between School and Owner</t>
  </si>
  <si>
    <t>If Related Party, Explain the Relationship</t>
  </si>
  <si>
    <t>Building Address &amp; City</t>
  </si>
  <si>
    <t>Related Party</t>
  </si>
  <si>
    <t>Organization Unrelated to School</t>
  </si>
  <si>
    <t>What will this building be used for?</t>
  </si>
  <si>
    <t>Sports center</t>
  </si>
  <si>
    <t>Classrooms (may include offices or gym)</t>
  </si>
  <si>
    <t>Administrative offices-unrelated to school</t>
  </si>
  <si>
    <t>Administrative offices-includes school administration</t>
  </si>
  <si>
    <t>An explanation of who is included in Other Employees is not entered</t>
  </si>
  <si>
    <t>LN</t>
  </si>
  <si>
    <t>A
Outreach Activity Description</t>
  </si>
  <si>
    <t>C
Date(s) of Activity</t>
  </si>
  <si>
    <t>D
Hours</t>
  </si>
  <si>
    <t>All budgets must include the Completeness Checklist.</t>
  </si>
  <si>
    <t>A
Item Description</t>
  </si>
  <si>
    <t>A
Description</t>
  </si>
  <si>
    <t>A
Line Effecting (# and Name)</t>
  </si>
  <si>
    <t>B
Source/Description</t>
  </si>
  <si>
    <t>C
Amount</t>
  </si>
  <si>
    <t>Operating Organization that is Same Legal Entity</t>
  </si>
  <si>
    <t>School is owner</t>
  </si>
  <si>
    <t>Milwaukee Parental Choice Program (MPCP)</t>
  </si>
  <si>
    <t>Racine Parental Choice Program (RPCP)</t>
  </si>
  <si>
    <t>Wisconsin Parental Choice Program (WPCP or Statewide)</t>
  </si>
  <si>
    <t>4-Year-Old K/437 Hours + 87.5 Hrs. Outreach</t>
  </si>
  <si>
    <t xml:space="preserve">5-Year-Old K/Full Day </t>
  </si>
  <si>
    <t>Item Description</t>
  </si>
  <si>
    <t>TOTAL COSTS</t>
  </si>
  <si>
    <t>TOTAL FINANCING SOURCES</t>
  </si>
  <si>
    <t>EXPLANATION OF CHANGES</t>
  </si>
  <si>
    <t>TOTAL ALL PUPIL COUNT</t>
  </si>
  <si>
    <t>Low Budget</t>
  </si>
  <si>
    <t>Current Budget</t>
  </si>
  <si>
    <t>INCOMPLETE SCHEDULES</t>
  </si>
  <si>
    <t>Month of hire is not completed</t>
  </si>
  <si>
    <t>TOTAL NON CASH CHANGE OR FORGIVEN LIABILITIES TOTALS</t>
  </si>
  <si>
    <t>Related Party Organization</t>
  </si>
  <si>
    <t>Unrelated Organization</t>
  </si>
  <si>
    <t>Individual</t>
  </si>
  <si>
    <t>Bank or Other Financial Institution Debt</t>
  </si>
  <si>
    <t>Endowment Fund</t>
  </si>
  <si>
    <t>Available Cash</t>
  </si>
  <si>
    <t>REQUIRED ATTACHMENTS</t>
  </si>
  <si>
    <t>The school is operated primarily for religious purposes and operated, supervised, controlled or principally supported by a church or convention or association of churches.</t>
  </si>
  <si>
    <t>Reimbursement Financing-The school has filed an assurance of reimbursement with the DWD (such as a surety bond, line of credit or CD) and pays claims as they are made. (Do not select this option if the school is self insured.)</t>
  </si>
  <si>
    <t>The school is owned by a sole proprietor and the employees only include the sole proprietor, the sole proprietor’s father, mother, spouse, son, daughter, or a legally adopted child or stepchild under 18.</t>
  </si>
  <si>
    <t>Other</t>
  </si>
  <si>
    <t>CONTINGENCY FUNDING</t>
  </si>
  <si>
    <t>TOTAL</t>
  </si>
  <si>
    <t>Special Needs Scholarship Program</t>
  </si>
  <si>
    <t>Land</t>
  </si>
  <si>
    <t>Construction in Progress</t>
  </si>
  <si>
    <t>FIXED ASSET ROLLFORWARD</t>
  </si>
  <si>
    <t>CASH FLOW</t>
  </si>
  <si>
    <t>INTEREST ROLLFORWARD</t>
  </si>
  <si>
    <t>A
Lender Name</t>
  </si>
  <si>
    <t>DEBT PRINCIPAL ROLLFORWARD</t>
  </si>
  <si>
    <t>DEBT PRINCIPAL SUMMARY</t>
  </si>
  <si>
    <t>SCHEDULE 6: DEBT ROLLFORWARD</t>
  </si>
  <si>
    <t>Accrued Interest Expense</t>
  </si>
  <si>
    <t>Accounting Services</t>
  </si>
  <si>
    <t>Independent Auditing Services</t>
  </si>
  <si>
    <t>DPI Auditor Fee</t>
  </si>
  <si>
    <t>Contractor Provided Pupil Transportation</t>
  </si>
  <si>
    <t>Total Eligible Education Expenses</t>
  </si>
  <si>
    <t>Church Employees</t>
  </si>
  <si>
    <t>Daycare/Preschool Employees</t>
  </si>
  <si>
    <t>EXPENSES &amp; CASH FLOWS</t>
  </si>
  <si>
    <t>Building &amp; Equipment Supplies</t>
  </si>
  <si>
    <t>Telephone &amp; Internet Access</t>
  </si>
  <si>
    <t>Electricity</t>
  </si>
  <si>
    <t>Gas</t>
  </si>
  <si>
    <t>Water and Other Utilities</t>
  </si>
  <si>
    <t>Contractor Provided Food Service</t>
  </si>
  <si>
    <t>Contributed Services, Assets, or Goods</t>
  </si>
  <si>
    <t>Bad Debt Expense</t>
  </si>
  <si>
    <t>Field Trips &amp; Extracurricular Activities</t>
  </si>
  <si>
    <t>Tuition from 9-12 Grade Choice Pupils</t>
  </si>
  <si>
    <t>Other Fees Charged to Non-Choice Pupils</t>
  </si>
  <si>
    <t>Other Fees Charged to Choice Pupils</t>
  </si>
  <si>
    <t>Tuition from Non-Choice Pupils</t>
  </si>
  <si>
    <t>Other Fees Charged</t>
  </si>
  <si>
    <t>{Insert description of government assistance}</t>
  </si>
  <si>
    <t>TOTAL GOVERNMENT ASSISTANCE</t>
  </si>
  <si>
    <t>REVENUE DETAIL</t>
  </si>
  <si>
    <t>Food Service Fees from Individuals</t>
  </si>
  <si>
    <t>CASH FLOWS</t>
  </si>
  <si>
    <t>C
Number of Pupils</t>
  </si>
  <si>
    <t xml:space="preserve">
LINE DESCRIPTION</t>
  </si>
  <si>
    <t xml:space="preserve">
TOTAL OTHER REVENUE</t>
  </si>
  <si>
    <t>OTHER REVENUE EXPLANATION</t>
  </si>
  <si>
    <t>OTHER REVENUE CASH FLOW</t>
  </si>
  <si>
    <t>EXTERNAL CONTRIBUTIONS, NON GOVERNMENT GRANTS, &amp; FUNDRAISING</t>
  </si>
  <si>
    <t>Total Pupils</t>
  </si>
  <si>
    <t>ALL PUPILS ANTICIPATED ENROLLMENTS</t>
  </si>
  <si>
    <t>CHOICE PUPILS ANTICIPATED ENROLLMENTS</t>
  </si>
  <si>
    <t>A
Count Category</t>
  </si>
  <si>
    <t>D
2nd Friday Jan Count</t>
  </si>
  <si>
    <t>E
FTE Factor</t>
  </si>
  <si>
    <t xml:space="preserve">F
Average FTE </t>
  </si>
  <si>
    <t>B
Total Cost</t>
  </si>
  <si>
    <t>C
Education Expenses</t>
  </si>
  <si>
    <t>D
If no costs are included, explain how the utilities or supplies are being provided.</t>
  </si>
  <si>
    <t>Endowment Fund Income</t>
  </si>
  <si>
    <t>Other Investment Income</t>
  </si>
  <si>
    <t>SNSP Only Employees</t>
  </si>
  <si>
    <t>Special Needs Scholarship Program (SNSP)</t>
  </si>
  <si>
    <t>School City</t>
  </si>
  <si>
    <t>To and from school</t>
  </si>
  <si>
    <t>Field Trips</t>
  </si>
  <si>
    <t>School provides own transportation</t>
  </si>
  <si>
    <t>School district provides free of charge</t>
  </si>
  <si>
    <t>Contracted from other third party</t>
  </si>
  <si>
    <t>The school will not provide food</t>
  </si>
  <si>
    <t>No transportation will be provided</t>
  </si>
  <si>
    <t>Daycare/church</t>
  </si>
  <si>
    <t>School provides itself</t>
  </si>
  <si>
    <t>STAFFING INFORMATION</t>
  </si>
  <si>
    <t>B
Salaries</t>
  </si>
  <si>
    <t>D
State &amp; Federal Unemployment</t>
  </si>
  <si>
    <t>C
FICA &amp; Medicare Taxes</t>
  </si>
  <si>
    <t>E
Employer Paid Benefits</t>
  </si>
  <si>
    <t>A
Line Description</t>
  </si>
  <si>
    <t>C
Supplies</t>
  </si>
  <si>
    <t>D
Non-Eligible Expenses</t>
  </si>
  <si>
    <t>B
Services Costs</t>
  </si>
  <si>
    <t>C
Contractor Costs</t>
  </si>
  <si>
    <t>D
Other Expenses</t>
  </si>
  <si>
    <t>EXPENSES</t>
  </si>
  <si>
    <t>Total Current Assets</t>
  </si>
  <si>
    <t>Total Current Liabilities</t>
  </si>
  <si>
    <t>INVESTMENTS</t>
  </si>
  <si>
    <t>B
Endowment Fund</t>
  </si>
  <si>
    <t>C
Restricted?</t>
  </si>
  <si>
    <t>TOTAL AMOUNT TO BE PAID</t>
  </si>
  <si>
    <t>TOTAL SUPPLIES</t>
  </si>
  <si>
    <t>TOTAL NON-ELIGIBLE EXPENSES</t>
  </si>
  <si>
    <t>TOTAL SERVICES COSTS</t>
  </si>
  <si>
    <t>TOTAL CONTRACTOR COSTS</t>
  </si>
  <si>
    <t>TOTAL OTHER EXPENSES</t>
  </si>
  <si>
    <t>TOTAL TUITION AND FEES</t>
  </si>
  <si>
    <t>TOTAL AMOUNT TO BE RECEIVED</t>
  </si>
  <si>
    <t>B
Tuition &amp; Fees</t>
  </si>
  <si>
    <t>C
Government Assistance</t>
  </si>
  <si>
    <t>School District Transportation Payments</t>
  </si>
  <si>
    <t>End of Previous Year</t>
  </si>
  <si>
    <t>End of Budgeted Year</t>
  </si>
  <si>
    <t>End of 2 Years Previous</t>
  </si>
  <si>
    <t>Months</t>
  </si>
  <si>
    <t>C
Endowment Fund Income</t>
  </si>
  <si>
    <t>D
Other Investment Income</t>
  </si>
  <si>
    <t>B
Utility</t>
  </si>
  <si>
    <t>TOTAL UTILITY</t>
  </si>
  <si>
    <t>B
Years of Service</t>
  </si>
  <si>
    <t>E
Disposals</t>
  </si>
  <si>
    <t>D
Additional Depreciation</t>
  </si>
  <si>
    <t>E
Depreciation for Disposals</t>
  </si>
  <si>
    <t>B
% School</t>
  </si>
  <si>
    <t>B
Payments for Assets</t>
  </si>
  <si>
    <t>B
Principal Incurred</t>
  </si>
  <si>
    <t>C
Principal Paid</t>
  </si>
  <si>
    <t>D
Interest Paid</t>
  </si>
  <si>
    <t>E
Total Principal &amp; Interest Paid</t>
  </si>
  <si>
    <t>B
Date Incurred</t>
  </si>
  <si>
    <t>D
Related Party?</t>
  </si>
  <si>
    <t>C
Maturity Date</t>
  </si>
  <si>
    <t>B
Interest Rate</t>
  </si>
  <si>
    <t>E
Interest Paid</t>
  </si>
  <si>
    <t>F
Forgiven Interest</t>
  </si>
  <si>
    <t>D 
Interest Owed</t>
  </si>
  <si>
    <t>B
Grades K-8</t>
  </si>
  <si>
    <t>C
Grades 9-12</t>
  </si>
  <si>
    <t>D
Payment Amount</t>
  </si>
  <si>
    <t>Deferred Revenue</t>
  </si>
  <si>
    <t>Net Current Obligation</t>
  </si>
  <si>
    <t>NET CURRENT OBLIGATIONS</t>
  </si>
  <si>
    <t>TRANSPORTATION</t>
  </si>
  <si>
    <t>FOOD SERVICES</t>
  </si>
  <si>
    <t>Extra-curricular activities</t>
  </si>
  <si>
    <t>Other (Explain Below)</t>
  </si>
  <si>
    <t>School is own operating organization</t>
  </si>
  <si>
    <t>Other entity that is part of legal entity</t>
  </si>
  <si>
    <t>SCHEDULE 3-1: SALARIES &amp; RELATED EXPENSES</t>
  </si>
  <si>
    <t>SCHEDULE 3-3: GENERAL EXPENSES CONTINUED</t>
  </si>
  <si>
    <t>SCHEDULE 3-2: GENERAL EXPENSES</t>
  </si>
  <si>
    <t>SCHEDULE 4-1: TUITION, FEES &amp; GOVERNMENT ASSISTANCE REVENUES</t>
  </si>
  <si>
    <t>INSUFFICIENT EDUCATIONAL MEDIA &amp; EQUIPMENT</t>
  </si>
  <si>
    <t>SCHEDULE 3-1 EXPLANATIONS</t>
  </si>
  <si>
    <t>SCHEDULE 4-1 EXPLANATIONS</t>
  </si>
  <si>
    <t>SCHEDULE 6 EXPLANATIONS</t>
  </si>
  <si>
    <t>ALL PUPIL COUNT</t>
  </si>
  <si>
    <t>CHOICE PUPIL COUNT</t>
  </si>
  <si>
    <r>
      <t xml:space="preserve">Tuition and Fees </t>
    </r>
    <r>
      <rPr>
        <i/>
        <sz val="8"/>
        <rFont val="Arial"/>
        <family val="2"/>
      </rPr>
      <t>Sch 4-1</t>
    </r>
  </si>
  <si>
    <r>
      <t xml:space="preserve">Government Assistance </t>
    </r>
    <r>
      <rPr>
        <i/>
        <sz val="8"/>
        <rFont val="Arial"/>
        <family val="2"/>
      </rPr>
      <t>Sch 4-1</t>
    </r>
  </si>
  <si>
    <r>
      <t xml:space="preserve">Ext Contributions, Grants &amp; Fundraising </t>
    </r>
    <r>
      <rPr>
        <i/>
        <sz val="8"/>
        <rFont val="Arial"/>
        <family val="2"/>
      </rPr>
      <t>Sch 4-2</t>
    </r>
  </si>
  <si>
    <r>
      <t xml:space="preserve">Church Offerings </t>
    </r>
    <r>
      <rPr>
        <i/>
        <sz val="8"/>
        <rFont val="Arial"/>
        <family val="2"/>
      </rPr>
      <t>Sch 4-2</t>
    </r>
  </si>
  <si>
    <r>
      <t xml:space="preserve">Other Revenues </t>
    </r>
    <r>
      <rPr>
        <i/>
        <sz val="8"/>
        <rFont val="Arial"/>
        <family val="2"/>
      </rPr>
      <t>Sch 4-4</t>
    </r>
  </si>
  <si>
    <t>One or more explanations regarding supplies &amp; utilities have not been entered</t>
  </si>
  <si>
    <t>One or more provider names have not been provided</t>
  </si>
  <si>
    <t>B
MPCP Count</t>
  </si>
  <si>
    <t>C
WPCP Count</t>
  </si>
  <si>
    <t>D
RPCP Count</t>
  </si>
  <si>
    <t>5-Year-Old K</t>
  </si>
  <si>
    <t>4-Year-Old K</t>
  </si>
  <si>
    <t>F
Difference</t>
  </si>
  <si>
    <t>CHOICE PUPILS BY PROGRAM</t>
  </si>
  <si>
    <t>Highest Pupil Count</t>
  </si>
  <si>
    <t>E
High Count</t>
  </si>
  <si>
    <t>SCHEDULE 6</t>
  </si>
  <si>
    <t>SCHEDULE 4</t>
  </si>
  <si>
    <t>SCHEDULE 3</t>
  </si>
  <si>
    <r>
      <t xml:space="preserve">Eligible Education Expenses </t>
    </r>
    <r>
      <rPr>
        <i/>
        <sz val="8"/>
        <rFont val="Arial"/>
        <family val="2"/>
      </rPr>
      <t>Excluding Ln 15</t>
    </r>
  </si>
  <si>
    <t>Sch 3-1 and/or Sch 3-2 include SNSP expenses but the school isn't participating in SNSP</t>
  </si>
  <si>
    <t>Missing Information</t>
  </si>
  <si>
    <t>Missing % School</t>
  </si>
  <si>
    <t>Missing Yrs of Service</t>
  </si>
  <si>
    <t>SCHEDULE 5</t>
  </si>
  <si>
    <t>LOCATIONS</t>
  </si>
  <si>
    <t>The locations of the school have not been entered on Schedule 5-2</t>
  </si>
  <si>
    <t>The explanation of how the school will fund summer expenditures has not been included</t>
  </si>
  <si>
    <t>SCHEDULE 7</t>
  </si>
  <si>
    <r>
      <t>Tuition &amp; Fees</t>
    </r>
    <r>
      <rPr>
        <i/>
        <sz val="8"/>
        <rFont val="Arial"/>
        <family val="2"/>
      </rPr>
      <t xml:space="preserve"> Sch 4-1</t>
    </r>
  </si>
  <si>
    <r>
      <t>Government Assistance</t>
    </r>
    <r>
      <rPr>
        <i/>
        <sz val="8"/>
        <rFont val="Arial"/>
        <family val="2"/>
      </rPr>
      <t xml:space="preserve"> Sch 4-1</t>
    </r>
  </si>
  <si>
    <r>
      <t xml:space="preserve">Salaries </t>
    </r>
    <r>
      <rPr>
        <i/>
        <sz val="8"/>
        <rFont val="Arial"/>
        <family val="2"/>
      </rPr>
      <t>Sch 3-1</t>
    </r>
  </si>
  <si>
    <r>
      <t>FICA, Medicare, &amp; Unemployment Taxes</t>
    </r>
    <r>
      <rPr>
        <i/>
        <sz val="8"/>
        <rFont val="Arial"/>
        <family val="2"/>
      </rPr>
      <t xml:space="preserve"> Sch 3-1</t>
    </r>
  </si>
  <si>
    <r>
      <t xml:space="preserve">Employer Paid Benefits </t>
    </r>
    <r>
      <rPr>
        <i/>
        <sz val="8"/>
        <rFont val="Arial"/>
        <family val="2"/>
      </rPr>
      <t>Sch 3-1</t>
    </r>
  </si>
  <si>
    <r>
      <t>Utilities &amp; Supplies</t>
    </r>
    <r>
      <rPr>
        <i/>
        <sz val="8"/>
        <rFont val="Arial"/>
        <family val="2"/>
      </rPr>
      <t xml:space="preserve"> Sch 3-2</t>
    </r>
  </si>
  <si>
    <r>
      <t xml:space="preserve">Non Eligible Expenses </t>
    </r>
    <r>
      <rPr>
        <i/>
        <sz val="8"/>
        <rFont val="Arial"/>
        <family val="2"/>
      </rPr>
      <t>Sch 3-2</t>
    </r>
  </si>
  <si>
    <r>
      <t xml:space="preserve">D
Provider Name </t>
    </r>
    <r>
      <rPr>
        <i/>
        <sz val="8"/>
        <rFont val="Arial"/>
        <family val="2"/>
      </rPr>
      <t>If not known, insert TBD</t>
    </r>
  </si>
  <si>
    <t>Name Missing</t>
  </si>
  <si>
    <r>
      <t xml:space="preserve">Endowment Fund Income </t>
    </r>
    <r>
      <rPr>
        <i/>
        <sz val="8"/>
        <rFont val="Arial"/>
        <family val="2"/>
      </rPr>
      <t>Sch 4-3</t>
    </r>
  </si>
  <si>
    <r>
      <t xml:space="preserve">Other Investment Income </t>
    </r>
    <r>
      <rPr>
        <i/>
        <sz val="8"/>
        <rFont val="Arial"/>
        <family val="2"/>
      </rPr>
      <t>Sch 4-3</t>
    </r>
  </si>
  <si>
    <t>ENDING CASH BALANCE WITHOUT SNSP REVENUE</t>
  </si>
  <si>
    <t>ENDING CASH BALANCE WITHOUT SNSP</t>
  </si>
  <si>
    <r>
      <t xml:space="preserve">Debt Principal &amp; Interest Payments </t>
    </r>
    <r>
      <rPr>
        <i/>
        <sz val="8"/>
        <rFont val="Arial"/>
        <family val="2"/>
      </rPr>
      <t>Sch 6</t>
    </r>
  </si>
  <si>
    <t>TOTAL INVESTMENTS</t>
  </si>
  <si>
    <t>A
Name of Fund/Banking Institute</t>
  </si>
  <si>
    <t>Prepaid Expenses</t>
  </si>
  <si>
    <t>Accumulated Depreciation</t>
  </si>
  <si>
    <t>TOTAL OPERATING EXPENSES</t>
  </si>
  <si>
    <t>Eligible Education Expenses</t>
  </si>
  <si>
    <t>Net Eligible Education Expenses for All Pupils</t>
  </si>
  <si>
    <t>Remaining Depreciation on Fixed Assets</t>
  </si>
  <si>
    <t>SCHEDULE 10: RESERVE BALANCES</t>
  </si>
  <si>
    <t>B
Choice</t>
  </si>
  <si>
    <t>C
SNSP</t>
  </si>
  <si>
    <t>Prior Year Reserve Balance</t>
  </si>
  <si>
    <t>Net Eligible Education Expenses for Program Participants</t>
  </si>
  <si>
    <t>A
Item</t>
  </si>
  <si>
    <t>B
Amount</t>
  </si>
  <si>
    <t>Total Net Eligible Education Expenses for Program Participants</t>
  </si>
  <si>
    <t>RESERVE BALANCE CALCULATION</t>
  </si>
  <si>
    <t>REQUIRED CASH &amp; INVESTMENT BALANCE</t>
  </si>
  <si>
    <t>Percentage of Pupils in Program</t>
  </si>
  <si>
    <t>TOTAL REQUIRED CASH AND INVESTMENT BALANCE</t>
  </si>
  <si>
    <t>Schedule 1 has not been completed</t>
  </si>
  <si>
    <t>CONTINGENCY FUNDING REQUIRED ATTACHMENTS</t>
  </si>
  <si>
    <t>Daycare breakfast, lunch, milk or snack</t>
  </si>
  <si>
    <t>B
Average Received per Pupil</t>
  </si>
  <si>
    <t>This report is a requirement of s. 119.23, Wis. Stat. for MPCP,</t>
  </si>
  <si>
    <t>Classroom configurations by classroom that indicates the number of students and their grade(s), number of teachers, and number of teacher's aides in each classroom.</t>
  </si>
  <si>
    <t>TOTAL CASH RECEIPTS &amp; PAYMENTS</t>
  </si>
  <si>
    <t>If average salaries is less than $20,000, an explanation is required on Sch 11:</t>
  </si>
  <si>
    <t>Cash payments equal rollforward?</t>
  </si>
  <si>
    <r>
      <t xml:space="preserve">Contributions, Non-Gvmt Grants, Fundraising, &amp; Church Offerings </t>
    </r>
    <r>
      <rPr>
        <i/>
        <sz val="8"/>
        <rFont val="Arial"/>
        <family val="2"/>
      </rPr>
      <t>Sch 4-2</t>
    </r>
  </si>
  <si>
    <t>FINANCING SOURCES REDUCTIONS</t>
  </si>
  <si>
    <t>DEBT CHANGES</t>
  </si>
  <si>
    <t>CURRENT BUDGET BALANCE</t>
  </si>
  <si>
    <t>COST CHANGES</t>
  </si>
  <si>
    <t>Expected Unemployment</t>
  </si>
  <si>
    <t>Unemployment Difference</t>
  </si>
  <si>
    <t>FTE Change</t>
  </si>
  <si>
    <t>Lowest Count</t>
  </si>
  <si>
    <t>HISTORICAL PUPIL COUNTS</t>
  </si>
  <si>
    <t>HISTORICAL AVERAGE TUITION</t>
  </si>
  <si>
    <t>TUITION PAYING PUPILS</t>
  </si>
  <si>
    <r>
      <t xml:space="preserve">Services, Contractor &amp; Other Expenses 
</t>
    </r>
    <r>
      <rPr>
        <i/>
        <sz val="8"/>
        <rFont val="Arial"/>
        <family val="2"/>
      </rPr>
      <t>Sch 3-3</t>
    </r>
  </si>
  <si>
    <t>SCHEDULE 12-2: LOW BUDGET</t>
  </si>
  <si>
    <t>5) What fees are charged to Choice pupils?</t>
  </si>
  <si>
    <t>6) What is included in other fees charged?</t>
  </si>
  <si>
    <t>TOTAL BUDGET BALANCE (DEFICIT)</t>
  </si>
  <si>
    <t>Uncollectable Accounts</t>
  </si>
  <si>
    <t>Month of Hire Completed</t>
  </si>
  <si>
    <t>The net of the category changes on Schedule 7-1 must be 0</t>
  </si>
  <si>
    <t>QUESTION COMPLETED</t>
  </si>
  <si>
    <t>2b) If 2a is yes, what is the name of the church?</t>
  </si>
  <si>
    <t>3a) Is the school part of a synod, archdiocese, or other association of churches?</t>
  </si>
  <si>
    <t>3b) If 3a is yes, what is the name of the association?</t>
  </si>
  <si>
    <t>Total Number of Errors</t>
  </si>
  <si>
    <t>Missing Responses</t>
  </si>
  <si>
    <t>Schedule 11-1 has not been completed</t>
  </si>
  <si>
    <t>Schedule 12-1 and/or 12-2 have not been completed</t>
  </si>
  <si>
    <r>
      <t>C
3rd Friday</t>
    </r>
    <r>
      <rPr>
        <b/>
        <sz val="8"/>
        <color indexed="10"/>
        <rFont val="Arial"/>
        <family val="2"/>
      </rPr>
      <t xml:space="preserve"> </t>
    </r>
    <r>
      <rPr>
        <b/>
        <sz val="8"/>
        <rFont val="Arial"/>
        <family val="2"/>
      </rPr>
      <t>Sept Count</t>
    </r>
  </si>
  <si>
    <r>
      <t xml:space="preserve">Short-Term Investments </t>
    </r>
    <r>
      <rPr>
        <b/>
        <sz val="8"/>
        <color indexed="30"/>
        <rFont val="Arial"/>
        <family val="2"/>
      </rPr>
      <t>(A)</t>
    </r>
  </si>
  <si>
    <r>
      <t xml:space="preserve">Long Term Investments </t>
    </r>
    <r>
      <rPr>
        <b/>
        <sz val="8"/>
        <color indexed="30"/>
        <rFont val="Arial"/>
        <family val="2"/>
      </rPr>
      <t>(A)</t>
    </r>
  </si>
  <si>
    <r>
      <rPr>
        <b/>
        <u val="single"/>
        <sz val="10"/>
        <rFont val="Arial"/>
        <family val="2"/>
      </rPr>
      <t>Step 1-Cover Page</t>
    </r>
    <r>
      <rPr>
        <sz val="10"/>
        <rFont val="Arial"/>
        <family val="2"/>
      </rPr>
      <t>: Complete the Cover page with all required information.</t>
    </r>
  </si>
  <si>
    <t>The cash and investment balance must be at least as much as the reserve balance (Schedule 10)</t>
  </si>
  <si>
    <t>Cash &amp; Investment Balance</t>
  </si>
  <si>
    <t>Number of Corrections Required</t>
  </si>
  <si>
    <t>Detail Matches Sch 7-1</t>
  </si>
  <si>
    <t>The detail on Schedule 7-2 must match Schedule 7-1</t>
  </si>
  <si>
    <t xml:space="preserve">Explain below what employees are included in Other Employees (Line 11). </t>
  </si>
  <si>
    <t>Debt Outstanding? (see comment)</t>
  </si>
  <si>
    <t>The budget does not include any cost or very little cost for books and other educational media. Explain how pupils will be provided with books and other educational media.</t>
  </si>
  <si>
    <t>The budget does not include any cost or very little cost for equipment. Explain how the school will be equipped with pupil desks, administrative desks and other equipment.</t>
  </si>
  <si>
    <t>Total</t>
  </si>
  <si>
    <t>Administrative Staff</t>
  </si>
  <si>
    <t>The explanation for educational media and/or equipment must be completed on Schedule 5-2</t>
  </si>
  <si>
    <t>Debt information has not been included</t>
  </si>
  <si>
    <t>Describe any changes in the timing of cash receipts and cash payments.</t>
  </si>
  <si>
    <t>Average MPCP Count</t>
  </si>
  <si>
    <t>Average WPCP Count</t>
  </si>
  <si>
    <t>Average RPCP Count</t>
  </si>
  <si>
    <t>4-Year-Old K-No Outreach</t>
  </si>
  <si>
    <t>4-Year-Old K + Outreach</t>
  </si>
  <si>
    <t>Average FTE</t>
  </si>
  <si>
    <t>H</t>
  </si>
  <si>
    <t>The school may not indicate any required questions are not applicable (N/A). If additional space is needed, attach an additional page and indicate see attached page in the space below.</t>
  </si>
  <si>
    <t>8d)</t>
  </si>
  <si>
    <t>8e)</t>
  </si>
  <si>
    <t>8f)</t>
  </si>
  <si>
    <t>6b) If 6a is yes, describe them below and attach documentation from the other party related to these amounts.</t>
  </si>
  <si>
    <t>FICA &amp; Medicare Expenses</t>
  </si>
  <si>
    <t>K-12 Before &amp; After School Care Only Staff</t>
  </si>
  <si>
    <t>CATEGORY CHANGES &amp; FORGIVEN LIABILITIES</t>
  </si>
  <si>
    <t>SNSP Revenue</t>
  </si>
  <si>
    <r>
      <t xml:space="preserve">Payroll Related Costs </t>
    </r>
    <r>
      <rPr>
        <i/>
        <sz val="8"/>
        <rFont val="Arial"/>
        <family val="2"/>
      </rPr>
      <t>Sch 3-1</t>
    </r>
  </si>
  <si>
    <r>
      <t xml:space="preserve">Less: Debt Principal &amp; Interest Payments Owed </t>
    </r>
    <r>
      <rPr>
        <i/>
        <sz val="8"/>
        <rFont val="Arial"/>
        <family val="2"/>
      </rPr>
      <t>Sch 6</t>
    </r>
  </si>
  <si>
    <r>
      <t xml:space="preserve">Plus: Principal Incurred </t>
    </r>
    <r>
      <rPr>
        <i/>
        <sz val="8"/>
        <rFont val="Arial"/>
        <family val="2"/>
      </rPr>
      <t>Sch 6</t>
    </r>
  </si>
  <si>
    <t>TOTAL BUDGET BALANCE (DEFICIT) WITHOUT SNSP REVENUE</t>
  </si>
  <si>
    <t>SCHEDULE 11-1: BUDGET QUESTIONAIRE</t>
  </si>
  <si>
    <t>1a) If the school is exempt from Department of Workforce Development (DWD) unemployment insurance indicate why they are exempt. Additionally, if the school is using the reimbursement financing option with the DWD, indicate this here.</t>
  </si>
  <si>
    <t>B
Source Type</t>
  </si>
  <si>
    <t>C
Amount Available for Contingency Funds</t>
  </si>
  <si>
    <t>SCHEDULE 12-1: LOW BUDGET</t>
  </si>
  <si>
    <r>
      <t xml:space="preserve">A
Name of Source </t>
    </r>
    <r>
      <rPr>
        <i/>
        <sz val="8"/>
        <rFont val="Arial"/>
        <family val="2"/>
      </rPr>
      <t>General descriptions such as "bank account" are insufficient.</t>
    </r>
  </si>
  <si>
    <t>Government Assistance Explanation</t>
  </si>
  <si>
    <t>Borrowing incurred does not equal cash receipts</t>
  </si>
  <si>
    <t>Principal and/or interest paid does not equal principal and/or interest cash payments</t>
  </si>
  <si>
    <t>The percent relating to school has not been included for each debt on Schedule 6</t>
  </si>
  <si>
    <t>School Use % Missing</t>
  </si>
  <si>
    <r>
      <t xml:space="preserve">Borrowing </t>
    </r>
    <r>
      <rPr>
        <i/>
        <sz val="8"/>
        <rFont val="Arial"/>
        <family val="2"/>
      </rPr>
      <t>Sch 6</t>
    </r>
  </si>
  <si>
    <t>Church in #2b is the operating organization</t>
  </si>
  <si>
    <t>B
% School Related</t>
  </si>
  <si>
    <t>D
Principal Incurred</t>
  </si>
  <si>
    <t>E
Principal Paid</t>
  </si>
  <si>
    <t>F
Amount Forgiven</t>
  </si>
  <si>
    <r>
      <t xml:space="preserve">Total Payroll Costs </t>
    </r>
    <r>
      <rPr>
        <i/>
        <sz val="8"/>
        <rFont val="Arial"/>
        <family val="2"/>
      </rPr>
      <t>Sch 3-1</t>
    </r>
  </si>
  <si>
    <r>
      <t xml:space="preserve">Utilities </t>
    </r>
    <r>
      <rPr>
        <i/>
        <sz val="8"/>
        <rFont val="Arial"/>
        <family val="2"/>
      </rPr>
      <t>Sch 3-2</t>
    </r>
  </si>
  <si>
    <r>
      <t xml:space="preserve">Supplies </t>
    </r>
    <r>
      <rPr>
        <i/>
        <sz val="8"/>
        <rFont val="Arial"/>
        <family val="2"/>
      </rPr>
      <t>Sch 3-2</t>
    </r>
  </si>
  <si>
    <r>
      <t xml:space="preserve">Non-Eligible Expenses </t>
    </r>
    <r>
      <rPr>
        <i/>
        <sz val="8"/>
        <rFont val="Arial"/>
        <family val="2"/>
      </rPr>
      <t>Sch 3-2</t>
    </r>
  </si>
  <si>
    <r>
      <t xml:space="preserve">Insurance </t>
    </r>
    <r>
      <rPr>
        <i/>
        <sz val="8"/>
        <rFont val="Arial"/>
        <family val="2"/>
      </rPr>
      <t>Sch 3-2</t>
    </r>
  </si>
  <si>
    <r>
      <t xml:space="preserve">Services </t>
    </r>
    <r>
      <rPr>
        <i/>
        <sz val="8"/>
        <rFont val="Arial"/>
        <family val="2"/>
      </rPr>
      <t>Sch 3-3</t>
    </r>
  </si>
  <si>
    <r>
      <t>Contractor</t>
    </r>
    <r>
      <rPr>
        <i/>
        <sz val="8"/>
        <rFont val="Arial"/>
        <family val="2"/>
      </rPr>
      <t xml:space="preserve"> Sch 3-3</t>
    </r>
  </si>
  <si>
    <r>
      <t xml:space="preserve">Other Expenses </t>
    </r>
    <r>
      <rPr>
        <i/>
        <sz val="8"/>
        <rFont val="Arial"/>
        <family val="2"/>
      </rPr>
      <t>Sch 3-3</t>
    </r>
  </si>
  <si>
    <t>Government Food Service-Breakfast</t>
  </si>
  <si>
    <t>Government Food Service-Lunch</t>
  </si>
  <si>
    <t>Government Food Service-Milk</t>
  </si>
  <si>
    <t>8h)</t>
  </si>
  <si>
    <t>8i)</t>
  </si>
  <si>
    <t>Other Contracted Food Costs</t>
  </si>
  <si>
    <t>D
Number of Days Served</t>
  </si>
  <si>
    <t>E
Total Revenue</t>
  </si>
  <si>
    <t>F
Offsetting Revenue</t>
  </si>
  <si>
    <t>School breakfast, lunch, or milk</t>
  </si>
  <si>
    <t>TOTAL CHOICE &amp; SNSP REVENUE</t>
  </si>
  <si>
    <t>TOTAL NON-CHOICE REVENUE</t>
  </si>
  <si>
    <t>5a) Select the explanation of the operating organization of the school from the drop down.</t>
  </si>
  <si>
    <t>2a) Is the school affiliated with a church?</t>
  </si>
  <si>
    <t>Food for church</t>
  </si>
  <si>
    <t>SCHEDULE 5-1: FIXED ASSETS</t>
  </si>
  <si>
    <t>Retain a copy of the final budget submitted for your records and for subsequent revisions.</t>
  </si>
  <si>
    <t>Documents establishing the endowment fund for endowment funds used as contingency funding.</t>
  </si>
  <si>
    <r>
      <t xml:space="preserve">Category Changes </t>
    </r>
    <r>
      <rPr>
        <b/>
        <sz val="8"/>
        <color indexed="30"/>
        <rFont val="Arial"/>
        <family val="2"/>
      </rPr>
      <t>(A)</t>
    </r>
  </si>
  <si>
    <r>
      <t xml:space="preserve">Forgiven Liabilities </t>
    </r>
    <r>
      <rPr>
        <b/>
        <sz val="8"/>
        <color indexed="30"/>
        <rFont val="Arial"/>
        <family val="2"/>
      </rPr>
      <t>(A)</t>
    </r>
  </si>
  <si>
    <r>
      <rPr>
        <b/>
        <sz val="8"/>
        <color indexed="30"/>
        <rFont val="Arial"/>
        <family val="2"/>
      </rPr>
      <t>(A)</t>
    </r>
    <r>
      <rPr>
        <b/>
        <sz val="8"/>
        <rFont val="Arial"/>
        <family val="2"/>
      </rPr>
      <t xml:space="preserve"> </t>
    </r>
    <r>
      <rPr>
        <sz val="8"/>
        <rFont val="Arial"/>
        <family val="2"/>
      </rPr>
      <t>Include a description of what is included in Schedule 7-2.</t>
    </r>
  </si>
  <si>
    <t>Instructions: All previous budget schedules must be completed prior to completing this schedule. Schools must answer all questions where a required response is indicated. The school may not indicate any required questions are Not Applicable (N/A). If a school feels a question is not relevant, the answer must explain why. If additional space is needed, attach an additional page.</t>
  </si>
  <si>
    <t>A
Type</t>
  </si>
  <si>
    <t>B
Number Served Per Day</t>
  </si>
  <si>
    <t>C
Eligible Education Expenses</t>
  </si>
  <si>
    <r>
      <t xml:space="preserve">B
Name(s) of Source(s) </t>
    </r>
    <r>
      <rPr>
        <i/>
        <sz val="8"/>
        <rFont val="Arial"/>
        <family val="2"/>
      </rPr>
      <t>If related to rent or property sales, identify the location being rented or sold</t>
    </r>
  </si>
  <si>
    <r>
      <t xml:space="preserve">A
Type of Revenue Explanation
</t>
    </r>
    <r>
      <rPr>
        <i/>
        <sz val="8"/>
        <rFont val="Arial"/>
        <family val="2"/>
      </rPr>
      <t>e.g. rental revenue</t>
    </r>
  </si>
  <si>
    <r>
      <t>SCHEDULE 4-4: OTHER</t>
    </r>
    <r>
      <rPr>
        <b/>
        <sz val="8"/>
        <color indexed="10"/>
        <rFont val="Arial"/>
        <family val="2"/>
      </rPr>
      <t xml:space="preserve"> </t>
    </r>
    <r>
      <rPr>
        <b/>
        <sz val="8"/>
        <rFont val="Arial"/>
        <family val="2"/>
      </rPr>
      <t>REVENUE</t>
    </r>
  </si>
  <si>
    <t>Current Year Program Revenue Received</t>
  </si>
  <si>
    <t>REQUIRED</t>
  </si>
  <si>
    <t>D
Purchases</t>
  </si>
  <si>
    <t>The budget must be completed using Microsoft Excel. The school should not use Google docs. No formatting changes to the budget may be made. This includes changes to the headers or footers or changes to the page set up (what is printed or if it is printed in landscape or portrait).
If you have questions, email dpichoiceauditreports@dpi.wi.gov.</t>
  </si>
  <si>
    <t>Private School Choice Programs &amp; Special Needs Scholarship Program</t>
  </si>
  <si>
    <t>Letter from the Department of Workforce Development indicating the school is using the reimbursement financing option for unemployment compensation. (Schedule 11-1, question 1a)</t>
  </si>
  <si>
    <t>2c) If 2a is yes, do the church and school have the same federal tax id number?</t>
  </si>
  <si>
    <t>8b) How will the food service be provided (check all that apply)?</t>
  </si>
  <si>
    <t>D
Contractor Cost Per Meal or Milk</t>
  </si>
  <si>
    <t>The bad debt expense on Schedule 3-2 does not equal the uncollectable accounts column on Schedule 7-1</t>
  </si>
  <si>
    <t>A
Position Categories</t>
  </si>
  <si>
    <t>NET ASSETS</t>
  </si>
  <si>
    <t>SCHEDULE 7-1: NET ASSETS</t>
  </si>
  <si>
    <t>SCHEDULE 7-2: NET ASSETS DETAIL</t>
  </si>
  <si>
    <t>Summer School Program Revenue Received</t>
  </si>
  <si>
    <t>Total Program Revenue Available</t>
  </si>
  <si>
    <t>4) If any of the average salaries for an employee category on Sch 3-1, Lines 1-11 are less than $20,000 explain how much the employees in the category are paid and the average number of hours worked per week.</t>
  </si>
  <si>
    <t>SCHEDULE 11-2: PUPIL QUESTIONS</t>
  </si>
  <si>
    <r>
      <t xml:space="preserve">Choice Revenue </t>
    </r>
    <r>
      <rPr>
        <i/>
        <sz val="8"/>
        <rFont val="Arial"/>
        <family val="2"/>
      </rPr>
      <t>Sch 2 &amp; 12-1</t>
    </r>
  </si>
  <si>
    <r>
      <t xml:space="preserve">SNSP Revenue </t>
    </r>
    <r>
      <rPr>
        <i/>
        <sz val="8"/>
        <rFont val="Arial"/>
        <family val="2"/>
      </rPr>
      <t>Sch 2 &amp; 12-1</t>
    </r>
  </si>
  <si>
    <t>Classrooms &amp; non-school use</t>
  </si>
  <si>
    <t>Completion of the Budget Report &amp; Anticipated Cash Flows</t>
  </si>
  <si>
    <t>The budget must include all balances for the legal entity of the school. The legal entity of the school is the organization with the same Federal tax id number as the school.</t>
  </si>
  <si>
    <t>School district provides and charges the school</t>
  </si>
  <si>
    <t>Classroom Teacher Aides</t>
  </si>
  <si>
    <t>TOTAL AMOUNT TO BE RECEIVED OR PAID</t>
  </si>
  <si>
    <t>The total cash receipts and payments that must be included in the cash flow are included in Line 21.  Line 21 must equal line 34. If the amounts do not match an error message will show at the bottom of the schedule.</t>
  </si>
  <si>
    <t>Eligible Cost</t>
  </si>
  <si>
    <t>Schedule 11-2 has not been completed</t>
  </si>
  <si>
    <t>Daycare/Preschool Tuition &amp; Fees</t>
  </si>
  <si>
    <t>Less: Fundraising Revenue up to Non-Administrative Fundraising Expenses in Line 5</t>
  </si>
  <si>
    <t>Less: Fundraising Revenue up to Non-Administrative Fundraising Expenses in Line 13</t>
  </si>
  <si>
    <t>Less: Government Assistance Received for Eligible Education Expenses</t>
  </si>
  <si>
    <t>Less: Insurance Proceeds Received for Eligible Education Expenses</t>
  </si>
  <si>
    <t>TOTAL SNSP PUPILS</t>
  </si>
  <si>
    <t>What are the school's plans to reach the number of Choice/SNSP students included in the budget?</t>
  </si>
  <si>
    <t>Place an "X" next to the reason(s) the school is completing this budget.</t>
  </si>
  <si>
    <t>B
Total HC</t>
  </si>
  <si>
    <t>Consultant, Legal &amp; Other Services</t>
  </si>
  <si>
    <t>Marketing &amp; Continuing Ed</t>
  </si>
  <si>
    <t>Non-Administrative Fundraising Expenses</t>
  </si>
  <si>
    <r>
      <t xml:space="preserve">Food Service Supplies </t>
    </r>
    <r>
      <rPr>
        <i/>
        <sz val="8"/>
        <rFont val="Arial"/>
        <family val="2"/>
      </rPr>
      <t>Sch 1, Ln 8i</t>
    </r>
  </si>
  <si>
    <r>
      <t xml:space="preserve">A
Item Description
</t>
    </r>
    <r>
      <rPr>
        <i/>
        <sz val="8"/>
        <rFont val="Arial"/>
        <family val="2"/>
      </rPr>
      <t>Do not include revenue from the Choice program or SNSP.</t>
    </r>
  </si>
  <si>
    <t>SNSP FULL SCHOLARSHIP ANTICIPATED ENROLLMENTS</t>
  </si>
  <si>
    <t>SNSP PARTIAL SCHOLARSHIP ANTICIPATED ENROLLMENTS</t>
  </si>
  <si>
    <t>TOTAL K4-8 FULL SCHOLARSHIP PUPILS</t>
  </si>
  <si>
    <t>TOTAL FULL SCHOLARSHIP PUPILS</t>
  </si>
  <si>
    <t>TOTAL K4-8 PARTIAL SCHOLARSHIP PUPILS</t>
  </si>
  <si>
    <t>TOTAL PARTIAL SCHOLARSHIP PUPILS</t>
  </si>
  <si>
    <t>Used in Sch 8</t>
  </si>
  <si>
    <t>All Pupil Higher than Choice &amp; SNSP</t>
  </si>
  <si>
    <r>
      <t>3rd Friday</t>
    </r>
    <r>
      <rPr>
        <b/>
        <sz val="8"/>
        <color indexed="10"/>
        <rFont val="Arial"/>
        <family val="2"/>
      </rPr>
      <t xml:space="preserve"> </t>
    </r>
    <r>
      <rPr>
        <b/>
        <sz val="8"/>
        <rFont val="Arial"/>
        <family val="2"/>
      </rPr>
      <t>Sept Count</t>
    </r>
  </si>
  <si>
    <t>2nd Friday Jan Count</t>
  </si>
  <si>
    <t>SCHEDULE 2-1, 2-2, AND 2-3</t>
  </si>
  <si>
    <t>Planned outreach activities totaling 87.5 hours must be included on Schedule 2-3</t>
  </si>
  <si>
    <t>The school has indicated a contractor will provide transportation but no transportation costs are included</t>
  </si>
  <si>
    <t>Name of Source or Description of Fundraising</t>
  </si>
  <si>
    <t>Written</t>
  </si>
  <si>
    <t>Fund-
raising</t>
  </si>
  <si>
    <t>Expenses must be included for an auditor</t>
  </si>
  <si>
    <t>No errors may be included on the error report.</t>
  </si>
  <si>
    <t xml:space="preserve"> II.  REASON COMPLETING BUDGET</t>
  </si>
  <si>
    <t>III.  COMPLETENESS REQUIREMENTS</t>
  </si>
  <si>
    <t xml:space="preserve"> IV.  SIGNATURE</t>
  </si>
  <si>
    <t>V.  INDIVIDUAL PREPARING REPORT</t>
  </si>
  <si>
    <t>3rd party contracted by school</t>
  </si>
  <si>
    <t>3rd party paid for directly by pupils</t>
  </si>
  <si>
    <t>School district provides at a cost</t>
  </si>
  <si>
    <t>Complete Food Service Supplies</t>
  </si>
  <si>
    <t>Complete question 8b</t>
  </si>
  <si>
    <t>Complete question 8a</t>
  </si>
  <si>
    <t>Complete question 7b</t>
  </si>
  <si>
    <t>Complete question 7a</t>
  </si>
  <si>
    <t>Complete question 6a</t>
  </si>
  <si>
    <t>Complete question 6b</t>
  </si>
  <si>
    <t>Complete question 1</t>
  </si>
  <si>
    <t>Complete question 2a</t>
  </si>
  <si>
    <t>Complete question 2b</t>
  </si>
  <si>
    <t>Complete question 2c</t>
  </si>
  <si>
    <t>Complete question 3a</t>
  </si>
  <si>
    <t>Complete question 4a</t>
  </si>
  <si>
    <t>Complete question 4b</t>
  </si>
  <si>
    <t>Complete question 5a</t>
  </si>
  <si>
    <t>Complete question 5b</t>
  </si>
  <si>
    <t>Complete number served by day and number of days (Cols B and C, Lns 8d-8f)</t>
  </si>
  <si>
    <t>Complete contractor costs (Col D, Lns 8d-8f and Cols B and C, Ln 8h)</t>
  </si>
  <si>
    <t>End of 3 Years Previous</t>
  </si>
  <si>
    <t>School year prior</t>
  </si>
  <si>
    <t>Missing Accumulated Depreciation</t>
  </si>
  <si>
    <t>Missing Additional Depreciation</t>
  </si>
  <si>
    <t>The school must indicate the reason the budget is being completed</t>
  </si>
  <si>
    <t>The school must revise the reasons the budget is being completed</t>
  </si>
  <si>
    <t>SCHEDULE 12-2</t>
  </si>
  <si>
    <t>See Schedule 12-1 for instructions. No revenue increases may be included in this schedule. Any increases in revenue must be included in Schedule 12-1 in the contingency funding section. The low budget defaults to the current budget for every line except tuition and fees and government assisance (Lines 12 &amp; 13) since they are dependent on the number of pupils. If no revenue will be received from these sources, 0 must be inserted. Change Column B as needed for any decreases that will be made.  Include an explanation in E for any differences.</t>
  </si>
  <si>
    <t>TOTAL DEBT</t>
  </si>
  <si>
    <r>
      <t xml:space="preserve">The budget is </t>
    </r>
    <r>
      <rPr>
        <b/>
        <sz val="8"/>
        <rFont val="Arial"/>
        <family val="2"/>
      </rPr>
      <t>received</t>
    </r>
    <r>
      <rPr>
        <sz val="8"/>
        <rFont val="Arial"/>
        <family val="2"/>
      </rPr>
      <t xml:space="preserve"> by DPI no later than the required due date.</t>
    </r>
  </si>
  <si>
    <t>The budget submitted to the DPI is the final school version. Drafts are not acceptable.</t>
  </si>
  <si>
    <t>The budget has been completed at the legal entity level, meaning it includes all balances and activity for the organization with the same Federal Tax ID number as the school.</t>
  </si>
  <si>
    <t>First year</t>
  </si>
  <si>
    <t xml:space="preserve">s. 118.60, Wis. Stat for RPCP and WPCP, </t>
  </si>
  <si>
    <t>and s. 115.7915 for SNSP.</t>
  </si>
  <si>
    <t>Refer to detailed instructions on the "Instructions" tab.  See the instructions for due dates.</t>
  </si>
  <si>
    <t>The cells in the spreadsheet have been protected so that data can only be entered in cells that need information. Use the tab key, arrows or mouse to move to the cells that will accept an entry. The school can only enter information in the cells highlighted in yellow. Do not use the space bar to delete information in a cell. Use the delete key or backspace to remove information in any cell.</t>
  </si>
  <si>
    <r>
      <rPr>
        <b/>
        <u val="single"/>
        <sz val="10"/>
        <rFont val="Arial"/>
        <family val="2"/>
      </rPr>
      <t>Step 4-K4 Outreach</t>
    </r>
    <r>
      <rPr>
        <sz val="10"/>
        <rFont val="Arial"/>
        <family val="2"/>
      </rPr>
      <t>: If the school has included K4 students in the K4 plus outreach category, the school must include at least 87.5 hours of parental outreach that will be provided to the K4 parents and caregivers on Schedule 2-3.</t>
    </r>
  </si>
  <si>
    <t>Buildings &amp; Land Improvements</t>
  </si>
  <si>
    <r>
      <rPr>
        <b/>
        <u val="single"/>
        <sz val="10"/>
        <rFont val="Arial"/>
        <family val="2"/>
      </rPr>
      <t>Step 14-Complete the Low Budget (not required if completing the budget for SNSP purposes)</t>
    </r>
    <r>
      <rPr>
        <sz val="10"/>
        <rFont val="Arial"/>
        <family val="2"/>
      </rPr>
      <t>: The low budget on Schedule 12-1 will automatically fill in the all pupil count that must be used for the low budget. The school must insert the lowest Choice pupil count on Schedule 12-1 at which the school would participate in the Choice program and at which the school can operate. The school must then input the adjusted budget on Schedule 12-2 and sources of contingency funding the school would use in Schedule 12-1.</t>
    </r>
  </si>
  <si>
    <t>SNSP INDICATORS</t>
  </si>
  <si>
    <r>
      <t xml:space="preserve">Net Assets without SNSP Revenue </t>
    </r>
    <r>
      <rPr>
        <i/>
        <sz val="8"/>
        <rFont val="Arial"/>
        <family val="2"/>
      </rPr>
      <t>The amount must be positive to meet the SNSP financial requirement</t>
    </r>
  </si>
  <si>
    <r>
      <t xml:space="preserve">Net Current Obligation without SNSP Revenue </t>
    </r>
    <r>
      <rPr>
        <i/>
        <sz val="8"/>
        <rFont val="Arial"/>
        <family val="2"/>
      </rPr>
      <t>The amount must be positive to meet the SNSP financial requirement</t>
    </r>
  </si>
  <si>
    <t>GENERAL ATTACHMENTS</t>
  </si>
  <si>
    <t>SCHEDULE 2-3: OUTREACH ACTIVITIES SUMMARY</t>
  </si>
  <si>
    <t>C
Teaching FTE</t>
  </si>
  <si>
    <t>SCHEDULE 2-1: ANTICIPATED ENROLLMENTS</t>
  </si>
  <si>
    <t>SCHEDULE 2-2: SPECIAL NEEDS SCHOLARSHIP PROGRAM (SNSP) ANTICIPATED ENROLLMENTS</t>
  </si>
  <si>
    <t>D
Month of Hire</t>
  </si>
  <si>
    <t>E
Salaries</t>
  </si>
  <si>
    <t>F
Average Salaries</t>
  </si>
  <si>
    <t>SCHEDULE 8-1: ANTICIPATED CASH FLOWS JULY - DECEMBER</t>
  </si>
  <si>
    <t>SCHEDULE 8-2: ANTICIPATED CASH FLOWS JANUARY - JUNE</t>
  </si>
  <si>
    <t>Student Information System</t>
  </si>
  <si>
    <t>Expenses must be included for a student information system</t>
  </si>
  <si>
    <r>
      <t xml:space="preserve">Other Assets </t>
    </r>
    <r>
      <rPr>
        <b/>
        <sz val="8"/>
        <color indexed="30"/>
        <rFont val="Arial"/>
        <family val="2"/>
      </rPr>
      <t>(A)</t>
    </r>
  </si>
  <si>
    <r>
      <t>Other Liabilities</t>
    </r>
    <r>
      <rPr>
        <sz val="8"/>
        <color indexed="30"/>
        <rFont val="Arial"/>
        <family val="2"/>
      </rPr>
      <t xml:space="preserve"> </t>
    </r>
    <r>
      <rPr>
        <b/>
        <sz val="8"/>
        <color indexed="30"/>
        <rFont val="Arial"/>
        <family val="2"/>
      </rPr>
      <t>(A)</t>
    </r>
  </si>
  <si>
    <t>OTHER ASSETS</t>
  </si>
  <si>
    <t>OTHER LIABILITIES</t>
  </si>
  <si>
    <t>TOTAL OTHER LIABILITIES</t>
  </si>
  <si>
    <t>TOTAL OTHER ASSETS</t>
  </si>
  <si>
    <t>A
Income Type</t>
  </si>
  <si>
    <t>ENDOWMENT FUND &amp; OTHER INVESTMENT INCOME</t>
  </si>
  <si>
    <t>Will any positions be eliminated if the school has the lower pupil count identified above?</t>
  </si>
  <si>
    <t>The amount of eligible education expenses must be completed in Schedules 3-1, 3-2, and/or 3-3</t>
  </si>
  <si>
    <t>The cash payments section in Schedules 3-1, 3-2, and/or 3-3 are not completed</t>
  </si>
  <si>
    <t>The cash receipts section in Schedules 4-1, 4-2, and/or 4-3 are not completed</t>
  </si>
  <si>
    <t>The Choice pupil low pupil count is more than the pupil count on Schedule 2-1</t>
  </si>
  <si>
    <t>B
Revenue From Above</t>
  </si>
  <si>
    <t>Long Term Receivables</t>
  </si>
  <si>
    <t>Current Receivables</t>
  </si>
  <si>
    <t>B
Payment Frequency</t>
  </si>
  <si>
    <t>Endowment fund bank statements and documents establishing the endowment fund for any endowment funds included in Schedule 7-2, Lines 1-6 and any endowment funds that have endowment fund income included in Schedule 4-3, Line 1.</t>
  </si>
  <si>
    <t>F
Line of Credit</t>
  </si>
  <si>
    <t>E
Related Party Relationship</t>
  </si>
  <si>
    <t>C
Church Offerings</t>
  </si>
  <si>
    <t>3 years prior</t>
  </si>
  <si>
    <t>2 years prior</t>
  </si>
  <si>
    <t>All errors on this page must be removed except if an email from a DPI auditor specifically excusing the error is submitted with the budget. See the comment on the question mark for information on resolving each error. Please be aware certain errors ensure that different amounts match exactly (including with decimal points).</t>
  </si>
  <si>
    <t>Choice pupils by program does not equal the total Choice pupils count</t>
  </si>
  <si>
    <t>Include a description of what is included in the Investment accounts in Schedule 7-1, Lines 2 and 10. The total for each year must equal the amount on Schedule 7-1, Lines 2 and 10. The description must be sufficient to explain what is included on each line.</t>
  </si>
  <si>
    <t>Include a description of what is included in Other Assets in Schedule 7-1, Line 11. The total for each year must equal the amount on Schedule 7-1, Line 11. The description must be sufficient to explain what is included on each line.</t>
  </si>
  <si>
    <t>If the answer to 13 is yes, what  positions will be eliminated? Who will complete the duties of the eliminated positions?</t>
  </si>
  <si>
    <t>SCHEDULE 12-1</t>
  </si>
  <si>
    <t>I</t>
  </si>
  <si>
    <t>Sch 2-1 Average FTE</t>
  </si>
  <si>
    <t>Sch 2-1 Count Higher Than Low Count</t>
  </si>
  <si>
    <t>The revenue received from tuition and fees and/or government assistance for the low budget must be entered</t>
  </si>
  <si>
    <t>Teaching FTE</t>
  </si>
  <si>
    <t>ACCUMULATED DEPRECIATION ROLLFORWARD</t>
  </si>
  <si>
    <t>Second year</t>
  </si>
  <si>
    <t>Budget School Year</t>
  </si>
  <si>
    <t>Prior School Year</t>
  </si>
  <si>
    <t>2 Years Prior School Year</t>
  </si>
  <si>
    <t>Previous year</t>
  </si>
  <si>
    <t>MANUAL DATE UPDATING REQUIRED:</t>
  </si>
  <si>
    <t>Required attachments 1-3 and 13</t>
  </si>
  <si>
    <t>Schedule 7-1 intro paragraph</t>
  </si>
  <si>
    <t>Include the total costs and education expenses that the legal entity of the school will incur for the school year. Column C may only include eligible education expenses. If a cost partially relates to K-12 educational programming, the school must use an allocation method to determine the cost in Column C. If applicable, the school must include the provider name in Lines 1-3 and 5-7.</t>
  </si>
  <si>
    <t>Insert the Prepaid Expenses and Accounts Payable balances at the beginning of the school year in Lines 18 and 19. Line 20 will then indicate the amount that must be paid during the school year. Include the amount that will be paid for each month in Lines 21-32. If the school will have a Prepaid Expense balance at the end of the school year, insert it in Line 34. Finally, review the year end Accounts Payable balance in Line 35 to determine if it is correct.</t>
  </si>
  <si>
    <t>Insert the Deferred Revenue and Accounts Receivable balances at the beginning of the year in Lines 15 and 16. Line 17 will then indicate the amount to be received during the school year. Include the amount that will be received for each month in Lines 18-29. Insert any Deferred Revenue balance at the end of the year on line 31. Finally, review the year end Accounts Receivable balance in Line 32 to determine if it is correct.</t>
  </si>
  <si>
    <t>Include the total costs and education expenses that the legal entity of the school will incur for the school year. Column C may only include eligible education expenses. If a cost partially relates to K-12 educational programming, the school must use an allocation method to determine the cost in Column C. If applicable, the school must include an explanation if no costs are included in lines 1-4 or 6-10.</t>
  </si>
  <si>
    <t>The ending accounts payable balance cannot be negative in Schedules 3-1, 3-2, and/or 3-3</t>
  </si>
  <si>
    <t>Insert the Deferred Revenue and Accounts Receivable balances at the beginning of the year in Lines 19 and 20. Line 21 will then indicate the amount to be received during the school year. Include the amount that will be received for each month in Lines 22-33. Insert any Deferred Revenue balance at the end of the year on Line 35. Finally, review the year end Accounts Receivable balance in Line 36 to determine if it is correct.</t>
  </si>
  <si>
    <t>Insert the total revenues for church offerings during the school year in Line 20. Next, insert the Deferred Revenue balance at the beginning of the year in Line 21. Line 23 will then indicate the amount to be received during the school year. Include the amount that will be received for each month in Lines 24-35. Insert any Deferred Revenue balance at the end of the year on line 37. Finally, review the year end Accounts Receivable balance in Line 38 to determine if it is correct.</t>
  </si>
  <si>
    <t>Cover page, Section I</t>
  </si>
  <si>
    <t>Aug 1 Budget</t>
  </si>
  <si>
    <t>Bank statement(s) dated no earlier than two months before the due date of the budget evidencing availability of contingency funds from all individuals and endowment funds.</t>
  </si>
  <si>
    <t>Balance sheet and bank statement(s) dated no earlier than two months before the due date of the budget and a current year-to-date income statement dated no earlier than two months before the due date of the budget evidencing availability of contingency funds from all related party organizations.</t>
  </si>
  <si>
    <t>School District Partnership Revenue</t>
  </si>
  <si>
    <t>Contract with the public school district indicating that the school is providing educational programming for the public school district. Typically the partnership contract will be for providing 4-year-old-kindergarten or 5-year-old kindergarten.</t>
  </si>
  <si>
    <t>SCHEDULE 1</t>
  </si>
  <si>
    <t>The school indicated a church is part of the school's legal entity but the church information is not in the budget</t>
  </si>
  <si>
    <t xml:space="preserve"> </t>
  </si>
  <si>
    <t>The school indicated a daycare/preschool is part of the school's legal entity but the daycare/preschool information is not in the budget</t>
  </si>
  <si>
    <t>1) What year did the organization begin operating a school?</t>
  </si>
  <si>
    <r>
      <t xml:space="preserve">4a) Does the legal entity of the school operate a daycare/preschool? </t>
    </r>
    <r>
      <rPr>
        <i/>
        <sz val="8"/>
        <rFont val="Arial"/>
        <family val="2"/>
      </rPr>
      <t>If part of the legal entity of the school includes a daycare/preschool, "Yes" must be selected from the drop down. This does not include before or aftercare for students in K-12 in educational programming.</t>
    </r>
  </si>
  <si>
    <t>4b) Explain any non-school activities of the legal entity, other than operating a church or daycare. If there are none, insert "None."</t>
  </si>
  <si>
    <r>
      <t xml:space="preserve">Name of Legal Entity of School </t>
    </r>
    <r>
      <rPr>
        <i/>
        <sz val="8"/>
        <rFont val="Arial"/>
        <family val="2"/>
      </rPr>
      <t>Must match entity name associated with the school's Federal Tax ID</t>
    </r>
  </si>
  <si>
    <t>Choice K-8 Pmt</t>
  </si>
  <si>
    <t>Choice 9-12 Pmt</t>
  </si>
  <si>
    <t>SNSP Pmt</t>
  </si>
  <si>
    <t>E
Payment Amount</t>
  </si>
  <si>
    <t>B
Full Scholarship Pupils: 
Grades K-12</t>
  </si>
  <si>
    <t>C
Partial Scholarship Pupils: 
Grades K-8</t>
  </si>
  <si>
    <t>D
Partial Scholarship Pupils: 
Grades 9-12</t>
  </si>
  <si>
    <t>AVAILABLE CASH</t>
  </si>
  <si>
    <t>CASH BALANCE BEFORE PAYMENTS</t>
  </si>
  <si>
    <t>ENDING CASH BALANCE WITH RESTRICTED FUNDS</t>
  </si>
  <si>
    <t>ENDING CASH BALANCE EXCLUDING RESTRICTED FUNDS</t>
  </si>
  <si>
    <t>List all building locations of the legal entity of the school. All columns must be completed. All locations of the legal entity of the school must be listed. All addresses listed on the school's Intent to Participate must be included below.</t>
  </si>
  <si>
    <t>Include all debt of the legal entity of the school. Indicate if the debt is with a related party. Related parties include those who have a proprietary interest in the legal entity of the school or their relatives and operating organizations of the legal entity of the school. Related parties can also include board members, administrators, teachers/staff, and others with a relationship with the school. If you have questions if a party is related, please contact a DPI Auditor. Complete the rollforwards below. Insert the percent of each debt agreement that was used for K4-12 educational programming in Lines 7-12, Column B.</t>
  </si>
  <si>
    <t>Identify the total headcount (HC) and teaching FTE (full time equivalent) for each category. Also identify the earliest month of hire for each position. Existing schools should put the month of hire as the first month the employees will work in the school year. Then, insert the total salaries that will be paid for each position category.</t>
  </si>
  <si>
    <t>LOWEST SUMMER SCHOOL PUPIL COUNTS</t>
  </si>
  <si>
    <t>A 
Item Description</t>
  </si>
  <si>
    <t>Budget Year</t>
  </si>
  <si>
    <t>Previous Year (used for summer school)</t>
  </si>
  <si>
    <t>IRS determination letter indicating the school is a 501(c)3 or an application for 501(c)3 status.</t>
  </si>
  <si>
    <t>The documents identified on Lines 23-28 are required for contingency funding identified on Schedule 12-1, Lines 16-20.</t>
  </si>
  <si>
    <t xml:space="preserve">6a) Does the legal entity of the school have any liens, levies, or other disputed amounts with the IRS, DOR, DWD, or a vendor/third party. All items must be included whether or not the amounts owed are in dispute. </t>
  </si>
  <si>
    <t>7a) Place an X next to each type of transportation the legal entity of the school will provide (check all that apply):</t>
  </si>
  <si>
    <t>7b) If the legal entity of the school is providing transportation, how will it be provided (check all that apply):</t>
  </si>
  <si>
    <t>Insert the average tuition received, after any scholarships or tuition discounts, in the last three years. If the school was not in operation for any of the last last three years, do not complete the related year's tuition.</t>
  </si>
  <si>
    <t>Lowest Tuition Received</t>
  </si>
  <si>
    <t>The spreadsheet version of the budget report and anticipated cash flow is being provided as an accommodation for the use of schools in complying with various requirements, including:</t>
  </si>
  <si>
    <t>C
SNSP Full Scholarship</t>
  </si>
  <si>
    <t>D
SNSP Partial Scholarship</t>
  </si>
  <si>
    <t>Auditor fee</t>
  </si>
  <si>
    <t>AVAILABLE CASH*</t>
  </si>
  <si>
    <r>
      <rPr>
        <b/>
        <u val="single"/>
        <sz val="10"/>
        <rFont val="Arial"/>
        <family val="2"/>
      </rPr>
      <t>Step 10-Review the Cash Flows</t>
    </r>
    <r>
      <rPr>
        <sz val="10"/>
        <rFont val="Arial"/>
        <family val="2"/>
      </rPr>
      <t>: Schedules 8-1 and 8-2 summarize the cash flow from the previous schedules. This schedule must be reviewed to ensure the budget does not have a negative cash balance at any time on the "Ending Cash Balance Excluding Restricted Funds" line. If the school has a negative cash flow, the school must adjust the budget to remove the negative cash balance. Schools completing this budget for SNSP purposes must ensure that the "ENDING CASH BALANCE WITHOUT SNSP REVENUE" line is not in a deficit position in any month.</t>
    </r>
  </si>
  <si>
    <r>
      <rPr>
        <b/>
        <u val="single"/>
        <sz val="10"/>
        <rFont val="Arial"/>
        <family val="2"/>
      </rPr>
      <t>Step 13-Complete Budget Questions</t>
    </r>
    <r>
      <rPr>
        <sz val="10"/>
        <rFont val="Arial"/>
        <family val="2"/>
      </rPr>
      <t>: Complete the questions and information requested in Schedule 11-1 and 11-2. These schedules require detail such as an explanation if the budget did not include unemployment taxes, information on historical enrollment for the school, and information on how the debt will be obtained.</t>
    </r>
  </si>
  <si>
    <t>The ending accounts receivable balance cannot be negative in Schedules 4-1, 4-2, 4-3, and/or 4-4</t>
  </si>
  <si>
    <t>8a) Will the legal entity of the school provide food (check all that apply)?</t>
  </si>
  <si>
    <t>Average Pupils per Teacher</t>
  </si>
  <si>
    <t xml:space="preserve">Include any other revenues received by the legal entity of the school not in Schedule 4-1, 4-2, or 4-3. Include the revenue type in Column A and the source name and additional detail in Column B. Then insert the actual amount received in the past two years and the budgeted amount. THE SCHOOL MAY NOT INCLUDE REVENUE FROM ITS LEGAL ENTITY IN THIS SCHEDULE. </t>
  </si>
  <si>
    <t>Average SNSP Students FTE</t>
  </si>
  <si>
    <r>
      <t>What are the school’s source(s) of contingency funds? 
The school is required to have contingency funding sources. These must be additional funds, other than Choice and SNSP funds (including the reserve fund) not already used in this budget, that are available to the school. The contingency funding must be available for the school year in the budget and the subsequent school year. Contingency funding that must be repaid at the end of the school year in the budget is not sufficient. The contingency funding should be sufficient to cover any budget deficit on Schedule 12-2 PLUS a minimum of 5% of the expected Choice revenue for the low budget or $20,000, whichever is greater.</t>
    </r>
    <r>
      <rPr>
        <i/>
        <sz val="8"/>
        <rFont val="Arial"/>
        <family val="2"/>
      </rPr>
      <t xml:space="preserve"> </t>
    </r>
    <r>
      <rPr>
        <sz val="8"/>
        <rFont val="Arial"/>
        <family val="2"/>
      </rPr>
      <t xml:space="preserve">Complete the Source Type in Column B as follows: </t>
    </r>
    <r>
      <rPr>
        <i/>
        <u val="single"/>
        <sz val="8"/>
        <rFont val="Arial"/>
        <family val="2"/>
      </rPr>
      <t>"Individual"</t>
    </r>
    <r>
      <rPr>
        <i/>
        <sz val="8"/>
        <rFont val="Arial"/>
        <family val="2"/>
      </rPr>
      <t xml:space="preserve"> if a person is providing the funds. </t>
    </r>
    <r>
      <rPr>
        <i/>
        <u val="single"/>
        <sz val="8"/>
        <rFont val="Arial"/>
        <family val="2"/>
      </rPr>
      <t>"Related Party Organization"</t>
    </r>
    <r>
      <rPr>
        <i/>
        <sz val="8"/>
        <rFont val="Arial"/>
        <family val="2"/>
      </rPr>
      <t xml:space="preserve"> if the provider is an organization related to the school. See the instructions in Schedule 6 for additional information on who is a related party. If the operating organization is providing the contingency funds, this should be selected only if the operating organization is a separate legal entity from the school. </t>
    </r>
    <r>
      <rPr>
        <i/>
        <u val="single"/>
        <sz val="8"/>
        <rFont val="Arial"/>
        <family val="2"/>
      </rPr>
      <t>"Bank or Other Financial Institution Debt"</t>
    </r>
    <r>
      <rPr>
        <i/>
        <sz val="8"/>
        <rFont val="Arial"/>
        <family val="2"/>
      </rPr>
      <t xml:space="preserve"> if the funds are debt from a bank or other financial institution. If contingency funding is to be from a line of credit, it must be renewable and the School must demonstrate a history of renewing the line of credit.</t>
    </r>
    <r>
      <rPr>
        <i/>
        <u val="single"/>
        <sz val="8"/>
        <rFont val="Arial"/>
        <family val="2"/>
      </rPr>
      <t>"Endowment Fund"</t>
    </r>
    <r>
      <rPr>
        <i/>
        <sz val="8"/>
        <rFont val="Arial"/>
        <family val="2"/>
      </rPr>
      <t xml:space="preserve"> if the school will use an endowment fund. The name of the endowment fund must be indicated below and match the name on the bank statement provided as support. </t>
    </r>
    <r>
      <rPr>
        <i/>
        <u val="single"/>
        <sz val="8"/>
        <rFont val="Arial"/>
        <family val="2"/>
      </rPr>
      <t>"Available Cash"</t>
    </r>
    <r>
      <rPr>
        <i/>
        <sz val="8"/>
        <rFont val="Arial"/>
        <family val="2"/>
      </rPr>
      <t xml:space="preserve"> if the school has cash available each month as identified on Schedule 8-1 and 8-2, Line 31. The name of source should be the school name. </t>
    </r>
    <r>
      <rPr>
        <i/>
        <u val="single"/>
        <sz val="8"/>
        <rFont val="Arial"/>
        <family val="2"/>
      </rPr>
      <t>"Unrelated Organization"</t>
    </r>
    <r>
      <rPr>
        <i/>
        <sz val="8"/>
        <rFont val="Arial"/>
        <family val="2"/>
      </rPr>
      <t xml:space="preserve"> for all other organizations.  </t>
    </r>
  </si>
  <si>
    <t>K4 OUTREACH ACTIVITIES</t>
  </si>
  <si>
    <r>
      <rPr>
        <b/>
        <u val="single"/>
        <sz val="10"/>
        <rFont val="Arial"/>
        <family val="2"/>
      </rPr>
      <t>Step 15-Resolve Errors</t>
    </r>
    <r>
      <rPr>
        <sz val="10"/>
        <rFont val="Arial"/>
        <family val="2"/>
      </rPr>
      <t>: Review the results column on the Error Report.  The results column must say "OK" for all errors. If the results column has an "ERROR", then the school must resolve it before the budget is submitted. If a school is not sure how to resolve an error, the school should send an email identifying which error the school has a question on and a copy of the school's current budget to dpichoiceauditreports@dpi.wi.gov. A DPI auditor will contact the school to assist with resolving the error.</t>
    </r>
  </si>
  <si>
    <t>2019-20</t>
  </si>
  <si>
    <t>June 30, 2020</t>
  </si>
  <si>
    <t>Schedule 11-1 question 8</t>
  </si>
  <si>
    <t>Cover page-Revision date of budget</t>
  </si>
  <si>
    <t>Contingency Funds from Bank or other Financial Institution: If the legal entity of the school currently has the debt, current statement from the lender showing the principal balance. This includes lines of credit which have a $0 balance. The statement from the lender must identify the lender name, school name, date of statement (which must be within 2 months of the due date of the budget), principal balance, and identification of the loan or loans in the statement.</t>
  </si>
  <si>
    <t>Balance sheet and bank statement(s) dated no earlier than two months before the due date of the budget and a current year-to-date income statement dated no earlier than two months before the due date of the budget evidencing availability of funds for related party debt identified with a Yes on Schedule 6, Lines 1-6 in Column D. A balance sheet and income statement are not required if the fund provider is an individual. If the fund provider is an organization, they are required.</t>
  </si>
  <si>
    <t>NET INCOME/LOSS</t>
  </si>
  <si>
    <t>TOTAL EXPENSES</t>
  </si>
  <si>
    <t>NET INCOME/LOSS WITHOUT SNSP REVENUE</t>
  </si>
  <si>
    <t>SCHEDULE 9: NET OPERATING BALANCES &amp; NET INCOME/LOSS</t>
  </si>
  <si>
    <r>
      <rPr>
        <b/>
        <u val="single"/>
        <sz val="10"/>
        <rFont val="Arial"/>
        <family val="2"/>
      </rPr>
      <t>Step 11-Ensure there are no budget deficits and no net loss</t>
    </r>
    <r>
      <rPr>
        <sz val="10"/>
        <rFont val="Arial"/>
        <family val="2"/>
      </rPr>
      <t xml:space="preserve">: Schedule 9 provides the operating balance and the net income/loss. The budget should not be in a deficit position or have a net loss. Schools completing this budget for SNSP purposes must ensure that the "TOTAL BUDGET BALANCE (DEFICIT) WITHOUT SNSP REVENUE" line is not in a deficit position and that the "NET INCOME/LOSS WITHOUT SNSP REVENUE" is not negative. </t>
    </r>
  </si>
  <si>
    <r>
      <t xml:space="preserve">Total Operating Expenses </t>
    </r>
    <r>
      <rPr>
        <i/>
        <sz val="8"/>
        <rFont val="Arial"/>
        <family val="2"/>
      </rPr>
      <t>Line 16</t>
    </r>
  </si>
  <si>
    <r>
      <t xml:space="preserve">Depreciation Expense </t>
    </r>
    <r>
      <rPr>
        <i/>
        <sz val="8"/>
        <rFont val="Arial"/>
        <family val="2"/>
      </rPr>
      <t>Sch 5-1</t>
    </r>
  </si>
  <si>
    <r>
      <t xml:space="preserve">Interest Expense </t>
    </r>
    <r>
      <rPr>
        <i/>
        <sz val="8"/>
        <rFont val="Arial"/>
        <family val="2"/>
      </rPr>
      <t>Sch 6</t>
    </r>
  </si>
  <si>
    <t>TOTAL REVENUE</t>
  </si>
  <si>
    <r>
      <t xml:space="preserve">TOTAL REVENUE </t>
    </r>
    <r>
      <rPr>
        <b/>
        <i/>
        <sz val="8"/>
        <rFont val="Arial"/>
        <family val="2"/>
      </rPr>
      <t>Line 10</t>
    </r>
  </si>
  <si>
    <t>B
Preliminary Enrollment</t>
  </si>
  <si>
    <t>Instructions page (cont)</t>
  </si>
  <si>
    <t>SCHEDULE 10</t>
  </si>
  <si>
    <r>
      <rPr>
        <b/>
        <u val="single"/>
        <sz val="10"/>
        <rFont val="Arial"/>
        <family val="2"/>
      </rPr>
      <t>Step 16-Final Review Before Submission</t>
    </r>
    <r>
      <rPr>
        <sz val="10"/>
        <rFont val="Arial"/>
        <family val="2"/>
      </rPr>
      <t>: Prior to submitting the final report, complete steps 10, 11, 14, and 15 again. Any time a number changes in the budget, the items in these steps must be reviewed. Also review the "III. Completeness Requirements" section on the Cover Page and ensure all items have been completed.</t>
    </r>
  </si>
  <si>
    <t>Prelim, 3rd Fri Sept, and/or 2nd Fri Sept Choice and SNSP enrollment is more than the all pupil enrollment</t>
  </si>
  <si>
    <t>The all pupil enrollment counts must be included for all count dates (Prelim, 3rd Fri Sept &amp; 2nd Fri Jan)</t>
  </si>
  <si>
    <t>The Choice pupil enrollment counts must be included for all count dates (Prelim, 3rd Fri Sept &amp; 2nd Fri Jan)</t>
  </si>
  <si>
    <t>The SNSP pupil enrollment counts must be included for all count dates (Prelim, 3rd Fri Sept &amp; 2nd Fri Jan)</t>
  </si>
  <si>
    <t>PRELIM FTE</t>
  </si>
  <si>
    <t>Preliminary Enrollment</t>
  </si>
  <si>
    <t>Include a description of any entries in Schedule 7-1, the Category Changes Column (Column D) or the Forgiven Liabilities Column (Column C). The description must be sufficient to explain what is included on each line. The amount in Column C must match the forgiven liabilities. Any category changes must net to zero.</t>
  </si>
  <si>
    <t>Insert the actual enrollment for your school for the past three years. If your school was not in operation, leave the cells blank or insert 0. If you had K4 students in the previous 3 years, include them in Line 1 if the school has the K4 students in Schedule 2-1, Line 1 or Line 2 if the school included the K4 students in Schedule 2-1, Line 2.</t>
  </si>
  <si>
    <t>LOWEST REGULAR SCHOOL YEAR PUPIL COUNTS</t>
  </si>
  <si>
    <t>There may not be a negative balance (deficit) on line 21 or net loss on line 29. Participants in the SNSP also may not have a negative balance (deficit) on line 22 or net loss on line 30. If one of these lines is negative, the budget must be adjusted to remove the negative balance.</t>
  </si>
  <si>
    <t>Classroom Supplies</t>
  </si>
  <si>
    <t>Average Tuition Received Per Pupil</t>
  </si>
  <si>
    <t>2020-21</t>
  </si>
  <si>
    <t>June 30, 2021</t>
  </si>
  <si>
    <t>6/30/21</t>
  </si>
  <si>
    <t>2021</t>
  </si>
  <si>
    <t>July 1, 2020 to June 30, 2021</t>
  </si>
  <si>
    <t>A
Name of Organization Providing Subsidy</t>
  </si>
  <si>
    <t>7a) Is the school currently in the USDA food program?</t>
  </si>
  <si>
    <t>B
Rent</t>
  </si>
  <si>
    <t>C
Leases Other Than Rent</t>
  </si>
  <si>
    <t>E
Insurance</t>
  </si>
  <si>
    <t>Operating/Finance Lease Right of Use Assets</t>
  </si>
  <si>
    <t>LEASE INFORMATION</t>
  </si>
  <si>
    <r>
      <t xml:space="preserve">Fixed Asset Payments </t>
    </r>
    <r>
      <rPr>
        <i/>
        <sz val="8"/>
        <rFont val="Arial"/>
        <family val="2"/>
      </rPr>
      <t>Sch 5-1</t>
    </r>
  </si>
  <si>
    <t>SCHEDULE 5-3: LEASES</t>
  </si>
  <si>
    <t>SCHEDULE 5-2: LOCATIONS &amp; FIXED ASSETS DETAIL</t>
  </si>
  <si>
    <t>Current School Year</t>
  </si>
  <si>
    <t>Next School Year</t>
  </si>
  <si>
    <t>C 
Is the lease for renting a location?</t>
  </si>
  <si>
    <t>Item Description Missing</t>
  </si>
  <si>
    <r>
      <t xml:space="preserve">B
Description of Item Being Leased </t>
    </r>
    <r>
      <rPr>
        <i/>
        <sz val="8"/>
        <rFont val="Arial"/>
        <family val="2"/>
      </rPr>
      <t>If lease is for a location, identify address of location being rented</t>
    </r>
  </si>
  <si>
    <t>Total Payments Completed</t>
  </si>
  <si>
    <t>Rent Question Completed</t>
  </si>
  <si>
    <t>Current Portion of Lease Liability</t>
  </si>
  <si>
    <t>Current Portion of Debt</t>
  </si>
  <si>
    <t>Long Term Portion of Lease Liability</t>
  </si>
  <si>
    <t>Long Term Portion of Debt</t>
  </si>
  <si>
    <r>
      <t xml:space="preserve">Services, Contractor &amp; Other Expenses </t>
    </r>
    <r>
      <rPr>
        <i/>
        <sz val="8"/>
        <rFont val="Arial"/>
        <family val="2"/>
      </rPr>
      <t>Sch 3-3</t>
    </r>
  </si>
  <si>
    <r>
      <t xml:space="preserve">Less: Fixed Asset Purchases &amp; Lease Payments </t>
    </r>
    <r>
      <rPr>
        <i/>
        <sz val="8"/>
        <rFont val="Arial"/>
        <family val="2"/>
      </rPr>
      <t>Sch 5-1 &amp; 5-3</t>
    </r>
  </si>
  <si>
    <t>The years of service, percent relating to school, accumulated depreciation, and/or additional depreciation is missing on Sch 5-1</t>
  </si>
  <si>
    <t>The information for the leases and future lease payments must be entered in Schedule 5-3</t>
  </si>
  <si>
    <t>A description of government assistance revenue has not been included on Schedule 4-1</t>
  </si>
  <si>
    <t>An explanation for other revenue has not been included on Schedule 4-4</t>
  </si>
  <si>
    <t>The school must complete Columns F and G on Schedule 4-2</t>
  </si>
  <si>
    <t>Non Rent Agreement Required</t>
  </si>
  <si>
    <t>B
K4 Parent Educational Component for Role as K4 Parent</t>
  </si>
  <si>
    <r>
      <rPr>
        <b/>
        <u val="single"/>
        <sz val="10"/>
        <rFont val="Arial"/>
        <family val="2"/>
      </rPr>
      <t>Step 2-General Information</t>
    </r>
    <r>
      <rPr>
        <sz val="10"/>
        <rFont val="Arial"/>
        <family val="2"/>
      </rPr>
      <t>: Complete Schedule 1 with all required information.</t>
    </r>
  </si>
  <si>
    <r>
      <rPr>
        <b/>
        <u val="single"/>
        <sz val="10"/>
        <rFont val="Arial"/>
        <family val="2"/>
      </rPr>
      <t>Step 5-Expenses:</t>
    </r>
    <r>
      <rPr>
        <sz val="10"/>
        <rFont val="Arial"/>
        <family val="2"/>
      </rPr>
      <t xml:space="preserve"> Enter the expenses in the Schedule 3 series. These schedules require the total cost and the eligible education expenses. Eligible education expenses for Choice are all direct and indirect costs associated with a school’s educational programming for pupils enrolled in grades kindergarten to 12 that are reasonable for the school to achieve its educational purposes as determined by the governing body of the private school. Eligible education expenses for SNSP are all direct and indirect costs associated with a private school’s educational programming for pupils enrolled in grades kindergarten to 12. If a cost is partially related to educational programming and partially not related to educational programming, the cost must be allocated using an allocation method. Schedule 3-1 includes the staffing related information and expenses. Schedule 3-2 requires details on the utilities, supplies and non-eligible expenses. It also requires that the total amount of insurance be input into the schedule in the cash flow section. Schedule 3-3 requires the costs for general services, contractor provided services, and other expenses. Once the total expenses for the school year are entered into each schedule, the school must complete the cash flow section in each schedule, including the following:</t>
    </r>
  </si>
  <si>
    <r>
      <rPr>
        <b/>
        <u val="single"/>
        <sz val="10"/>
        <rFont val="Arial"/>
        <family val="2"/>
      </rPr>
      <t>Step 12-Determine the reserve balance:</t>
    </r>
    <r>
      <rPr>
        <sz val="10"/>
        <rFont val="Arial"/>
        <family val="2"/>
      </rPr>
      <t xml:space="preserve"> Enter in any insurance proceeds that are offsetting. Schools must also enter the costs that are primarily SNSP expenses and any government assistance or fundraising revenue that is offsetting for primarily SNSP expenses. Review Schedule 10 to ensure the school's cash and investment balance on Schedule 7-1 is at least as much as the reserve balance on Schedule 10. If it is not, an error message will show at the bottom of Schedule 10 and the school must adjust the budget to resolve the error.</t>
    </r>
  </si>
  <si>
    <t>Contingency Funds from Bank or other Financial Institution: Complete, signed debt agreements or evidence the school is obtaining debt. Such evidence must include the following: a) the lender's name, b) the estimated amount to be provided, and c) a statement that the lender will provide the funds to the legal entity of the school.</t>
  </si>
  <si>
    <r>
      <rPr>
        <b/>
        <sz val="8"/>
        <rFont val="Arial"/>
        <family val="2"/>
      </rPr>
      <t>All Pupil Count:</t>
    </r>
    <r>
      <rPr>
        <sz val="8"/>
        <rFont val="Arial"/>
        <family val="2"/>
      </rPr>
      <t xml:space="preserve">  This count should include all pupils at your school, whether or not participating in the Choice program or SNSP.  The Preliminary enrollment number should include the pupils the school anticipates attending the school.  The 3rd Friday Sept &amp; 2nd Friday Jan Count columns should include all pupils at the school that the school anticipates will be in attendance on the count date or will attend the school any day before and any day after the count date.
</t>
    </r>
    <r>
      <rPr>
        <b/>
        <sz val="8"/>
        <rFont val="Arial"/>
        <family val="2"/>
      </rPr>
      <t>Choice Pupil Count:</t>
    </r>
    <r>
      <rPr>
        <sz val="8"/>
        <rFont val="Arial"/>
        <family val="2"/>
      </rPr>
      <t xml:space="preserve">  Preliminary Enrollment-Include all Choice pupils that the school anticipates will have an accepted, eligible application by August that the school anticipates will attend the school. 3rd Friday Sept &amp; 2nd Friday Jan Count-Include all Choice pupils that the school anticipates will have an accepted, eligible application by August that will be either in attendance on the count date or will attend the school any day before and any day after the count date.
</t>
    </r>
    <r>
      <rPr>
        <b/>
        <sz val="8"/>
        <rFont val="Arial"/>
        <family val="2"/>
      </rPr>
      <t>Choice Pupils by Program:</t>
    </r>
    <r>
      <rPr>
        <sz val="8"/>
        <rFont val="Arial"/>
        <family val="2"/>
      </rPr>
      <t xml:space="preserve"> Insert the number of pupils from the Choice pupils anticipated enrollments that will participate in each program.  The total that will participate by program must match the maximum number enrolled for the count dates.
</t>
    </r>
    <r>
      <rPr>
        <b/>
        <sz val="8"/>
        <rFont val="Arial"/>
        <family val="2"/>
      </rPr>
      <t>Summer School:</t>
    </r>
    <r>
      <rPr>
        <sz val="8"/>
        <rFont val="Arial"/>
        <family val="2"/>
      </rPr>
      <t xml:space="preserve"> If the school has determined that it will provide Choice summer school, the number of Choice pupils must also be identified on Line 26. Pupils who attend less than 15 days receive a partial payment. If a student is expected to attend summer school less than 15 days, calculate the count for the pupil as the expected days of attendance divided by 15.</t>
    </r>
  </si>
  <si>
    <t>Insert the primarily SNSP expenses in Line 15 and the eligible education expenses, excluding primarily SNSP expenses, in Line 14. Insert the total expenses for the school year in Line 16 and the Accounts Payable and Prepaid balances at the beginning of the school year in Lines 17 and 18. Line 19 will then indicate the amount that must be paid during the school year. Include the amount that will be paid for each month in lines 20-31. If the school will have a Prepaid Expense balance at the end of the year, insert it in Line 33. Finally, review the year end Accounts Payable balance in Line 34 to determine if it is correct.</t>
  </si>
  <si>
    <t>Primarily SNSP Expenses</t>
  </si>
  <si>
    <t>Insert the eligible education expenses and the total expenses for the school year in Lines 17 and 18 for insurance. Next insert the Prepaid Expenses and Accounts Payable balances at the beginning of the school year in Lines 19 and 20. Line 21 will then indicate the amount that must be paid during the school year. Include the amount that will be paid for each month in Lines 22-33. If the school will have a Prepaid Expense balance at the end of the year, insert it in Line 35. Finally, review the year end Accounts Payable balance in Line 36 to determine if it is correct.</t>
  </si>
  <si>
    <r>
      <rPr>
        <i/>
        <sz val="8"/>
        <rFont val="Arial"/>
        <family val="2"/>
      </rPr>
      <t>Schools that are considered a new private school based on Wis. Stat. 118.60 and 119.23 or schools that were not operating as a school in the previous school year:</t>
    </r>
    <r>
      <rPr>
        <sz val="8"/>
        <rFont val="Arial"/>
        <family val="2"/>
      </rPr>
      <t xml:space="preserve"> The source of all funds or description of all activities must be identified. The school must attach a written agreement to support any amount over $1,000.
</t>
    </r>
    <r>
      <rPr>
        <i/>
        <sz val="8"/>
        <rFont val="Arial"/>
        <family val="2"/>
      </rPr>
      <t>All other schools:</t>
    </r>
    <r>
      <rPr>
        <sz val="8"/>
        <rFont val="Arial"/>
        <family val="2"/>
      </rPr>
      <t xml:space="preserve"> Any amount at or above the lesser of $10,000 or 10% of the school's non-Choice and non-SNSP revenue must be included on a separate line. The total below this threshold may be included on one line. The school must be able to support amounts included based on the actual amounts for the past 2 years or based on written agreements.</t>
    </r>
  </si>
  <si>
    <t>RELATED PARTY ORGANIZATION CONTRIBUTIONS</t>
  </si>
  <si>
    <t>B
Related Party Organization Contributions</t>
  </si>
  <si>
    <t>The total revenues for the school year will automatically be included in Line 6. Insert the Deferred Revenue and Accounts Receivable balances at the beginning of the school year in Lines 7 and 8. Line 9 will then indicate the amount to be received during the school year. Include the amount that will be received for each month in lines 10-21. Insert any Deferred Revenue balance at the end of the year on line 23. Finally, review the year end Accounts Receivable balance in Line 24 to determine if it is correct.</t>
  </si>
  <si>
    <t>Enter the Accounts Payable balance at the beginning of the year in Line 15. Line 16 will then indicate the amount to be paid during the school year. Enter in the cash payments in lines 17-28. Finally, review the Accounts Payable balance at the end of the year on Line 30 to determine if it is correct.</t>
  </si>
  <si>
    <t>A
Name of Organization Leasing to School</t>
  </si>
  <si>
    <t>Fixed Assets</t>
  </si>
  <si>
    <t>Include a description of what is included in Other Liabilities in Schedule 7-1, Line 23. The total for each year must equal the amount on Schedule 7-1, Line 23. The description must be sufficient to explain what is included on each line.</t>
  </si>
  <si>
    <r>
      <t>Related Party Organization Contributions</t>
    </r>
    <r>
      <rPr>
        <i/>
        <sz val="8"/>
        <rFont val="Arial"/>
        <family val="2"/>
      </rPr>
      <t xml:space="preserve"> Sch 4-3</t>
    </r>
  </si>
  <si>
    <r>
      <t xml:space="preserve">Related Party Organization Contributions &amp; Investment Income </t>
    </r>
    <r>
      <rPr>
        <i/>
        <sz val="8"/>
        <rFont val="Arial"/>
        <family val="2"/>
      </rPr>
      <t>Sch 4-3</t>
    </r>
  </si>
  <si>
    <r>
      <t xml:space="preserve">Lease Payments </t>
    </r>
    <r>
      <rPr>
        <i/>
        <sz val="8"/>
        <rFont val="Arial"/>
        <family val="2"/>
      </rPr>
      <t>Sch 5-3</t>
    </r>
  </si>
  <si>
    <t>Less: Primarily SNSP Expenses</t>
  </si>
  <si>
    <t>Plus: Primarily SNSP Expenses</t>
  </si>
  <si>
    <t>Less: Government Assistance Received for Primarily SNSP Expenses</t>
  </si>
  <si>
    <t>Less: Insurance Proceeds Received for Primarily SNSP Expenses</t>
  </si>
  <si>
    <r>
      <rPr>
        <i/>
        <u val="single"/>
        <sz val="8"/>
        <rFont val="Arial"/>
        <family val="2"/>
      </rPr>
      <t>All Pupil Count:</t>
    </r>
    <r>
      <rPr>
        <sz val="8"/>
        <rFont val="Arial"/>
        <family val="2"/>
      </rPr>
      <t xml:space="preserve"> The lowest count for a start up school is calculated as the number of Choice pupils in the low budget plus 5% of the non-Choice pupils on Schedule 2-1. The lowest all pupil count for an existing school is based on the pupil counts in Schedule 11-2, Column D, Lines 1-8.
</t>
    </r>
    <r>
      <rPr>
        <i/>
        <u val="single"/>
        <sz val="8"/>
        <rFont val="Arial"/>
        <family val="2"/>
      </rPr>
      <t>Choice Pupil Count, SNSP Pupil Count, and Summer School Pupil Counts:</t>
    </r>
    <r>
      <rPr>
        <sz val="8"/>
        <rFont val="Arial"/>
        <family val="2"/>
      </rPr>
      <t xml:space="preserve"> The pupil counts should be the lowest count at which the school would participate in the program and at which the school can operate. 
</t>
    </r>
    <r>
      <rPr>
        <i/>
        <u val="single"/>
        <sz val="8"/>
        <rFont val="Arial"/>
        <family val="2"/>
      </rPr>
      <t>Other Changes:</t>
    </r>
    <r>
      <rPr>
        <sz val="8"/>
        <rFont val="Arial"/>
        <family val="2"/>
      </rPr>
      <t xml:space="preserve"> Indicate any required decreases in the budget that will be made as a result of the pupil count changes in the Explanation of Differences column in Schedule 12-2. Then, include the contingency funding that the school will use should enrollment be less than expected on the bottom of this schedule.</t>
    </r>
  </si>
  <si>
    <r>
      <t xml:space="preserve">Explanation of Difference </t>
    </r>
    <r>
      <rPr>
        <i/>
        <sz val="8"/>
        <rFont val="Arial"/>
        <family val="2"/>
      </rPr>
      <t>If additional space is needed, attach an additional sheet.</t>
    </r>
  </si>
  <si>
    <r>
      <t>Interest Owed</t>
    </r>
    <r>
      <rPr>
        <i/>
        <sz val="8"/>
        <rFont val="Arial"/>
        <family val="2"/>
      </rPr>
      <t xml:space="preserve"> Sch 6, Col D, Line 20</t>
    </r>
  </si>
  <si>
    <r>
      <t xml:space="preserve">Principal Incurred </t>
    </r>
    <r>
      <rPr>
        <i/>
        <sz val="8"/>
        <rFont val="Arial"/>
        <family val="2"/>
      </rPr>
      <t>Sch 6, Col D, Line 13</t>
    </r>
  </si>
  <si>
    <r>
      <t>Principal Paid</t>
    </r>
    <r>
      <rPr>
        <i/>
        <sz val="8"/>
        <rFont val="Arial"/>
        <family val="2"/>
      </rPr>
      <t xml:space="preserve"> Sch 6, Col E, Line 13</t>
    </r>
  </si>
  <si>
    <t>The primarily SNSP expenses exceed the SNSP only costs</t>
  </si>
  <si>
    <r>
      <t xml:space="preserve">Insert the number of SNSP full and partial scholarship pupils anticipated for the school year. </t>
    </r>
    <r>
      <rPr>
        <b/>
        <sz val="8"/>
        <rFont val="Arial"/>
        <family val="2"/>
      </rPr>
      <t xml:space="preserve">A school may only include SNSP pupils in this budget if it has submitted an Intent to Participate for the SNSP and not been determined ineligible for the SNSP. </t>
    </r>
    <r>
      <rPr>
        <sz val="8"/>
        <rFont val="Arial"/>
        <family val="2"/>
      </rPr>
      <t xml:space="preserve">If a school includes SNSP pupils but has not met these requirements at the time the budget is submitted, the SNSP pupils and related revenue will be removed from the budget when determining if the school meets the requirements.
</t>
    </r>
    <r>
      <rPr>
        <b/>
        <sz val="8"/>
        <rFont val="Arial"/>
        <family val="2"/>
      </rPr>
      <t>Budget Submitted for SNSP Purposes:</t>
    </r>
    <r>
      <rPr>
        <sz val="8"/>
        <rFont val="Arial"/>
        <family val="2"/>
      </rPr>
      <t xml:space="preserve"> </t>
    </r>
    <r>
      <rPr>
        <b/>
        <sz val="8"/>
        <rFont val="Arial"/>
        <family val="2"/>
      </rPr>
      <t xml:space="preserve">The number of pupils included for all count dates for the budget due for SNSP purposes must match the number included in the SNSP Intent to Participate. </t>
    </r>
    <r>
      <rPr>
        <sz val="8"/>
        <rFont val="Arial"/>
        <family val="2"/>
      </rPr>
      <t xml:space="preserve">The school must determine the number of full scholarship pupils and partial scholarship pupils that will continue to participate in the SNSP based on the following:
1. The school must include all SNSP pupils on the second Friday in January count report, unless the school has received written correspondence from the parent withdrawing the pupil from the SNSP.
2. The school must include any other SNSP pupils accepted at the school after the second Friday in January, unless the school has received written correspondence from the parent withdrawing the pupil from the SNSP.  
3. The school may only identify a pupil as a partial scholarship pupil if the pupil’s individualized education program team has determined that the pupil is no longer a child with a disability prior to the date the school submits its SNSP notice of intent to participate to the department.
If the school has determined that it will provide SNSP summer school, the number of SNSP pupils must also be identified on Line 22. Pupils who attend less than 15 days receive a partial payment. If a student is expected to attend summer school less than 15 days, calculate the count for the pupil as the expected days of attendance divided by 15.
</t>
    </r>
  </si>
  <si>
    <r>
      <rPr>
        <b/>
        <u val="single"/>
        <sz val="10"/>
        <rFont val="Arial"/>
        <family val="2"/>
      </rPr>
      <t>Step 6-Revenues:</t>
    </r>
    <r>
      <rPr>
        <sz val="10"/>
        <rFont val="Arial"/>
        <family val="2"/>
      </rPr>
      <t xml:space="preserve"> Enter the revenues in the Schedule 4 series. Schedule 4-1 requires tuition and fees and government assistance. Schedule 4-2 requires detailed information on external contributions from unrelated organizations or individuals, fundraising, and non-government grants the legal entity of the school is receiving. Schedule 4-2 also requires that the total amount of church offerings be input into the schedule in the cash flow section. Schedule 4-3 requires detailed information on contributions being received from related party organizations by the legal entity of school. It also requires endowment and investment income detail. A related party organization is a corporation, trust, or similar entity or organization:
a) in which an individual who is a related party holds a material or controlling interest or serves as an officer or director of the organization;
b) that has a financial interest in the school or in which the school has a financial interest; 
c) involved in the day-to-day operations of the school; or
d) existing exclusively or primarily for the benefit of the school. 
Related party organizations include any church or school that is part of the same association of church/schools.
Finally, Schedule 4-4 requires that the school input any other revenues being received not included in one of the other schedules.</t>
    </r>
  </si>
  <si>
    <t>The salaries eligible education expenses and primarily SNSP expense salaries are more than the total salaries</t>
  </si>
  <si>
    <t>The school did not identify any primarily SNSP expenses on Schedule 10</t>
  </si>
  <si>
    <t>New Private School Minimum Expense Amounts</t>
  </si>
  <si>
    <t>New Private Schools as defined by Wis. Stat. 118.60 and 119.23 or schools that were not operating as a school in the previous school year: All written agreements for contributions from individuals or unrelated organizations, non-government grants, or fundraising on Schedule 4-2, Lines 1-18 above $1,000. The written agreement must include the following: a) who will provide the funds, b) that the funds will be provided to the school, c) the amount that will be provided, d) when the funds will be provided, and e) an indication that the amounts do not need to be paid back.
All Other Schools: All written agreements for contributions from individuals or unrelated organizations, non-government grants, or fundraising on Schedule 4-2, Lines 1-18 with a Yes in Column F that are at or above the threshold described at the top of Schedule 4-2.</t>
  </si>
  <si>
    <r>
      <t xml:space="preserve">Rent Payments </t>
    </r>
    <r>
      <rPr>
        <i/>
        <sz val="8"/>
        <rFont val="Arial"/>
        <family val="2"/>
      </rPr>
      <t>Sch 5-3</t>
    </r>
  </si>
  <si>
    <t>Non-Rent Lease Payments 5-3</t>
  </si>
  <si>
    <r>
      <t xml:space="preserve">Non-Rent Lease Payments </t>
    </r>
    <r>
      <rPr>
        <i/>
        <sz val="8"/>
        <rFont val="Arial"/>
        <family val="2"/>
      </rPr>
      <t>Sch 5-3</t>
    </r>
  </si>
  <si>
    <t>SCHEDULE 4-2: CONTRIBUTIONS, NON GOVERNMENT GRANTS, FUNDRAISING &amp; OFFERINGS</t>
  </si>
  <si>
    <t>SCHEDULE 4-3: ENDOWMENT &amp; INVESTMENT INCOME AND RELATED PARTY CONTRIBUTIONS</t>
  </si>
  <si>
    <r>
      <t xml:space="preserve">Fixed Asset Purchases &amp; Lease Payments </t>
    </r>
    <r>
      <rPr>
        <i/>
        <sz val="8"/>
        <rFont val="Arial"/>
        <family val="2"/>
      </rPr>
      <t>Sch 5-1 &amp; 5-3</t>
    </r>
  </si>
  <si>
    <t>Lease agreement for all non rent leases with total payments owed in Schedule 5-3, Columns D-F greater than $10,000. If a lease agreement has not yet been completed, indicate in the box on the next line when it is expected to be completed. A copy must be sent to the Department when completed.</t>
  </si>
  <si>
    <t>Rental agreement for all rented locations on Schedule 5-3. If a rental agreement has not yet been completed, indicate in the box on the next line when it is expected to be completed. A copy must be sent to the Department when completed.</t>
  </si>
  <si>
    <t>If the school has included pupils in the K4 with outreach (.6 FTE) category, the following schedule must be completed. All activities must have an educational component for the K4 parents in their role as a K4 parent. The school must explain in column B how the outreach activity assists the K4 parent/caregiver in their parental role or the outreach activity will not be allowed. Activities that take place during the normal school day, including volunteering in the classroom, are not acceptable K4 outreach activities. Fundraising is also not an allowable K4 outreach activity. For guidance on outreach activities, see the Outreach Activities bulletin located at http://dpi.wi.gov/sms/choice-programs/bulletins and http://dpi.wi.gov/sms/special-needs-scholarship-program/bulletins. If additional space is needed put "See additional sheet" in line 21 and put the total hours from the sheet.</t>
  </si>
  <si>
    <t>TOTAL RELATED PARTY ORGANIZATION CONTRIBUTIONS</t>
  </si>
  <si>
    <t>Insert the eligible education expenses on Line 10. The total required lease payments based on the information above is automatically completed on Line 11. Insert the total lease payments that were required to be paid per the lease but not yet paid on Line 12. Then, insert the Prepaid Expenses balance at the beginning of the school year in Line 13. Line 14 will then indicate the amount that must be paid during the school year. Include the amount that will be paid for each month in Lines 15-26. If the school will have a Prepaid Expense balance at the end of the year, insert it in Line 28.</t>
  </si>
  <si>
    <t>Schedule 6-Update date validations for date incurred and maturity date</t>
  </si>
  <si>
    <t>3) Schools that may have financial viability concerns that are required to provide a budget to the DPI per Wisconsin Administrative Code. In this case, the due date for the budget is the date identified in the correspondence from the department.</t>
  </si>
  <si>
    <r>
      <rPr>
        <b/>
        <u val="single"/>
        <sz val="10"/>
        <rFont val="Arial"/>
        <family val="2"/>
      </rPr>
      <t>Step 8-Debt</t>
    </r>
    <r>
      <rPr>
        <sz val="10"/>
        <rFont val="Arial"/>
        <family val="2"/>
      </rPr>
      <t>: Enter all debt for the legal entity of the school in Schedule 6. Schedule 6 includes a rollforward of the debt balance as well as a cash flow that indicates when the cash payments and cash receipts related to debt are anticipated.</t>
    </r>
  </si>
  <si>
    <t>The long term debt balance must be completed or the current debt balance is negative</t>
  </si>
  <si>
    <t>Schools that are considered a new private school based on Wis. Stat. 118.60 and 119.23 or schools that were not operating as a school in the previous school year must have a minimum amount for the expenses explained below. If the school does not include an amount that is at least as much as the minimum amounts below, the minimum expense and cash payments to pay for the minimum expense will be added to the budget prior to determining whether the school meets the Choice requirements.</t>
  </si>
  <si>
    <r>
      <t xml:space="preserve">1. </t>
    </r>
    <r>
      <rPr>
        <u val="single"/>
        <sz val="10"/>
        <rFont val="Times New Roman"/>
        <family val="1"/>
      </rPr>
      <t>Utility Costs (Schedule 3-2, Lines 1-4):</t>
    </r>
    <r>
      <rPr>
        <sz val="10"/>
        <rFont val="Times New Roman"/>
        <family val="1"/>
      </rPr>
      <t xml:space="preserve"> The school must have a minimum of $11,000 for total utilities on Line 5.</t>
    </r>
  </si>
  <si>
    <r>
      <t xml:space="preserve">2. </t>
    </r>
    <r>
      <rPr>
        <u val="single"/>
        <sz val="10"/>
        <rFont val="Times New Roman"/>
        <family val="1"/>
      </rPr>
      <t>Administrative Supplies (Schedule 3-2, Line 6):</t>
    </r>
    <r>
      <rPr>
        <sz val="10"/>
        <rFont val="Times New Roman"/>
        <family val="1"/>
      </rPr>
      <t xml:space="preserve"> The expected administrative supplies are between $1,000 and $20,000. The school must have a minimum of $1,000.</t>
    </r>
  </si>
  <si>
    <r>
      <t xml:space="preserve">3. </t>
    </r>
    <r>
      <rPr>
        <u val="single"/>
        <sz val="10"/>
        <rFont val="Times New Roman"/>
        <family val="1"/>
      </rPr>
      <t>Classroom Supplies (Schedule 3-2, Line 7):</t>
    </r>
    <r>
      <rPr>
        <sz val="10"/>
        <rFont val="Times New Roman"/>
        <family val="1"/>
      </rPr>
      <t xml:space="preserve"> The expected classroom supplies are between $2,000 and $25,000. The school must have a minimum of $2,000 if it has 1-20 students, $5,000 if it has 21-50 students, or $7,500 if it has more than 50 students.</t>
    </r>
  </si>
  <si>
    <r>
      <t xml:space="preserve">4. </t>
    </r>
    <r>
      <rPr>
        <u val="single"/>
        <sz val="10"/>
        <rFont val="Times New Roman"/>
        <family val="1"/>
      </rPr>
      <t xml:space="preserve">Insurance (Schedule 3-2, Line 18, Column E): </t>
    </r>
    <r>
      <rPr>
        <sz val="10"/>
        <rFont val="Times New Roman"/>
        <family val="1"/>
      </rPr>
      <t>The expected insurance cost is between $7,500 and $25,000. The school must have a minimum of $7,500. Schools participating in the Choice programs are required to have insurance that meets the minimum requirements explained in the Insurance Requirements document available at https://dpi.wi.gov/sms/choice-programs/school-information.</t>
    </r>
  </si>
  <si>
    <r>
      <t xml:space="preserve">5. </t>
    </r>
    <r>
      <rPr>
        <u val="single"/>
        <sz val="10"/>
        <rFont val="Times New Roman"/>
        <family val="1"/>
      </rPr>
      <t>Independent Auditing Services (Schedule 3-3, Line 2):</t>
    </r>
    <r>
      <rPr>
        <sz val="10"/>
        <rFont val="Times New Roman"/>
        <family val="1"/>
      </rPr>
      <t xml:space="preserve"> The expected independent auditing services cost is between $7,500 and $25,000. The school must have a minimum of $7,500. Schools participating in the Choice programs are required to annually have an independent auditor hired by the school complete a September Enrollment Audit, January Enrollment Audit, Fiscal &amp; Internal Control Practices Report, and Financial Audit.</t>
    </r>
  </si>
  <si>
    <r>
      <t xml:space="preserve">6. </t>
    </r>
    <r>
      <rPr>
        <u val="single"/>
        <sz val="10"/>
        <rFont val="Times New Roman"/>
        <family val="1"/>
      </rPr>
      <t>Student Information System (Schedule 3-3, Line 6):</t>
    </r>
    <r>
      <rPr>
        <sz val="10"/>
        <rFont val="Times New Roman"/>
        <family val="1"/>
      </rPr>
      <t xml:space="preserve"> The expected student information system cost is between $1,000 and $25,000. The school must have a minimum of $1,000. Schools participating in the Choice program are required to have a Student Information System.</t>
    </r>
  </si>
  <si>
    <r>
      <t xml:space="preserve">7. </t>
    </r>
    <r>
      <rPr>
        <u val="single"/>
        <sz val="10"/>
        <rFont val="Times New Roman"/>
        <family val="1"/>
      </rPr>
      <t>Rent (Schedule 5-3, Line 10, Column B):</t>
    </r>
    <r>
      <rPr>
        <sz val="10"/>
        <rFont val="Times New Roman"/>
        <family val="1"/>
      </rPr>
      <t xml:space="preserve"> If Schedule 5-2 indicates that the legal entity of the school does not own one of the locations, the school must include a minimum of $50,000 for each location the school does not own. If the school has a rental agreement or letter indicating the rental amount, the rent must match that amount.</t>
    </r>
  </si>
  <si>
    <r>
      <t xml:space="preserve">8. </t>
    </r>
    <r>
      <rPr>
        <u val="single"/>
        <sz val="10"/>
        <rFont val="Times New Roman"/>
        <family val="1"/>
      </rPr>
      <t>Internally Provided Food (Schedule 1, Line 8i and Schedule 3-1, Line 6):</t>
    </r>
    <r>
      <rPr>
        <sz val="10"/>
        <rFont val="Times New Roman"/>
        <family val="1"/>
      </rPr>
      <t xml:space="preserve"> If the school provides food itself, the minimum of food service supplies on Schedule 1, Line 8i and the food service employee salaries on Schedule 3-1, Line 6 must be at least as much as the number of pupils on lines 8d-8f, Column B times the number of days in Column C times $3 for lunch, $2 for breakfast, and $0.20 for milk. </t>
    </r>
  </si>
  <si>
    <r>
      <t xml:space="preserve">9. </t>
    </r>
    <r>
      <rPr>
        <u val="single"/>
        <sz val="10"/>
        <rFont val="Times New Roman"/>
        <family val="1"/>
      </rPr>
      <t>Contracted Food (Schedule 1, Lines 8d-8f):</t>
    </r>
    <r>
      <rPr>
        <sz val="10"/>
        <rFont val="Times New Roman"/>
        <family val="1"/>
      </rPr>
      <t xml:space="preserve"> If the school will obtain food from the school district or from a 3</t>
    </r>
    <r>
      <rPr>
        <vertAlign val="superscript"/>
        <sz val="10"/>
        <rFont val="Times New Roman"/>
        <family val="1"/>
      </rPr>
      <t>rd</t>
    </r>
    <r>
      <rPr>
        <sz val="10"/>
        <rFont val="Times New Roman"/>
        <family val="1"/>
      </rPr>
      <t xml:space="preserve"> party provider contracted by the school, the minimum rates on Schedule 1, Lines 8d-8f must be at least $3.00 for lunch, $2.00 for breakfast, and $0.20 for milk.</t>
    </r>
  </si>
  <si>
    <t>TOTAL FIXED ASSET &amp; DEBT USES</t>
  </si>
  <si>
    <t>Cover page completed</t>
  </si>
  <si>
    <r>
      <t xml:space="preserve">Electronic Signature of Choice/SNSP Administrator  </t>
    </r>
    <r>
      <rPr>
        <i/>
        <sz val="8"/>
        <rFont val="Arial"/>
        <family val="2"/>
      </rPr>
      <t>The Administrator must type his/her name below.</t>
    </r>
  </si>
  <si>
    <t>A
Attachment Description</t>
  </si>
  <si>
    <t>B
Document Required</t>
  </si>
  <si>
    <r>
      <t xml:space="preserve">All required documents indicated below must be submitted with the budget. A "Yes" is indicated in Column B if the document is required. All attachments specifically identified below must be provided. The school may not provide alternative documentation or no documentation. If the school believes alternative documentation is more applicable for a budget or if the school does not have a document available, the school must contact a DPI auditor prior to submitting the budget and the required deadline. In order to be considered complete, budgets with alternative documents must include written authorization from a DPI auditor approving the alternative document. </t>
    </r>
    <r>
      <rPr>
        <b/>
        <sz val="8"/>
        <rFont val="Arial"/>
        <family val="2"/>
      </rPr>
      <t>Label all attachments with the number below. If the school is part of a legal entity that maintains separate financial statements and/or bank accounts for different parts of the legal entity, the balance sheet, income statement, and bank statements for each part of the legal entity must be provided.</t>
    </r>
  </si>
  <si>
    <t xml:space="preserve">All of the required documents with a "Yes" in Column B of the required attachments page have been submitted with the budget. </t>
  </si>
  <si>
    <t>BUDGET WILL NOT BE CONSIDERED COMPLETE WITHOUT ALL REQUIRED DOCUMENTS WITH A "YES" IN COLMUMN B OF THE REQUIRED ATTACHMENTS PAGE</t>
  </si>
  <si>
    <r>
      <rPr>
        <b/>
        <sz val="10"/>
        <rFont val="Arial"/>
        <family val="2"/>
      </rPr>
      <t>Budget &amp; Cash Flow Report Submission:</t>
    </r>
    <r>
      <rPr>
        <sz val="10"/>
        <rFont val="Arial"/>
        <family val="2"/>
      </rPr>
      <t xml:space="preserve"> The budget will not be considered complete unless all items in the Completeness Requirements section of the cover page are completed. This includes providing all of the required attachments. Once the report is complete, the SNSP/Choice Administrator must electronically sign the cover page and upload the completed Excel document as an Excel document and all required attachments to the school's Kiteworks folder by the date specified above. Schools are encouraged to submit the report and required attachments in advance of the due date in case there are technical difficulties. The school should retain a copy of the spreadsheet for its records. The school's Choice administrator will receive an email with the Kiteworks information. If a SNSP school would like to provide a budget to meet the SNSP financial requirements, it must request a budget folder be added for the school in Kiteworks by sending an email to snsp@dpi.wi.gov.
</t>
    </r>
  </si>
  <si>
    <t>The Choice/SNSP administrator on the Intent to Participate form must sign and date the yellow box below.</t>
  </si>
  <si>
    <t>June 30, 2022</t>
  </si>
  <si>
    <t>JUNE 30, 2022</t>
  </si>
  <si>
    <t>6/30/22</t>
  </si>
  <si>
    <t>2022</t>
  </si>
  <si>
    <t>2022-23</t>
  </si>
  <si>
    <t>July 1, 2021 to June 30, 2022</t>
  </si>
  <si>
    <t>Number of 9-12 grade Choice pupils on Schedule 4-1 exceeds the 9-12 Choice pupils</t>
  </si>
  <si>
    <t>Number of Choice pupils charged fees on Schedule 4-1 exceeds the total Choice pupils</t>
  </si>
  <si>
    <t>One or more balances on Schedule 7-1 are negative</t>
  </si>
  <si>
    <t>Other-School related</t>
  </si>
  <si>
    <t>Other-Unrelated to school</t>
  </si>
  <si>
    <t>TBD</t>
  </si>
  <si>
    <t>Number of non-Choice pupils charged tuition on Schedule 4-1 exceeds the non-Choice pupils</t>
  </si>
  <si>
    <t>Number of non-Choice pupils charged fees on Schedule 4-1 exceeds the non-Choice pupils</t>
  </si>
  <si>
    <t>Printscreen from the City assessor office showing the owner of all locations included on Schedule 5-2. If unavailable, a property deed showing the owner. The address on the printscreen or deed must exactly match the address in Schedule 5-2. If the school does not have any locations at the time of budget submission and Schedule 5-2, Line 1 indicates a location is TBD (building address and city), the requirement for this attachment is automatically waived.</t>
  </si>
  <si>
    <t>Contingency Funds from Individual, Related Party Organization, or Unrelated Organization: Written agreement specifying the following: a) who will provide the funds, b) that the funds will be provided to the school, c) the amount that will be provided, d) when the funds will be provided, and e) if the amount needs to be paid back and, if so, when the funds need to be paid back.</t>
  </si>
  <si>
    <t>2) The unemployment taxes amount is less than the expected amount. The expected federal amount is calculated as the number of employees times $7,000 times 6% and the expected state amount is calculated as the number of employees times $14,000 times 3.25%. Explain how you calculated the unemployment taxes.</t>
  </si>
  <si>
    <t>Complete, signed debt agreements or evidence the legal entity of the school is obtaining debt included on Schedule 6, Lines 1-6. Such evidence must include the following: a) the lender's name, b) the estimated amount to be provided, and c) a statement that the lender will provide the funds to the legal entity of the school. If the loan was a Paycheck Protection Program (PPP) loan, provide any PPP related documentation. If the school has submitted the form for the forgiveness of the PPP loan, this must be provided.</t>
  </si>
  <si>
    <t>SCHEDULE 1: GENERAL INFORMATION</t>
  </si>
  <si>
    <t>K-12 Before &amp; After School Care Fees</t>
  </si>
  <si>
    <t>June 30, 2023</t>
  </si>
  <si>
    <t>JUNE 30, 2023</t>
  </si>
  <si>
    <t>July 2022</t>
  </si>
  <si>
    <t>August 2022</t>
  </si>
  <si>
    <t>September 2022</t>
  </si>
  <si>
    <t>October 2022</t>
  </si>
  <si>
    <t>November 2022</t>
  </si>
  <si>
    <t>December 2022</t>
  </si>
  <si>
    <t>January 2023</t>
  </si>
  <si>
    <t>February 2023</t>
  </si>
  <si>
    <t>March 2023</t>
  </si>
  <si>
    <t>April 2023</t>
  </si>
  <si>
    <t>May 2023</t>
  </si>
  <si>
    <t>June 2023</t>
  </si>
  <si>
    <t>6/30/23</t>
  </si>
  <si>
    <t>2023</t>
  </si>
  <si>
    <t>2023-24</t>
  </si>
  <si>
    <t>July 1, 2022 to June 30, 2023</t>
  </si>
  <si>
    <r>
      <t xml:space="preserve">Place an "X" next to all programs the school will participate in during the 2022-23 school year. </t>
    </r>
    <r>
      <rPr>
        <i/>
        <sz val="8"/>
        <rFont val="Arial"/>
        <family val="2"/>
      </rPr>
      <t>This must match the school's Intent to Participate form (ITP). Note the SNSP requires a different ITP from the other programs.</t>
    </r>
  </si>
  <si>
    <t>Prepaid Expenses: This section requires that the school enter in any prepaid expenses as of June 30, 2022, and June 30, 2023. Prepaid expenses are amounts that are paid but are related to a future time period. For example, if the school pays for the July 2022 insurance on June 15, 2022, the amount must be included as a prepaid expense as of June 30, 2022. 
Accounts Payable: The school must enter in any Accounts Payable balances outstanding as of June 30, 2022, or June 30, 2023. Accounts Payable balances represent amounts that were owed (relate to) the school year that have not yet been paid. For example, if the school had a landscaping business perform work in June 2022 but did not pay for the work until August 2022, the amount must be included as an Accounts Payable as of June 30, 2022. 
Cash Payments: The school must reflect all payments that will be made between July 1, 2022, and June 30, 2023, in the Cash Flows section. All payments during this time period must be included, no matter what year they relate to. This includes payment of prior year payables or prepayments for expenses related to future years.</t>
  </si>
  <si>
    <t>Once the total revenues for the school year are entered into each schedule, the school must complete the cash flow sections, including the following:
Deferred Revenues: This section requires that the school enter in any deferred revenues as of June 30, 2022, and June 30, 2023. Deferred revenues are amounts that are received but are related to a future time period. For example, if the school receives tuition for the 2022-23 school year in May 2022, the amount must be included in the deferred revenue as of June 30, 2022. 
Accounts Receivables: The school must enter in any Accounts Receivables balances outstanding as of June 30, 2022, or June 30, 2023. Accounts receivable balances represent amounts owed to the legal entity of the school that relate to the school year that have not yet been received. For example, if the school participated in the school nutrition program and was owed $5,000 for the June 2022 meals served but did not receive the payment until August 2022, the amount must be included as an Accounts Receivable as of June 30, 2022. 
Cash Payments: The school must reflect all cash that will be received between July 1, 2022, and June 30, 2023, in the cash flows section. All receipts during this time period must be included, no matter what year they relate to. This includes receipt of prior year receivables or receipt of payments that relate to future years.</t>
  </si>
  <si>
    <r>
      <t xml:space="preserve">New Private Schools as defined by Wis. Stat. 118.60 and 119.23 or schools that were not operating as a school in the previous school year: Income statement, balance sheet, bank statements, and written agreements for all related party organization contributions on Schedule 4-3, Lines 3-12 that are providing more than $1,000.
All Other Schools: Provide any written agreement the school has from the entity indicating the funds will be provided. Additionally, the following must be provided for all related party organizations on Schedule 4-3, Lines 3-12 that are providing an amount at or above the threshold described at the top of Schedule 4-2. 
i. </t>
    </r>
    <r>
      <rPr>
        <u val="single"/>
        <sz val="8"/>
        <rFont val="Arial"/>
        <family val="2"/>
      </rPr>
      <t>Related party organizations that are providing more funding to the legal entity of the school in the 2022-23 year than it did in the 2021-22 year:</t>
    </r>
    <r>
      <rPr>
        <sz val="8"/>
        <rFont val="Arial"/>
        <family val="2"/>
      </rPr>
      <t xml:space="preserve"> Income statement, balance sheet, and bank statements for each organization.
ii. </t>
    </r>
    <r>
      <rPr>
        <u val="single"/>
        <sz val="8"/>
        <rFont val="Arial"/>
        <family val="2"/>
      </rPr>
      <t>Related party organizations other than those in i can either provide:</t>
    </r>
    <r>
      <rPr>
        <sz val="8"/>
        <rFont val="Arial"/>
        <family val="2"/>
      </rPr>
      <t xml:space="preserve">
a. Income statement, balance sheet, and bank statements for each organization. -OR-
b. Cancelled checks for all 2021-22 contributions made through one month prior to the due date of the budget and the school's bank statements showing the amounts deposited into the school's account.
</t>
    </r>
    <r>
      <rPr>
        <i/>
        <sz val="8"/>
        <rFont val="Arial"/>
        <family val="2"/>
      </rPr>
      <t>If the school would like the DPI to make a selection of organizations or contributions, the school must provide a completed Schedule 4-3, Lines 3-12 at least two weeks in advance of the budget due date. If a sample was selected by a DPI auditor, attach the email from the DPI auditor with the selection.</t>
    </r>
  </si>
  <si>
    <r>
      <t xml:space="preserve">Insert the expected June 30, 2022 cash, investments, other assets, and other liabilities balances for the legal entity of the school. Investments should be classified as short-term if they may be liquidated easily and if they will expire within one year. Investments that are restricted, such as endowment funds, should generally be included as long-term. Receivables and liabilities should be classified as current if they will be received or paid, respectively, within one year. Receivables from the previous schedules will automatically be included in the long-term category. If a portion is current, insert the current portion in Line 3 and the long-term portion in Line 9 will decrease accordingly. The debt balance owed will automatically be included in the short-term category. If a portion is long-term, insert the long-term portion in Line 22 and the short-term portion in Line 19 will decrease accordingly. </t>
    </r>
    <r>
      <rPr>
        <i/>
        <u val="single"/>
        <sz val="8"/>
        <rFont val="Arial"/>
        <family val="2"/>
      </rPr>
      <t>Uncollectable Accounts:</t>
    </r>
    <r>
      <rPr>
        <sz val="8"/>
        <rFont val="Arial"/>
        <family val="2"/>
      </rPr>
      <t xml:space="preserve"> If there is bad debt expense in Schedule 3-2 Line 13, include it in the applicable line in Column C. The total in Line 12, Column C must match the total bad debt expense. </t>
    </r>
    <r>
      <rPr>
        <i/>
        <u val="single"/>
        <sz val="8"/>
        <rFont val="Arial"/>
        <family val="2"/>
      </rPr>
      <t>Category Changes:</t>
    </r>
    <r>
      <rPr>
        <sz val="8"/>
        <rFont val="Arial"/>
        <family val="2"/>
      </rPr>
      <t xml:space="preserve"> If there are any category changes, complete Column D. Detail the source and amount of all items in this column on Schedule 7-2. This column should be used if activity included in one line should be included in another balance. For example, if a receivable amount relates to an other asset, this would be reclassified from the applicable receivable to other assets. The net impact of the changes must be $0. </t>
    </r>
    <r>
      <rPr>
        <i/>
        <u val="single"/>
        <sz val="8"/>
        <rFont val="Arial"/>
        <family val="2"/>
      </rPr>
      <t>Forgiven Liabilities:</t>
    </r>
    <r>
      <rPr>
        <sz val="8"/>
        <rFont val="Arial"/>
        <family val="2"/>
      </rPr>
      <t xml:space="preserve"> If the entity has any forgiven liabilities, complete Column C. For all forgiven liabilities, the letter or agreement forgiving the amount must be included with the budget. If amounts are forgiven, eligible costs will be reduced by the amount forgiven if the school was participating in the program when the costs were originally incurred.</t>
    </r>
  </si>
  <si>
    <t>8) If the legal entity of the school intends on obtaining a loan or line of credit but has not yet obtained it, explain: a) where the entity is in the process, b) who the entity plans on obtaining the loan from, c) when the entity anticipates obtaining the loan, d) the amount that will be provided, e) when the entity expects the amount will be provided, and f) the expected interest rate. If the legal entity of the school has new 2022-23 debt and already has the new agreement, indicate this below.</t>
  </si>
  <si>
    <t>8c) If the school will provide lunch, breakfast, or milk to the K-12th grade pupils enrolled in educational programming, insert the amount that will be provided in Columns B and C. If the school is paying a set dollar value for a contractor to provide lunch, breakfast, and/or milk, also insert the cost per meal or milk the contractor will charge in Column D. If the school is not providing any of a certain type, insert 0.</t>
  </si>
  <si>
    <t>Complete the revenue detail below. Insert the average received per pupil (Column B) for the year in Lines 1-7 and 13. Enter the average received per pupil (Column B) per day for Lines 10-12. Do not include revenue from the Choice program or SNSP on this schedule. The Choice program and SNSP revenue is determined based on the pupil counts included on Schedules 2-1 &amp; 2-2 and automatically included as revenue in the budget. Government assistance must be included as offsetting revenue if it relates to K4-12th grade educational programming.</t>
  </si>
  <si>
    <r>
      <rPr>
        <b/>
        <u val="single"/>
        <sz val="10"/>
        <rFont val="Arial"/>
        <family val="2"/>
      </rPr>
      <t>Step 3-Enrollment:</t>
    </r>
    <r>
      <rPr>
        <sz val="10"/>
        <rFont val="Arial"/>
        <family val="2"/>
      </rPr>
      <t xml:space="preserve"> Complete Schedule 2-1 and 2-2 with the anticipated number of Choice students, total students at the school (all pupils), and Special Needs Scholarship Program (SNSP) students. If the school will have Choice students, the school must also indicate how many students are included in each Choice program. The number of pupils that will participate from Choice or SNSP in summer school for the summer of 2022 must also be included.</t>
    </r>
  </si>
  <si>
    <r>
      <rPr>
        <b/>
        <u val="single"/>
        <sz val="10"/>
        <rFont val="Arial"/>
        <family val="2"/>
      </rPr>
      <t>Step 7-Fixed Assets &amp; Leases:</t>
    </r>
    <r>
      <rPr>
        <sz val="10"/>
        <rFont val="Arial"/>
        <family val="2"/>
      </rPr>
      <t xml:space="preserve"> The categories of fixed assets are: 1) Educational media, which is instructional and administrative items expected to serve their principal purposes for more than one year. Examples include text and reference books, AV materials and computer software; 2) Equipment, which includes desks, chairs, freestanding lockers and vehicles; 3) Buildings and building improvements, which includes buildings, building components, sidewalks, playground equipment, and building improvements; 4) Leasehold improvements, which are improvements to a leased facility that will stay with the facility even if the school no longer leases the facility; 5) Land, which is the cost of the land and land preparation expenses for its intended purpose. This includes demolition of an existing building and other site preparation and site improvements (other than buildings) that ready the land for its intended use. The school may choose to establish different categories when preparing their capitalization policy and completing their financial audit except for land, which must be used if the school owns land and is including it as a fixed asset in the budget/financial audit. These categories must be used when completing this budget.
Fixed Asset Value: Input the June 30, 2022 value for all fixed assets into Schedule 5-1. The legal entity of the school must have expended cash to include the assets in Schedule 5-1. If the assets were donated or the school would be unable to produce records to support the amount of fixed assets, the fixed assets should not be entered into Schedule 5-1. The school may choose to include all of the fixed assets it expended cash for, some of the assets it expended cash for, or none of its fixed assets. 
Accumulated Depreciation: The June 30, 2022 Accumulated Depreciation balance for each fixed asset must also be included in Schedule 5-1. 
Cash Flow: The school must include the cash payment for any fixed asset purchases in the cash flow section. Any Accounts payable related to fixed assets must also be included in Schedule 5-1.
Locations: The information for any locations of the legal entity of the school must be included in Schedule 5-2.
Educational Media &amp; Equipment: If the amount of educational media and equipment is low, the school must explain how educational media &amp; equipment will be provided in Schedule 5-2.
Leases: If the legal entity of the school has any leases, the leases must be identified and the amount of lease payments must be included on Schedule 5-3.</t>
    </r>
  </si>
  <si>
    <r>
      <rPr>
        <b/>
        <u val="single"/>
        <sz val="10"/>
        <rFont val="Arial"/>
        <family val="2"/>
      </rPr>
      <t>Step 9-Net Assets:</t>
    </r>
    <r>
      <rPr>
        <sz val="10"/>
        <rFont val="Arial"/>
        <family val="2"/>
      </rPr>
      <t xml:space="preserve"> Schedule 7-1 shows the balance of the assets and liabilities of the legal entity of the school as of June 30, 2022, and June 30, 2023. Any yellow spaces should be completed, if applicable. If the net asset balance is below a certain amount, the school must explain what funding will be used for summer expenses. Schedule 7-2 requires additional detail for several of the balances in Schedule 7-1. Schools completing this budget for SNSP purposes must ensure that the SNSP indicators at the bottom of Schedule 7-1 are both positive.</t>
    </r>
  </si>
  <si>
    <t>2021-22</t>
  </si>
  <si>
    <t xml:space="preserve"> I.  SCHOOL INFORMATION</t>
  </si>
  <si>
    <t>Other Non-Payroll Food Service Costs</t>
  </si>
  <si>
    <t>8g) On Line 8h, include any costs paid to a contractor other than the cost for meals and milk for K-12th grade pupils included in Lines 8d-8f above. Insert the cost of any food or food supplies purchased from a vendor or other supplier on Line 8i. Payroll related food costs should not be included below; instead payroll related costs should be included on Schedule 3-1.</t>
  </si>
  <si>
    <t>Include the endowment fund income and investment income on lines 1 and 2. Then include all contributions provided to the legal entity of the school by related party organizations, including churches and schools, that are at or above the threshold described at the top of Schedule 4-2. The total received from entities lower than this amount may be included on one line. An explanation of what is a related party organization is included in the instructions. THE SCHOOL MAY NOT INCLUDE REVENUE FROM ITS LEGAL ENTITY IN THE RELATED PARTY ORGANIZATION CONTRIBUTIONS SECTION OF THIS SCHEDULE. For each line, include the amount received for the last two years, as well as the current budgeted amount.</t>
  </si>
  <si>
    <t>C
Number of Days Food Served</t>
  </si>
  <si>
    <t>Church Specific Expenses</t>
  </si>
  <si>
    <t>Daycare &amp; Preschool Specific Expenses</t>
  </si>
  <si>
    <t>PI-PCP-14 (Revised 3-22)</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</si>
</sst>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_(&quot;$&quot;* #,##0_);_(&quot;$&quot;* \(#,##0\);_(&quot;$&quot;* &quot;-&quot;??_);_(@_)"/>
    <numFmt numFmtId="166" formatCode="#,##0.0_);[Red]\(#,##0.0\)"/>
    <numFmt numFmtId="167" formatCode="mmm\-yyyy"/>
    <numFmt numFmtId="168" formatCode="d\-mmm\-yyyy"/>
    <numFmt numFmtId="169" formatCode="[&lt;=9999999]###\-####;\(###\)\ ###\-####"/>
    <numFmt numFmtId="170" formatCode="&quot;$&quot;#,##0"/>
    <numFmt numFmtId="171" formatCode="m/d/yyyy;@"/>
    <numFmt numFmtId="172" formatCode="_(* #,##0_);_(* \(#,##0\);_(* &quot;&quot;_);_(@_)"/>
    <numFmt numFmtId="173" formatCode="_(&quot;$&quot;* #,##0.0_);_(&quot;$&quot;* \(#,##0.0\);_(&quot;$&quot;* &quot;-&quot;??_);_(@_)"/>
    <numFmt numFmtId="174" formatCode="_(* #,##0.0_);_(* \(#,##0.0\);_(* &quot;-&quot;??_);_(@_)"/>
    <numFmt numFmtId="175" formatCode="_(* #,##0_);_(* \(#,##0\);_(* &quot;-&quot;??_);_(@_)"/>
    <numFmt numFmtId="176" formatCode="&quot;Yes&quot;;&quot;Yes&quot;;&quot;No&quot;"/>
    <numFmt numFmtId="177" formatCode="&quot;True&quot;;&quot;True&quot;;&quot;False&quot;"/>
    <numFmt numFmtId="178" formatCode="&quot;On&quot;;&quot;On&quot;;&quot;Off&quot;"/>
    <numFmt numFmtId="179" formatCode="[$€-2]\ #,##0.00_);[Red]\([$€-2]\ #,##0.00\)"/>
    <numFmt numFmtId="180" formatCode="m/d/yy;@"/>
    <numFmt numFmtId="181" formatCode="[$-409]dddd\,\ mmmm\ dd\,\ yyyy"/>
    <numFmt numFmtId="182" formatCode="mmmm\ yyyy"/>
    <numFmt numFmtId="183" formatCode="[$-409]mmmm\ d\,\ yyyy;@"/>
    <numFmt numFmtId="184" formatCode="[$-409]h:mm:ss\ AM/PM"/>
    <numFmt numFmtId="185" formatCode="_(&quot;$&quot;* #,##0.0000_);_(&quot;$&quot;* \(#,##0.0000\);_(&quot;$&quot;* &quot;-&quot;????_);_(@_)"/>
    <numFmt numFmtId="186" formatCode="mm/dd/yy"/>
    <numFmt numFmtId="187" formatCode="_(&quot;$&quot;* #,##0.000_);_(&quot;$&quot;* \(#,##0.000\);_(&quot;$&quot;* &quot;-&quot;??_);_(@_)"/>
    <numFmt numFmtId="188" formatCode="##\ \t\o\ \1"/>
    <numFmt numFmtId="189" formatCode="0.0%"/>
    <numFmt numFmtId="190" formatCode="#,##0.00%;#,##0.00%;#,##0.00%"/>
    <numFmt numFmtId="191" formatCode="_(* #,##0.0000_);_(* \(#,##0.0000\);_(* &quot;-&quot;????_);_(@_)"/>
    <numFmt numFmtId="192" formatCode="#,##0.0_);\(#,##0.0\)"/>
    <numFmt numFmtId="193" formatCode="mmm\ yy"/>
    <numFmt numFmtId="194" formatCode="0.0"/>
    <numFmt numFmtId="195" formatCode="yyyy"/>
    <numFmt numFmtId="196" formatCode="_(* #,##0.0_);_(* \(#,##0.0\);_(* &quot;-&quot;?_);_(@_)"/>
    <numFmt numFmtId="197" formatCode="#,##0%;#,##0%;#,##0%"/>
    <numFmt numFmtId="198" formatCode="[$-409]m/d/yy\ h:mm\ AM/PM;@"/>
    <numFmt numFmtId="199" formatCode="[$-409]dddd\,\ mmmm\ d\,\ yyyy"/>
  </numFmts>
  <fonts count="88">
    <font>
      <sz val="10"/>
      <name val="Arial"/>
      <family val="0"/>
    </font>
    <font>
      <sz val="11"/>
      <color indexed="8"/>
      <name val="Calibri"/>
      <family val="2"/>
    </font>
    <font>
      <b/>
      <sz val="10"/>
      <name val="Arial"/>
      <family val="2"/>
    </font>
    <font>
      <b/>
      <sz val="8"/>
      <name val="Arial"/>
      <family val="2"/>
    </font>
    <font>
      <sz val="8"/>
      <name val="Arial"/>
      <family val="2"/>
    </font>
    <font>
      <b/>
      <i/>
      <sz val="8"/>
      <name val="Arial"/>
      <family val="2"/>
    </font>
    <font>
      <b/>
      <sz val="8"/>
      <color indexed="10"/>
      <name val="Arial"/>
      <family val="2"/>
    </font>
    <font>
      <i/>
      <sz val="8"/>
      <name val="Arial"/>
      <family val="2"/>
    </font>
    <font>
      <u val="single"/>
      <sz val="8"/>
      <name val="Arial"/>
      <family val="2"/>
    </font>
    <font>
      <b/>
      <sz val="8"/>
      <color indexed="30"/>
      <name val="Arial"/>
      <family val="2"/>
    </font>
    <font>
      <sz val="10"/>
      <name val="Tahoma"/>
      <family val="2"/>
    </font>
    <font>
      <b/>
      <sz val="10"/>
      <name val="Tahoma"/>
      <family val="2"/>
    </font>
    <font>
      <sz val="10"/>
      <name val="Times New Roman"/>
      <family val="1"/>
    </font>
    <font>
      <b/>
      <sz val="10"/>
      <name val="Times New Roman"/>
      <family val="1"/>
    </font>
    <font>
      <b/>
      <sz val="8"/>
      <color indexed="11"/>
      <name val="Arial"/>
      <family val="2"/>
    </font>
    <font>
      <sz val="9"/>
      <name val="Tahoma"/>
      <family val="2"/>
    </font>
    <font>
      <b/>
      <sz val="9"/>
      <name val="Tahoma"/>
      <family val="2"/>
    </font>
    <font>
      <b/>
      <u val="single"/>
      <sz val="10"/>
      <name val="Arial"/>
      <family val="2"/>
    </font>
    <font>
      <i/>
      <u val="single"/>
      <sz val="8"/>
      <name val="Arial"/>
      <family val="2"/>
    </font>
    <font>
      <sz val="8"/>
      <color indexed="30"/>
      <name val="Arial"/>
      <family val="2"/>
    </font>
    <font>
      <b/>
      <i/>
      <sz val="10"/>
      <name val="Arial"/>
      <family val="2"/>
    </font>
    <font>
      <u val="single"/>
      <sz val="10"/>
      <name val="Times New Roman"/>
      <family val="1"/>
    </font>
    <font>
      <vertAlign val="superscript"/>
      <sz val="10"/>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
      <color indexed="8"/>
      <name val="Arial"/>
      <family val="2"/>
    </font>
    <font>
      <sz val="8"/>
      <color indexed="8"/>
      <name val="Arial"/>
      <family val="2"/>
    </font>
    <font>
      <b/>
      <sz val="10"/>
      <color indexed="8"/>
      <name val="Arial"/>
      <family val="2"/>
    </font>
    <font>
      <sz val="10"/>
      <color indexed="8"/>
      <name val="Arial"/>
      <family val="2"/>
    </font>
    <font>
      <b/>
      <sz val="8"/>
      <color indexed="18"/>
      <name val="Arial"/>
      <family val="2"/>
    </font>
    <font>
      <sz val="8"/>
      <color indexed="55"/>
      <name val="Arial"/>
      <family val="2"/>
    </font>
    <font>
      <b/>
      <sz val="8"/>
      <color indexed="55"/>
      <name val="Arial"/>
      <family val="2"/>
    </font>
    <font>
      <sz val="10"/>
      <color indexed="30"/>
      <name val="Arial"/>
      <family val="2"/>
    </font>
    <font>
      <sz val="10"/>
      <color indexed="8"/>
      <name val="Times New Roman"/>
      <family val="1"/>
    </font>
    <font>
      <b/>
      <i/>
      <sz val="10"/>
      <color indexed="8"/>
      <name val="Arial"/>
      <family val="2"/>
    </font>
    <font>
      <b/>
      <sz val="10"/>
      <color indexed="10"/>
      <name val="Arial"/>
      <family val="2"/>
    </font>
    <font>
      <b/>
      <sz val="10"/>
      <color indexed="30"/>
      <name val="Arial"/>
      <family val="2"/>
    </font>
    <font>
      <sz val="8"/>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
      <b/>
      <sz val="8"/>
      <color rgb="FF0070C0"/>
      <name val="Arial"/>
      <family val="2"/>
    </font>
    <font>
      <b/>
      <sz val="10"/>
      <color rgb="FF000000"/>
      <name val="Arial"/>
      <family val="2"/>
    </font>
    <font>
      <sz val="10"/>
      <color theme="1"/>
      <name val="Arial"/>
      <family val="2"/>
    </font>
    <font>
      <b/>
      <sz val="8"/>
      <color rgb="FF002060"/>
      <name val="Arial"/>
      <family val="2"/>
    </font>
    <font>
      <sz val="8"/>
      <color theme="0" tint="-0.3499799966812134"/>
      <name val="Arial"/>
      <family val="2"/>
    </font>
    <font>
      <b/>
      <sz val="8"/>
      <color theme="0" tint="-0.3499799966812134"/>
      <name val="Arial"/>
      <family val="2"/>
    </font>
    <font>
      <sz val="10"/>
      <color rgb="FF0070C0"/>
      <name val="Arial"/>
      <family val="2"/>
    </font>
    <font>
      <sz val="10"/>
      <color theme="1"/>
      <name val="Times New Roman"/>
      <family val="1"/>
    </font>
    <font>
      <b/>
      <i/>
      <sz val="10"/>
      <color theme="1"/>
      <name val="Arial"/>
      <family val="2"/>
    </font>
    <font>
      <b/>
      <sz val="10"/>
      <color rgb="FFFF0000"/>
      <name val="Arial"/>
      <family val="2"/>
    </font>
    <font>
      <b/>
      <sz val="10"/>
      <color rgb="FF0070C0"/>
      <name val="Arial"/>
      <family val="2"/>
    </font>
    <font>
      <sz val="8"/>
      <color rgb="FFFF0000"/>
      <name val="Arial"/>
      <family val="2"/>
    </font>
    <font>
      <b/>
      <sz val="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99"/>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1499900072813034"/>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thin"/>
      <right style="thin"/>
      <top style="thin"/>
      <bottom style="thin"/>
    </border>
    <border>
      <left style="thin"/>
      <right/>
      <top/>
      <bottom style="double"/>
    </border>
    <border>
      <left/>
      <right/>
      <top style="thin"/>
      <bottom style="thin"/>
    </border>
    <border>
      <left style="thin"/>
      <right style="thin"/>
      <top/>
      <bottom style="thin"/>
    </border>
    <border>
      <left style="thin"/>
      <right/>
      <top/>
      <bottom style="thin"/>
    </border>
    <border>
      <left style="thin"/>
      <right style="thin"/>
      <top style="medium"/>
      <bottom style="medium"/>
    </border>
    <border>
      <left/>
      <right style="thin"/>
      <top style="thin"/>
      <bottom style="thin"/>
    </border>
    <border>
      <left/>
      <right style="thin"/>
      <top/>
      <bottom style="thin"/>
    </border>
    <border>
      <left style="thin"/>
      <right>
        <color indexed="63"/>
      </right>
      <top style="medium"/>
      <bottom style="thick"/>
    </border>
    <border>
      <left/>
      <right/>
      <top style="thin"/>
      <bottom/>
    </border>
    <border>
      <left/>
      <right/>
      <top/>
      <bottom style="thin"/>
    </border>
    <border>
      <left>
        <color indexed="63"/>
      </left>
      <right>
        <color indexed="63"/>
      </right>
      <top style="double"/>
      <bottom style="thin"/>
    </border>
    <border>
      <left>
        <color indexed="63"/>
      </left>
      <right>
        <color indexed="63"/>
      </right>
      <top/>
      <bottom style="double"/>
    </border>
    <border>
      <left>
        <color indexed="63"/>
      </left>
      <right style="thin"/>
      <top style="thin"/>
      <bottom style="medium"/>
    </border>
    <border>
      <left/>
      <right style="thin"/>
      <top>
        <color indexed="63"/>
      </top>
      <bottom style="double"/>
    </border>
    <border>
      <left/>
      <right style="thin"/>
      <top style="thin"/>
      <bottom/>
    </border>
    <border>
      <left>
        <color indexed="63"/>
      </left>
      <right style="thin"/>
      <top style="medium"/>
      <bottom style="double"/>
    </border>
    <border>
      <left style="thin"/>
      <right style="thin"/>
      <top/>
      <bottom/>
    </border>
    <border>
      <left style="thin"/>
      <right>
        <color indexed="63"/>
      </right>
      <top style="thin"/>
      <bottom style="medium"/>
    </border>
    <border>
      <left style="thin"/>
      <right style="thin"/>
      <top style="thin"/>
      <bottom style="medium"/>
    </border>
    <border>
      <left>
        <color indexed="63"/>
      </left>
      <right style="thin"/>
      <top/>
      <bottom style="medium"/>
    </border>
    <border>
      <left style="thin"/>
      <right style="thin"/>
      <top style="thin"/>
      <bottom/>
    </border>
    <border>
      <left/>
      <right style="thin"/>
      <top/>
      <bottom/>
    </border>
    <border>
      <left>
        <color indexed="63"/>
      </left>
      <right style="thin"/>
      <top style="medium"/>
      <bottom style="thick"/>
    </border>
    <border>
      <left/>
      <right style="thin"/>
      <top style="thick"/>
      <bottom style="double"/>
    </border>
    <border>
      <left style="thin"/>
      <right/>
      <top style="thin"/>
      <bottom/>
    </border>
    <border>
      <left>
        <color indexed="63"/>
      </left>
      <right style="thin"/>
      <top style="medium"/>
      <bottom style="medium"/>
    </border>
    <border>
      <left style="thin"/>
      <right style="thin"/>
      <top/>
      <bottom style="double"/>
    </border>
    <border>
      <left>
        <color indexed="63"/>
      </left>
      <right>
        <color indexed="63"/>
      </right>
      <top style="medium"/>
      <bottom style="double"/>
    </border>
    <border>
      <left>
        <color indexed="63"/>
      </left>
      <right>
        <color indexed="63"/>
      </right>
      <top>
        <color indexed="63"/>
      </top>
      <bottom style="medium"/>
    </border>
    <border>
      <left>
        <color indexed="63"/>
      </left>
      <right>
        <color indexed="63"/>
      </right>
      <top style="double"/>
      <bottom>
        <color indexed="63"/>
      </bottom>
    </border>
    <border>
      <left style="thin"/>
      <right/>
      <top style="medium"/>
      <bottom style="double"/>
    </border>
    <border>
      <left style="thin"/>
      <right style="thin"/>
      <top style="medium"/>
      <bottom style="double"/>
    </border>
    <border>
      <left/>
      <right style="thin"/>
      <top style="thin"/>
      <bottom style="double"/>
    </border>
    <border>
      <left style="thin"/>
      <right/>
      <top style="thin"/>
      <bottom style="double"/>
    </border>
    <border>
      <left style="thin"/>
      <right/>
      <top/>
      <bottom/>
    </border>
    <border>
      <left style="thin"/>
      <right/>
      <top style="medium"/>
      <bottom style="medium"/>
    </border>
    <border>
      <left/>
      <right/>
      <top style="medium"/>
      <bottom style="medium"/>
    </border>
    <border>
      <left style="thin"/>
      <right>
        <color indexed="63"/>
      </right>
      <top>
        <color indexed="63"/>
      </top>
      <bottom style="medium"/>
    </border>
    <border>
      <left/>
      <right/>
      <top style="thin"/>
      <bottom style="medium"/>
    </border>
    <border>
      <left>
        <color indexed="63"/>
      </left>
      <right style="thin"/>
      <top style="medium"/>
      <bottom style="thin"/>
    </border>
    <border>
      <left style="medium"/>
      <right>
        <color indexed="63"/>
      </right>
      <top>
        <color indexed="63"/>
      </top>
      <bottom>
        <color indexed="63"/>
      </bottom>
    </border>
    <border>
      <left style="thin"/>
      <right>
        <color indexed="63"/>
      </right>
      <top style="double"/>
      <bottom style="thin"/>
    </border>
    <border>
      <left style="thin"/>
      <right style="thin"/>
      <top style="thin"/>
      <bottom style="double"/>
    </border>
    <border>
      <left>
        <color indexed="63"/>
      </left>
      <right>
        <color indexed="63"/>
      </right>
      <top style="double"/>
      <bottom style="double"/>
    </border>
    <border>
      <left style="thin"/>
      <right>
        <color indexed="63"/>
      </right>
      <top style="medium"/>
      <bottom style="thin"/>
    </border>
    <border>
      <left/>
      <right>
        <color indexed="63"/>
      </right>
      <top style="medium"/>
      <bottom style="thin"/>
    </border>
    <border>
      <left style="thin"/>
      <right style="thin"/>
      <top/>
      <bottom style="medium"/>
    </border>
    <border>
      <left style="medium"/>
      <right style="thin"/>
      <top style="thin"/>
      <bottom style="double"/>
    </border>
    <border>
      <left style="medium"/>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right/>
      <top style="thin"/>
      <bottom style="double"/>
    </border>
    <border>
      <left style="thin"/>
      <right style="thin"/>
      <top style="double"/>
      <bottom style="double"/>
    </border>
    <border>
      <left style="thin"/>
      <right>
        <color indexed="63"/>
      </right>
      <top style="double"/>
      <bottom style="double"/>
    </border>
    <border>
      <left style="medium"/>
      <right>
        <color indexed="63"/>
      </right>
      <top style="medium"/>
      <bottom style="medium"/>
    </border>
    <border>
      <left>
        <color indexed="63"/>
      </left>
      <right style="medium"/>
      <top style="medium"/>
      <bottom style="medium"/>
    </border>
    <border>
      <left style="medium"/>
      <right style="thin"/>
      <top/>
      <bottom/>
    </border>
    <border>
      <left style="medium"/>
      <right/>
      <top/>
      <bottom style="thin"/>
    </border>
    <border>
      <left/>
      <right/>
      <top style="medium"/>
      <bottom>
        <color indexed="63"/>
      </bottom>
    </border>
    <border>
      <left style="thin"/>
      <right/>
      <top style="medium"/>
      <bottom>
        <color indexed="63"/>
      </bottom>
    </border>
    <border>
      <left style="thin"/>
      <right style="thin"/>
      <top style="medium"/>
      <bottom style="thin"/>
    </border>
    <border>
      <left>
        <color indexed="63"/>
      </left>
      <right style="medium"/>
      <top>
        <color indexed="63"/>
      </top>
      <bottom>
        <color indexed="63"/>
      </botto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medium"/>
      <bottom style="thick"/>
    </border>
    <border>
      <left/>
      <right/>
      <top style="medium"/>
      <bottom style="thick"/>
    </border>
    <border>
      <left style="thin"/>
      <right>
        <color indexed="63"/>
      </right>
      <top style="thick"/>
      <bottom style="double"/>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color indexed="63"/>
      </right>
      <top>
        <color indexed="63"/>
      </top>
      <bottom style="medium"/>
    </border>
    <border>
      <left>
        <color indexed="63"/>
      </left>
      <right style="thin"/>
      <top style="double"/>
      <bottom style="double"/>
    </border>
    <border>
      <left>
        <color indexed="63"/>
      </left>
      <right style="medium"/>
      <top style="thin"/>
      <bottom style="double"/>
    </border>
    <border>
      <left>
        <color indexed="63"/>
      </left>
      <right style="medium"/>
      <top style="double"/>
      <bottom style="thin"/>
    </border>
    <border>
      <left style="medium"/>
      <right>
        <color indexed="63"/>
      </right>
      <top style="thin"/>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5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0" borderId="0">
      <alignment/>
      <protection/>
    </xf>
    <xf numFmtId="0" fontId="54" fillId="0" borderId="0">
      <alignment/>
      <protection/>
    </xf>
    <xf numFmtId="0" fontId="0" fillId="0" borderId="0" applyBorder="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54" fillId="0" borderId="0" applyFont="0" applyFill="0" applyBorder="0" applyAlignment="0" applyProtection="0"/>
    <xf numFmtId="9" fontId="0" fillId="0" borderId="0" applyFont="0" applyFill="0" applyBorder="0" applyAlignment="0" applyProtection="0"/>
    <xf numFmtId="14" fontId="0" fillId="32" borderId="9">
      <alignment horizontal="left" vertical="center"/>
      <protection locked="0"/>
    </xf>
    <xf numFmtId="0" fontId="70" fillId="0" borderId="0" applyNumberFormat="0" applyFill="0" applyBorder="0" applyAlignment="0" applyProtection="0"/>
    <xf numFmtId="0" fontId="71" fillId="0" borderId="10" applyNumberFormat="0" applyFill="0" applyAlignment="0" applyProtection="0"/>
    <xf numFmtId="0" fontId="72" fillId="0" borderId="0" applyNumberFormat="0" applyFill="0" applyBorder="0" applyAlignment="0" applyProtection="0"/>
  </cellStyleXfs>
  <cellXfs count="1373">
    <xf numFmtId="0" fontId="0" fillId="0" borderId="0" xfId="0" applyAlignment="1">
      <alignment/>
    </xf>
    <xf numFmtId="0" fontId="0" fillId="0" borderId="0" xfId="0" applyFont="1" applyAlignment="1" applyProtection="1">
      <alignment/>
      <protection/>
    </xf>
    <xf numFmtId="0" fontId="3" fillId="0" borderId="11" xfId="0" applyFont="1" applyBorder="1" applyAlignment="1" applyProtection="1">
      <alignment horizontal="center" vertical="center" wrapText="1"/>
      <protection/>
    </xf>
    <xf numFmtId="0" fontId="0" fillId="0" borderId="0" xfId="0" applyFont="1" applyAlignment="1">
      <alignment wrapText="1"/>
    </xf>
    <xf numFmtId="0" fontId="3" fillId="0" borderId="12" xfId="59" applyFont="1" applyBorder="1" applyAlignment="1" applyProtection="1">
      <alignment vertical="center"/>
      <protection/>
    </xf>
    <xf numFmtId="0" fontId="4" fillId="0" borderId="0" xfId="59" applyFont="1" applyProtection="1">
      <alignment/>
      <protection/>
    </xf>
    <xf numFmtId="0" fontId="0" fillId="33" borderId="0" xfId="0" applyFont="1" applyFill="1" applyAlignment="1">
      <alignment wrapText="1"/>
    </xf>
    <xf numFmtId="0" fontId="3" fillId="0" borderId="9" xfId="0" applyFont="1" applyBorder="1" applyAlignment="1" applyProtection="1">
      <alignment horizontal="center"/>
      <protection/>
    </xf>
    <xf numFmtId="0" fontId="4" fillId="0" borderId="0" xfId="0" applyFont="1" applyAlignment="1" applyProtection="1">
      <alignment/>
      <protection/>
    </xf>
    <xf numFmtId="0" fontId="3" fillId="0" borderId="0" xfId="0" applyFont="1" applyBorder="1" applyAlignment="1" applyProtection="1">
      <alignment horizontal="center"/>
      <protection/>
    </xf>
    <xf numFmtId="0" fontId="4" fillId="0" borderId="0" xfId="0" applyFont="1" applyBorder="1" applyAlignment="1" applyProtection="1">
      <alignment/>
      <protection/>
    </xf>
    <xf numFmtId="0" fontId="4" fillId="0" borderId="0" xfId="0" applyFont="1" applyAlignment="1" applyProtection="1">
      <alignment vertical="center"/>
      <protection/>
    </xf>
    <xf numFmtId="0" fontId="4" fillId="0" borderId="13" xfId="0" applyFont="1" applyBorder="1" applyAlignment="1" applyProtection="1">
      <alignment vertical="center"/>
      <protection/>
    </xf>
    <xf numFmtId="0" fontId="6" fillId="0" borderId="0" xfId="0" applyFont="1" applyAlignment="1" applyProtection="1">
      <alignment horizontal="left" vertical="center"/>
      <protection/>
    </xf>
    <xf numFmtId="0" fontId="4" fillId="0" borderId="0" xfId="0" applyFont="1" applyFill="1" applyBorder="1" applyAlignment="1" applyProtection="1">
      <alignment/>
      <protection/>
    </xf>
    <xf numFmtId="0" fontId="4" fillId="33" borderId="0" xfId="0" applyFont="1" applyFill="1" applyAlignment="1" applyProtection="1">
      <alignment/>
      <protection/>
    </xf>
    <xf numFmtId="0" fontId="3" fillId="0" borderId="0" xfId="0" applyFont="1" applyBorder="1" applyAlignment="1" applyProtection="1">
      <alignment/>
      <protection/>
    </xf>
    <xf numFmtId="0" fontId="3" fillId="0" borderId="14"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0" xfId="0" applyFont="1" applyAlignment="1" applyProtection="1">
      <alignment/>
      <protection/>
    </xf>
    <xf numFmtId="0" fontId="4" fillId="0" borderId="0" xfId="0" applyFont="1" applyAlignment="1" applyProtection="1">
      <alignment horizontal="center"/>
      <protection/>
    </xf>
    <xf numFmtId="0" fontId="4" fillId="0" borderId="0" xfId="0" applyFont="1" applyBorder="1" applyAlignment="1" applyProtection="1">
      <alignment horizontal="center"/>
      <protection/>
    </xf>
    <xf numFmtId="0" fontId="3" fillId="0" borderId="0" xfId="0" applyFont="1" applyBorder="1" applyAlignment="1" applyProtection="1">
      <alignment vertical="center"/>
      <protection/>
    </xf>
    <xf numFmtId="0" fontId="3" fillId="0" borderId="16" xfId="0" applyFont="1" applyBorder="1" applyAlignment="1" applyProtection="1">
      <alignment vertical="center"/>
      <protection/>
    </xf>
    <xf numFmtId="0" fontId="3" fillId="0" borderId="0" xfId="0" applyFont="1" applyAlignment="1" applyProtection="1">
      <alignment vertical="center"/>
      <protection/>
    </xf>
    <xf numFmtId="0" fontId="4" fillId="0" borderId="0" xfId="59" applyFont="1" applyBorder="1" applyProtection="1">
      <alignment/>
      <protection/>
    </xf>
    <xf numFmtId="0" fontId="4" fillId="0" borderId="0" xfId="59" applyFont="1" applyFill="1" applyProtection="1">
      <alignment/>
      <protection/>
    </xf>
    <xf numFmtId="0" fontId="3" fillId="0" borderId="0" xfId="0" applyFont="1" applyBorder="1" applyAlignment="1" applyProtection="1">
      <alignment/>
      <protection/>
    </xf>
    <xf numFmtId="0" fontId="3" fillId="0" borderId="17" xfId="0" applyFont="1" applyBorder="1" applyAlignment="1" applyProtection="1">
      <alignment horizontal="center"/>
      <protection/>
    </xf>
    <xf numFmtId="0" fontId="3" fillId="0" borderId="17" xfId="0" applyFont="1" applyBorder="1" applyAlignment="1" applyProtection="1">
      <alignment horizontal="center" vertical="center"/>
      <protection/>
    </xf>
    <xf numFmtId="0" fontId="3" fillId="0" borderId="13" xfId="0" applyFont="1" applyBorder="1" applyAlignment="1" applyProtection="1">
      <alignment horizontal="center"/>
      <protection/>
    </xf>
    <xf numFmtId="0" fontId="4" fillId="0" borderId="17" xfId="0" applyFont="1" applyBorder="1" applyAlignment="1" applyProtection="1">
      <alignment/>
      <protection/>
    </xf>
    <xf numFmtId="0" fontId="3" fillId="0" borderId="18" xfId="0" applyFont="1" applyBorder="1" applyAlignment="1" applyProtection="1">
      <alignment horizontal="center" vertical="center"/>
      <protection/>
    </xf>
    <xf numFmtId="168" fontId="3" fillId="0" borderId="9" xfId="0" applyNumberFormat="1" applyFont="1" applyBorder="1" applyAlignment="1" applyProtection="1">
      <alignment horizontal="center" vertical="center" wrapText="1"/>
      <protection/>
    </xf>
    <xf numFmtId="0" fontId="4" fillId="0" borderId="11" xfId="0" applyFont="1" applyBorder="1" applyAlignment="1" applyProtection="1">
      <alignment horizontal="left" indent="1"/>
      <protection/>
    </xf>
    <xf numFmtId="0" fontId="4" fillId="0" borderId="0" xfId="59" applyFont="1" applyFill="1" applyBorder="1" applyProtection="1">
      <alignment/>
      <protection/>
    </xf>
    <xf numFmtId="0" fontId="3" fillId="0" borderId="19" xfId="59" applyFont="1" applyBorder="1" applyAlignment="1" applyProtection="1">
      <alignment vertical="center"/>
      <protection/>
    </xf>
    <xf numFmtId="0" fontId="4" fillId="33" borderId="0" xfId="0" applyFont="1" applyFill="1" applyAlignment="1">
      <alignment/>
    </xf>
    <xf numFmtId="0" fontId="73" fillId="0" borderId="0" xfId="59" applyFont="1" applyProtection="1">
      <alignment/>
      <protection/>
    </xf>
    <xf numFmtId="0" fontId="74" fillId="0" borderId="0" xfId="0" applyFont="1" applyAlignment="1" applyProtection="1">
      <alignment horizontal="left"/>
      <protection/>
    </xf>
    <xf numFmtId="0" fontId="4" fillId="0" borderId="20" xfId="59" applyFont="1" applyFill="1" applyBorder="1" applyProtection="1">
      <alignment/>
      <protection/>
    </xf>
    <xf numFmtId="0" fontId="4" fillId="0" borderId="20" xfId="59" applyFont="1" applyFill="1" applyBorder="1" applyAlignment="1" applyProtection="1">
      <alignment horizontal="center"/>
      <protection/>
    </xf>
    <xf numFmtId="0" fontId="4" fillId="0" borderId="0" xfId="59" applyFont="1" applyFill="1" applyBorder="1" applyAlignment="1" applyProtection="1">
      <alignment horizontal="center"/>
      <protection/>
    </xf>
    <xf numFmtId="0" fontId="74" fillId="33" borderId="0" xfId="59" applyFont="1" applyFill="1" applyProtection="1">
      <alignment/>
      <protection/>
    </xf>
    <xf numFmtId="0" fontId="4" fillId="0" borderId="13" xfId="0" applyFont="1" applyBorder="1" applyAlignment="1" applyProtection="1">
      <alignment/>
      <protection/>
    </xf>
    <xf numFmtId="0" fontId="4" fillId="0" borderId="21" xfId="0" applyFont="1" applyBorder="1" applyAlignment="1" applyProtection="1">
      <alignment/>
      <protection/>
    </xf>
    <xf numFmtId="0" fontId="75" fillId="0" borderId="0" xfId="0" applyFont="1" applyBorder="1" applyAlignment="1" applyProtection="1">
      <alignment/>
      <protection/>
    </xf>
    <xf numFmtId="0" fontId="76" fillId="0" borderId="0" xfId="0" applyFont="1" applyAlignment="1">
      <alignment horizontal="right" readingOrder="1"/>
    </xf>
    <xf numFmtId="0" fontId="6" fillId="0" borderId="0" xfId="0" applyFont="1" applyAlignment="1" applyProtection="1">
      <alignment horizontal="left"/>
      <protection/>
    </xf>
    <xf numFmtId="0" fontId="3" fillId="0" borderId="15" xfId="0" applyFont="1" applyBorder="1" applyAlignment="1" applyProtection="1">
      <alignment horizontal="center"/>
      <protection/>
    </xf>
    <xf numFmtId="0" fontId="4" fillId="34" borderId="0" xfId="0" applyFont="1" applyFill="1" applyAlignment="1" applyProtection="1">
      <alignment/>
      <protection/>
    </xf>
    <xf numFmtId="0" fontId="4" fillId="34" borderId="22" xfId="0" applyFont="1" applyFill="1" applyBorder="1" applyAlignment="1" applyProtection="1">
      <alignment/>
      <protection/>
    </xf>
    <xf numFmtId="0" fontId="4" fillId="0" borderId="23" xfId="0" applyFont="1" applyBorder="1" applyAlignment="1" applyProtection="1">
      <alignment/>
      <protection/>
    </xf>
    <xf numFmtId="0" fontId="3" fillId="0" borderId="14" xfId="0" applyFont="1" applyBorder="1" applyAlignment="1" applyProtection="1">
      <alignment horizontal="center" wrapText="1"/>
      <protection/>
    </xf>
    <xf numFmtId="0" fontId="4" fillId="0" borderId="17"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34" borderId="0" xfId="0" applyFont="1" applyFill="1" applyBorder="1" applyAlignment="1" applyProtection="1">
      <alignment/>
      <protection/>
    </xf>
    <xf numFmtId="0" fontId="4" fillId="0" borderId="26"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3" fillId="34" borderId="22" xfId="0" applyFont="1" applyFill="1" applyBorder="1" applyAlignment="1" applyProtection="1">
      <alignment vertical="center"/>
      <protection/>
    </xf>
    <xf numFmtId="0" fontId="3" fillId="0" borderId="15" xfId="0" applyFont="1" applyBorder="1" applyAlignment="1" applyProtection="1">
      <alignment horizontal="center" wrapText="1"/>
      <protection/>
    </xf>
    <xf numFmtId="0" fontId="3" fillId="0" borderId="28" xfId="0" applyFont="1" applyBorder="1" applyAlignment="1" applyProtection="1">
      <alignment horizontal="center" vertical="center" wrapText="1"/>
      <protection/>
    </xf>
    <xf numFmtId="0" fontId="3" fillId="0" borderId="21" xfId="0" applyFont="1" applyBorder="1" applyAlignment="1" applyProtection="1">
      <alignment horizontal="center"/>
      <protection/>
    </xf>
    <xf numFmtId="0" fontId="4" fillId="0" borderId="18" xfId="0" applyFont="1" applyBorder="1" applyAlignment="1" applyProtection="1">
      <alignment horizontal="center" vertical="center"/>
      <protection/>
    </xf>
    <xf numFmtId="42" fontId="12" fillId="35" borderId="9" xfId="0" applyNumberFormat="1" applyFont="1" applyFill="1" applyBorder="1" applyAlignment="1" applyProtection="1">
      <alignment vertical="center"/>
      <protection locked="0"/>
    </xf>
    <xf numFmtId="41" fontId="12" fillId="35" borderId="9" xfId="0" applyNumberFormat="1" applyFont="1" applyFill="1" applyBorder="1" applyAlignment="1" applyProtection="1">
      <alignment vertical="center"/>
      <protection locked="0"/>
    </xf>
    <xf numFmtId="41" fontId="12" fillId="35" borderId="29" xfId="0" applyNumberFormat="1" applyFont="1" applyFill="1" applyBorder="1" applyAlignment="1" applyProtection="1">
      <alignment vertical="center"/>
      <protection locked="0"/>
    </xf>
    <xf numFmtId="42" fontId="12" fillId="35" borderId="11" xfId="0" applyNumberFormat="1" applyFont="1" applyFill="1" applyBorder="1" applyAlignment="1" applyProtection="1">
      <alignment vertical="center"/>
      <protection locked="0"/>
    </xf>
    <xf numFmtId="41" fontId="12" fillId="35" borderId="11" xfId="0" applyNumberFormat="1" applyFont="1" applyFill="1" applyBorder="1" applyAlignment="1" applyProtection="1">
      <alignment vertical="center"/>
      <protection locked="0"/>
    </xf>
    <xf numFmtId="41" fontId="12" fillId="35" borderId="30" xfId="0" applyNumberFormat="1" applyFont="1" applyFill="1" applyBorder="1" applyAlignment="1" applyProtection="1">
      <alignment vertical="center"/>
      <protection locked="0"/>
    </xf>
    <xf numFmtId="0" fontId="4" fillId="34" borderId="0" xfId="0" applyFont="1" applyFill="1" applyAlignment="1" applyProtection="1">
      <alignment horizontal="center"/>
      <protection/>
    </xf>
    <xf numFmtId="0" fontId="4" fillId="0" borderId="13" xfId="0" applyFont="1" applyBorder="1" applyAlignment="1" applyProtection="1">
      <alignment horizontal="center" vertical="center"/>
      <protection/>
    </xf>
    <xf numFmtId="0" fontId="3" fillId="34" borderId="22" xfId="0" applyFont="1" applyFill="1" applyBorder="1" applyAlignment="1" applyProtection="1">
      <alignment/>
      <protection/>
    </xf>
    <xf numFmtId="41" fontId="12" fillId="35" borderId="15" xfId="0" applyNumberFormat="1" applyFont="1" applyFill="1" applyBorder="1" applyAlignment="1" applyProtection="1">
      <alignment vertical="center"/>
      <protection locked="0"/>
    </xf>
    <xf numFmtId="0" fontId="4" fillId="0" borderId="17" xfId="0" applyFont="1" applyBorder="1" applyAlignment="1" applyProtection="1">
      <alignment horizontal="center"/>
      <protection/>
    </xf>
    <xf numFmtId="0" fontId="4" fillId="0" borderId="31" xfId="0" applyFont="1" applyBorder="1" applyAlignment="1" applyProtection="1">
      <alignment horizontal="center" vertical="center"/>
      <protection/>
    </xf>
    <xf numFmtId="0" fontId="4" fillId="0" borderId="24" xfId="0" applyFont="1" applyBorder="1" applyAlignment="1" applyProtection="1">
      <alignment horizontal="center"/>
      <protection/>
    </xf>
    <xf numFmtId="41" fontId="12" fillId="35" borderId="32" xfId="0" applyNumberFormat="1" applyFont="1" applyFill="1" applyBorder="1" applyAlignment="1" applyProtection="1">
      <alignment vertical="center"/>
      <protection locked="0"/>
    </xf>
    <xf numFmtId="0" fontId="3" fillId="34" borderId="21" xfId="0" applyFont="1" applyFill="1" applyBorder="1" applyAlignment="1" applyProtection="1">
      <alignment/>
      <protection/>
    </xf>
    <xf numFmtId="0" fontId="3" fillId="0" borderId="0" xfId="0" applyFont="1" applyAlignment="1" applyProtection="1">
      <alignment/>
      <protection/>
    </xf>
    <xf numFmtId="0" fontId="3" fillId="34" borderId="0" xfId="0" applyFont="1" applyFill="1" applyAlignment="1" applyProtection="1">
      <alignment horizontal="center" vertical="center"/>
      <protection/>
    </xf>
    <xf numFmtId="0" fontId="4" fillId="0" borderId="17" xfId="59" applyFont="1" applyBorder="1" applyAlignment="1" applyProtection="1">
      <alignment horizontal="center"/>
      <protection/>
    </xf>
    <xf numFmtId="0" fontId="4" fillId="0" borderId="26" xfId="59" applyFont="1" applyBorder="1" applyAlignment="1" applyProtection="1">
      <alignment horizontal="center"/>
      <protection/>
    </xf>
    <xf numFmtId="0" fontId="4" fillId="0" borderId="24" xfId="59" applyFont="1" applyFill="1" applyBorder="1" applyAlignment="1" applyProtection="1">
      <alignment horizontal="center"/>
      <protection/>
    </xf>
    <xf numFmtId="0" fontId="4" fillId="0" borderId="25" xfId="59" applyFont="1" applyBorder="1" applyAlignment="1" applyProtection="1">
      <alignment horizontal="center"/>
      <protection/>
    </xf>
    <xf numFmtId="0" fontId="4" fillId="0" borderId="18" xfId="59" applyFont="1" applyBorder="1" applyAlignment="1" applyProtection="1">
      <alignment horizontal="center"/>
      <protection/>
    </xf>
    <xf numFmtId="0" fontId="4" fillId="0" borderId="33" xfId="59" applyFont="1" applyFill="1" applyBorder="1" applyAlignment="1" applyProtection="1">
      <alignment horizontal="center"/>
      <protection/>
    </xf>
    <xf numFmtId="0" fontId="4" fillId="0" borderId="34" xfId="59" applyFont="1" applyBorder="1" applyAlignment="1" applyProtection="1">
      <alignment horizontal="center"/>
      <protection/>
    </xf>
    <xf numFmtId="0" fontId="4" fillId="0" borderId="35" xfId="59" applyFont="1" applyFill="1" applyBorder="1" applyAlignment="1" applyProtection="1">
      <alignment horizontal="center"/>
      <protection/>
    </xf>
    <xf numFmtId="0" fontId="3" fillId="34" borderId="22" xfId="0" applyFont="1" applyFill="1" applyBorder="1" applyAlignment="1" applyProtection="1">
      <alignment vertical="center" wrapText="1"/>
      <protection/>
    </xf>
    <xf numFmtId="0" fontId="3" fillId="34" borderId="22" xfId="0" applyFont="1" applyFill="1" applyBorder="1" applyAlignment="1" applyProtection="1">
      <alignment horizontal="center" vertical="center"/>
      <protection/>
    </xf>
    <xf numFmtId="0" fontId="5" fillId="34" borderId="22" xfId="0" applyFont="1" applyFill="1" applyBorder="1" applyAlignment="1" applyProtection="1">
      <alignment vertical="center"/>
      <protection/>
    </xf>
    <xf numFmtId="41" fontId="12" fillId="35" borderId="14" xfId="0" applyNumberFormat="1" applyFont="1" applyFill="1" applyBorder="1" applyAlignment="1" applyProtection="1">
      <alignment vertical="center"/>
      <protection locked="0"/>
    </xf>
    <xf numFmtId="41" fontId="12" fillId="35" borderId="36" xfId="0" applyNumberFormat="1" applyFont="1" applyFill="1" applyBorder="1" applyAlignment="1" applyProtection="1">
      <alignment vertical="center"/>
      <protection locked="0"/>
    </xf>
    <xf numFmtId="0" fontId="3" fillId="34" borderId="0" xfId="0" applyFont="1" applyFill="1" applyAlignment="1" applyProtection="1">
      <alignment horizontal="center"/>
      <protection/>
    </xf>
    <xf numFmtId="49" fontId="12" fillId="35" borderId="11" xfId="0" applyNumberFormat="1" applyFont="1" applyFill="1" applyBorder="1" applyAlignment="1" applyProtection="1">
      <alignment vertical="center" wrapText="1"/>
      <protection locked="0"/>
    </xf>
    <xf numFmtId="49" fontId="12" fillId="36" borderId="11" xfId="0" applyNumberFormat="1" applyFont="1" applyFill="1" applyBorder="1" applyAlignment="1" applyProtection="1">
      <alignment horizontal="center" vertical="center" wrapText="1"/>
      <protection locked="0"/>
    </xf>
    <xf numFmtId="39" fontId="12" fillId="35" borderId="9" xfId="0" applyNumberFormat="1" applyFont="1" applyFill="1" applyBorder="1" applyAlignment="1" applyProtection="1">
      <alignment vertical="center"/>
      <protection locked="0"/>
    </xf>
    <xf numFmtId="0" fontId="4" fillId="0" borderId="26" xfId="0" applyFont="1" applyBorder="1" applyAlignment="1" applyProtection="1">
      <alignment horizontal="center"/>
      <protection/>
    </xf>
    <xf numFmtId="0" fontId="4" fillId="0" borderId="37" xfId="0" applyFont="1" applyBorder="1" applyAlignment="1" applyProtection="1">
      <alignment horizontal="center"/>
      <protection/>
    </xf>
    <xf numFmtId="0" fontId="4" fillId="0" borderId="33" xfId="0" applyFont="1" applyBorder="1" applyAlignment="1" applyProtection="1">
      <alignment horizontal="center"/>
      <protection/>
    </xf>
    <xf numFmtId="0" fontId="3" fillId="34" borderId="21" xfId="0" applyFont="1" applyFill="1" applyBorder="1" applyAlignment="1" applyProtection="1">
      <alignment horizontal="center"/>
      <protection/>
    </xf>
    <xf numFmtId="0" fontId="4" fillId="34" borderId="21" xfId="0" applyFont="1" applyFill="1" applyBorder="1" applyAlignment="1" applyProtection="1">
      <alignment/>
      <protection/>
    </xf>
    <xf numFmtId="0" fontId="4" fillId="33" borderId="0" xfId="59" applyFont="1" applyFill="1" applyBorder="1" applyAlignment="1" applyProtection="1">
      <alignment/>
      <protection/>
    </xf>
    <xf numFmtId="0" fontId="4" fillId="0" borderId="36" xfId="59" applyFont="1" applyFill="1" applyBorder="1" applyProtection="1">
      <alignment/>
      <protection/>
    </xf>
    <xf numFmtId="166" fontId="12" fillId="0" borderId="11" xfId="0" applyNumberFormat="1" applyFont="1" applyFill="1" applyBorder="1" applyAlignment="1" applyProtection="1">
      <alignment vertical="center"/>
      <protection/>
    </xf>
    <xf numFmtId="166" fontId="12" fillId="0" borderId="30" xfId="0" applyNumberFormat="1" applyFont="1" applyFill="1" applyBorder="1" applyAlignment="1" applyProtection="1">
      <alignment vertical="center"/>
      <protection/>
    </xf>
    <xf numFmtId="37" fontId="12" fillId="0" borderId="38" xfId="0" applyNumberFormat="1" applyFont="1" applyBorder="1" applyAlignment="1" applyProtection="1">
      <alignment vertical="center"/>
      <protection/>
    </xf>
    <xf numFmtId="0" fontId="12" fillId="0" borderId="0" xfId="0" applyFont="1" applyBorder="1" applyAlignment="1" applyProtection="1">
      <alignment/>
      <protection/>
    </xf>
    <xf numFmtId="0" fontId="12" fillId="34" borderId="39" xfId="0" applyFont="1" applyFill="1" applyBorder="1" applyAlignment="1" applyProtection="1">
      <alignment vertical="center"/>
      <protection/>
    </xf>
    <xf numFmtId="0" fontId="0" fillId="0" borderId="0" xfId="0" applyFont="1" applyFill="1" applyAlignment="1">
      <alignment wrapText="1"/>
    </xf>
    <xf numFmtId="0" fontId="4" fillId="33" borderId="0" xfId="0" applyFont="1" applyFill="1" applyAlignment="1">
      <alignment horizontal="center"/>
    </xf>
    <xf numFmtId="0" fontId="3" fillId="33" borderId="0" xfId="0" applyFont="1" applyFill="1" applyAlignment="1" applyProtection="1">
      <alignment/>
      <protection/>
    </xf>
    <xf numFmtId="0" fontId="77" fillId="0" borderId="0" xfId="0" applyFont="1" applyAlignment="1">
      <alignment wrapText="1"/>
    </xf>
    <xf numFmtId="0" fontId="4" fillId="0" borderId="18" xfId="0" applyFont="1" applyBorder="1" applyAlignment="1" applyProtection="1">
      <alignment/>
      <protection/>
    </xf>
    <xf numFmtId="0" fontId="4" fillId="0" borderId="9" xfId="0" applyFont="1" applyBorder="1" applyAlignment="1" applyProtection="1">
      <alignment vertical="center"/>
      <protection/>
    </xf>
    <xf numFmtId="0" fontId="3" fillId="0" borderId="11" xfId="0" applyFont="1" applyBorder="1" applyAlignment="1" applyProtection="1">
      <alignment horizontal="center" wrapText="1"/>
      <protection/>
    </xf>
    <xf numFmtId="3" fontId="12" fillId="35" borderId="9" xfId="0" applyNumberFormat="1" applyFont="1" applyFill="1" applyBorder="1" applyAlignment="1" applyProtection="1">
      <alignment/>
      <protection locked="0"/>
    </xf>
    <xf numFmtId="0" fontId="4" fillId="0" borderId="37" xfId="0" applyFont="1" applyBorder="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horizontal="left" wrapText="1"/>
      <protection/>
    </xf>
    <xf numFmtId="0" fontId="3" fillId="37" borderId="22" xfId="59" applyFont="1" applyFill="1" applyBorder="1" applyAlignment="1" applyProtection="1">
      <alignment/>
      <protection/>
    </xf>
    <xf numFmtId="0" fontId="3" fillId="37" borderId="13" xfId="59" applyFont="1" applyFill="1" applyBorder="1" applyAlignment="1" applyProtection="1">
      <alignment/>
      <protection/>
    </xf>
    <xf numFmtId="0" fontId="4" fillId="0" borderId="29"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33" xfId="0" applyFont="1" applyBorder="1" applyAlignment="1" applyProtection="1">
      <alignment horizontal="center" vertical="center"/>
      <protection/>
    </xf>
    <xf numFmtId="0" fontId="3" fillId="0" borderId="0" xfId="0" applyFont="1" applyAlignment="1" applyProtection="1">
      <alignment horizontal="center"/>
      <protection/>
    </xf>
    <xf numFmtId="0" fontId="12" fillId="34" borderId="40" xfId="0" applyFont="1" applyFill="1" applyBorder="1" applyAlignment="1" applyProtection="1">
      <alignment vertical="center"/>
      <protection/>
    </xf>
    <xf numFmtId="0" fontId="3" fillId="0" borderId="0" xfId="0" applyFont="1" applyAlignment="1" applyProtection="1">
      <alignment horizontal="center" wrapText="1"/>
      <protection/>
    </xf>
    <xf numFmtId="0" fontId="3" fillId="33" borderId="0" xfId="0" applyFont="1" applyFill="1" applyBorder="1" applyAlignment="1" applyProtection="1">
      <alignment vertical="center" wrapText="1"/>
      <protection/>
    </xf>
    <xf numFmtId="0" fontId="78" fillId="33" borderId="17" xfId="0" applyFont="1" applyFill="1" applyBorder="1" applyAlignment="1" applyProtection="1">
      <alignment horizontal="center" vertical="center"/>
      <protection/>
    </xf>
    <xf numFmtId="0" fontId="3" fillId="33" borderId="9" xfId="0" applyFont="1" applyFill="1" applyBorder="1" applyAlignment="1">
      <alignment horizontal="center"/>
    </xf>
    <xf numFmtId="0" fontId="14" fillId="33" borderId="17"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3" fillId="34" borderId="21" xfId="0" applyFont="1" applyFill="1" applyBorder="1" applyAlignment="1" applyProtection="1">
      <alignment vertical="center"/>
      <protection/>
    </xf>
    <xf numFmtId="37" fontId="12" fillId="35" borderId="11" xfId="0" applyNumberFormat="1" applyFont="1" applyFill="1" applyBorder="1" applyAlignment="1" applyProtection="1">
      <alignment vertical="center" wrapText="1"/>
      <protection locked="0"/>
    </xf>
    <xf numFmtId="0" fontId="3" fillId="0" borderId="0" xfId="0" applyFont="1" applyBorder="1" applyAlignment="1" applyProtection="1">
      <alignment horizontal="center" wrapText="1"/>
      <protection/>
    </xf>
    <xf numFmtId="0" fontId="4" fillId="33" borderId="0" xfId="0" applyFont="1" applyFill="1" applyBorder="1" applyAlignment="1" applyProtection="1">
      <alignment/>
      <protection/>
    </xf>
    <xf numFmtId="0" fontId="4" fillId="34" borderId="41" xfId="0" applyFont="1" applyFill="1" applyBorder="1" applyAlignment="1" applyProtection="1">
      <alignment horizontal="center"/>
      <protection/>
    </xf>
    <xf numFmtId="0" fontId="4" fillId="34" borderId="41" xfId="0" applyFont="1" applyFill="1" applyBorder="1" applyAlignment="1" applyProtection="1">
      <alignment/>
      <protection/>
    </xf>
    <xf numFmtId="0" fontId="3" fillId="33" borderId="20" xfId="0" applyFont="1" applyFill="1" applyBorder="1" applyAlignment="1" applyProtection="1">
      <alignment horizontal="center" wrapText="1"/>
      <protection/>
    </xf>
    <xf numFmtId="0" fontId="3" fillId="33" borderId="32" xfId="0" applyFont="1" applyFill="1" applyBorder="1" applyAlignment="1" applyProtection="1">
      <alignment horizontal="center" wrapText="1"/>
      <protection/>
    </xf>
    <xf numFmtId="37" fontId="12" fillId="35" borderId="9" xfId="0" applyNumberFormat="1" applyFont="1" applyFill="1" applyBorder="1" applyAlignment="1" applyProtection="1">
      <alignment vertical="center" wrapText="1"/>
      <protection locked="0"/>
    </xf>
    <xf numFmtId="180" fontId="12" fillId="35" borderId="11" xfId="0" applyNumberFormat="1" applyFont="1" applyFill="1" applyBorder="1" applyAlignment="1" applyProtection="1">
      <alignment vertical="center"/>
      <protection locked="0"/>
    </xf>
    <xf numFmtId="49" fontId="12" fillId="35" borderId="9" xfId="0" applyNumberFormat="1" applyFont="1" applyFill="1" applyBorder="1" applyAlignment="1" applyProtection="1">
      <alignment vertical="center" wrapText="1"/>
      <protection locked="0"/>
    </xf>
    <xf numFmtId="0" fontId="4" fillId="0" borderId="0" xfId="0" applyFont="1" applyBorder="1" applyAlignment="1" applyProtection="1">
      <alignment vertical="center"/>
      <protection/>
    </xf>
    <xf numFmtId="0" fontId="4" fillId="34" borderId="22" xfId="0" applyFont="1" applyFill="1" applyBorder="1" applyAlignment="1" applyProtection="1">
      <alignment vertical="center"/>
      <protection/>
    </xf>
    <xf numFmtId="0" fontId="3" fillId="0" borderId="42" xfId="0" applyFont="1" applyBorder="1" applyAlignment="1" applyProtection="1">
      <alignment vertical="center"/>
      <protection/>
    </xf>
    <xf numFmtId="0" fontId="3" fillId="0" borderId="9" xfId="0" applyFont="1" applyBorder="1" applyAlignment="1" applyProtection="1">
      <alignment horizontal="center" wrapText="1"/>
      <protection/>
    </xf>
    <xf numFmtId="0" fontId="3" fillId="0" borderId="14" xfId="0" applyFont="1" applyBorder="1" applyAlignment="1" applyProtection="1">
      <alignment horizontal="center"/>
      <protection/>
    </xf>
    <xf numFmtId="0" fontId="4" fillId="33" borderId="0" xfId="0" applyFont="1" applyFill="1" applyBorder="1" applyAlignment="1">
      <alignment/>
    </xf>
    <xf numFmtId="0" fontId="3" fillId="34" borderId="21" xfId="0"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168" fontId="3" fillId="0" borderId="11" xfId="0" applyNumberFormat="1" applyFont="1" applyBorder="1" applyAlignment="1" applyProtection="1">
      <alignment horizontal="center" vertical="center" wrapText="1"/>
      <protection/>
    </xf>
    <xf numFmtId="0" fontId="4" fillId="33" borderId="0" xfId="0" applyFont="1" applyFill="1" applyBorder="1" applyAlignment="1" applyProtection="1">
      <alignment wrapText="1"/>
      <protection/>
    </xf>
    <xf numFmtId="0" fontId="73" fillId="33" borderId="17" xfId="61" applyFont="1" applyFill="1" applyBorder="1" applyAlignment="1" applyProtection="1">
      <alignment horizontal="center"/>
      <protection/>
    </xf>
    <xf numFmtId="0" fontId="73" fillId="33" borderId="11" xfId="61" applyFont="1" applyFill="1" applyBorder="1" applyAlignment="1" applyProtection="1">
      <alignment horizontal="center" wrapText="1"/>
      <protection/>
    </xf>
    <xf numFmtId="180" fontId="73" fillId="33" borderId="11" xfId="61" applyNumberFormat="1" applyFont="1" applyFill="1" applyBorder="1" applyAlignment="1" applyProtection="1">
      <alignment horizontal="center" wrapText="1"/>
      <protection/>
    </xf>
    <xf numFmtId="2" fontId="73" fillId="33" borderId="9" xfId="61" applyNumberFormat="1" applyFont="1" applyFill="1" applyBorder="1" applyAlignment="1" applyProtection="1">
      <alignment horizontal="center" wrapText="1"/>
      <protection/>
    </xf>
    <xf numFmtId="0" fontId="74" fillId="33" borderId="17" xfId="61" applyFont="1" applyFill="1" applyBorder="1" applyAlignment="1" applyProtection="1">
      <alignment horizontal="center"/>
      <protection/>
    </xf>
    <xf numFmtId="0" fontId="74" fillId="33" borderId="39" xfId="61" applyFont="1" applyFill="1" applyBorder="1" applyAlignment="1" applyProtection="1">
      <alignment horizontal="center" vertical="center"/>
      <protection/>
    </xf>
    <xf numFmtId="0" fontId="74" fillId="33" borderId="39" xfId="61" applyFont="1" applyFill="1" applyBorder="1" applyAlignment="1" applyProtection="1">
      <alignment vertical="center" wrapText="1"/>
      <protection/>
    </xf>
    <xf numFmtId="180" fontId="74" fillId="33" borderId="39" xfId="61" applyNumberFormat="1" applyFont="1" applyFill="1" applyBorder="1" applyAlignment="1" applyProtection="1">
      <alignment vertical="center"/>
      <protection/>
    </xf>
    <xf numFmtId="0" fontId="4" fillId="0" borderId="18" xfId="0" applyFont="1" applyBorder="1" applyAlignment="1" applyProtection="1">
      <alignment horizontal="center"/>
      <protection/>
    </xf>
    <xf numFmtId="0" fontId="4" fillId="0" borderId="15" xfId="0" applyFont="1" applyBorder="1" applyAlignment="1" applyProtection="1">
      <alignment/>
      <protection/>
    </xf>
    <xf numFmtId="0" fontId="4" fillId="34" borderId="14" xfId="0" applyFont="1" applyFill="1" applyBorder="1" applyAlignment="1" applyProtection="1">
      <alignment vertical="center"/>
      <protection/>
    </xf>
    <xf numFmtId="167" fontId="3" fillId="0" borderId="14" xfId="0" applyNumberFormat="1" applyFont="1" applyBorder="1" applyAlignment="1" applyProtection="1">
      <alignment horizontal="center"/>
      <protection/>
    </xf>
    <xf numFmtId="0" fontId="3" fillId="0" borderId="30" xfId="0" applyFont="1" applyFill="1" applyBorder="1" applyAlignment="1" applyProtection="1">
      <alignment vertical="center"/>
      <protection/>
    </xf>
    <xf numFmtId="0" fontId="4" fillId="0" borderId="17" xfId="0" applyFont="1" applyFill="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4" fillId="0" borderId="11" xfId="0" applyFont="1" applyBorder="1" applyAlignment="1" applyProtection="1">
      <alignment horizontal="left" vertical="center" indent="1"/>
      <protection/>
    </xf>
    <xf numFmtId="0" fontId="4" fillId="0" borderId="27" xfId="0" applyFont="1" applyFill="1" applyBorder="1" applyAlignment="1" applyProtection="1">
      <alignment horizontal="center" vertical="center"/>
      <protection/>
    </xf>
    <xf numFmtId="0" fontId="3" fillId="0" borderId="43" xfId="0" applyFont="1" applyBorder="1" applyAlignment="1" applyProtection="1">
      <alignment vertical="center"/>
      <protection/>
    </xf>
    <xf numFmtId="0" fontId="4" fillId="0" borderId="44" xfId="0" applyFont="1" applyBorder="1" applyAlignment="1" applyProtection="1">
      <alignment horizontal="center" vertical="center"/>
      <protection/>
    </xf>
    <xf numFmtId="0" fontId="3" fillId="0" borderId="45" xfId="0" applyFont="1" applyBorder="1" applyAlignment="1" applyProtection="1">
      <alignment vertical="center"/>
      <protection/>
    </xf>
    <xf numFmtId="0" fontId="4" fillId="34" borderId="14" xfId="0" applyFont="1" applyFill="1" applyBorder="1" applyAlignment="1" applyProtection="1">
      <alignment/>
      <protection/>
    </xf>
    <xf numFmtId="0" fontId="3" fillId="0" borderId="30" xfId="0" applyFont="1" applyBorder="1" applyAlignment="1" applyProtection="1">
      <alignment/>
      <protection/>
    </xf>
    <xf numFmtId="0" fontId="4" fillId="33" borderId="0" xfId="0" applyFont="1" applyFill="1" applyBorder="1" applyAlignment="1" applyProtection="1">
      <alignment/>
      <protection/>
    </xf>
    <xf numFmtId="0" fontId="3" fillId="0" borderId="18" xfId="0" applyFont="1" applyBorder="1" applyAlignment="1" applyProtection="1">
      <alignment horizontal="center" textRotation="90" wrapText="1"/>
      <protection/>
    </xf>
    <xf numFmtId="0" fontId="4" fillId="0" borderId="17" xfId="0" applyFont="1" applyBorder="1" applyAlignment="1" applyProtection="1">
      <alignment horizontal="center" wrapText="1"/>
      <protection/>
    </xf>
    <xf numFmtId="0" fontId="4" fillId="0" borderId="17" xfId="0" applyFont="1" applyFill="1" applyBorder="1" applyAlignment="1" applyProtection="1">
      <alignment/>
      <protection/>
    </xf>
    <xf numFmtId="0" fontId="12" fillId="32" borderId="11" xfId="59" applyFont="1" applyFill="1" applyBorder="1" applyAlignment="1" applyProtection="1">
      <alignment horizontal="center"/>
      <protection locked="0"/>
    </xf>
    <xf numFmtId="0" fontId="3" fillId="0" borderId="0" xfId="0" applyFont="1" applyAlignment="1" applyProtection="1">
      <alignment horizontal="center" vertical="center"/>
      <protection/>
    </xf>
    <xf numFmtId="0" fontId="3" fillId="0" borderId="0" xfId="0" applyFont="1" applyBorder="1" applyAlignment="1" applyProtection="1">
      <alignment horizontal="center" vertical="center"/>
      <protection/>
    </xf>
    <xf numFmtId="0" fontId="0" fillId="0" borderId="0" xfId="0" applyFont="1" applyAlignment="1">
      <alignment/>
    </xf>
    <xf numFmtId="0" fontId="3" fillId="0" borderId="13" xfId="0" applyFont="1" applyFill="1" applyBorder="1" applyAlignment="1" applyProtection="1">
      <alignment horizontal="center"/>
      <protection/>
    </xf>
    <xf numFmtId="0" fontId="79" fillId="34" borderId="0" xfId="0" applyFont="1" applyFill="1" applyAlignment="1" applyProtection="1">
      <alignment/>
      <protection/>
    </xf>
    <xf numFmtId="0" fontId="3" fillId="0" borderId="32" xfId="0" applyFont="1" applyBorder="1" applyAlignment="1" applyProtection="1">
      <alignment horizontal="center" wrapText="1"/>
      <protection/>
    </xf>
    <xf numFmtId="0" fontId="4" fillId="0" borderId="17" xfId="0" applyFont="1" applyBorder="1" applyAlignment="1" applyProtection="1">
      <alignment vertical="center"/>
      <protection/>
    </xf>
    <xf numFmtId="0" fontId="3" fillId="0" borderId="46" xfId="0" applyFont="1" applyBorder="1" applyAlignment="1" applyProtection="1">
      <alignment horizontal="center" vertical="center" wrapText="1"/>
      <protection/>
    </xf>
    <xf numFmtId="0" fontId="3" fillId="0" borderId="36" xfId="0" applyFont="1" applyBorder="1" applyAlignment="1" applyProtection="1">
      <alignment horizontal="center" wrapText="1"/>
      <protection/>
    </xf>
    <xf numFmtId="0" fontId="79" fillId="34" borderId="22" xfId="0" applyFont="1" applyFill="1" applyBorder="1" applyAlignment="1" applyProtection="1">
      <alignment/>
      <protection/>
    </xf>
    <xf numFmtId="0" fontId="80" fillId="34" borderId="0" xfId="0" applyFont="1" applyFill="1" applyBorder="1" applyAlignment="1" applyProtection="1">
      <alignment horizontal="left" vertical="center" wrapText="1"/>
      <protection/>
    </xf>
    <xf numFmtId="0" fontId="3" fillId="34" borderId="21" xfId="0" applyFont="1" applyFill="1" applyBorder="1" applyAlignment="1" applyProtection="1">
      <alignment horizontal="left" vertical="center" wrapText="1"/>
      <protection/>
    </xf>
    <xf numFmtId="0" fontId="3" fillId="0" borderId="33" xfId="0" applyFont="1" applyBorder="1" applyAlignment="1" applyProtection="1">
      <alignment horizontal="center" vertical="center"/>
      <protection/>
    </xf>
    <xf numFmtId="0" fontId="3" fillId="33" borderId="33"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4" fillId="33" borderId="23" xfId="0" applyFont="1" applyFill="1" applyBorder="1" applyAlignment="1" applyProtection="1">
      <alignment vertical="center"/>
      <protection/>
    </xf>
    <xf numFmtId="0" fontId="3" fillId="33" borderId="42" xfId="0" applyFont="1" applyFill="1" applyBorder="1" applyAlignment="1" applyProtection="1">
      <alignment vertical="center"/>
      <protection/>
    </xf>
    <xf numFmtId="0" fontId="4" fillId="33" borderId="0" xfId="0" applyFont="1" applyFill="1" applyAlignment="1" applyProtection="1">
      <alignment horizontal="center"/>
      <protection/>
    </xf>
    <xf numFmtId="0" fontId="3" fillId="0" borderId="18" xfId="59" applyFont="1" applyBorder="1" applyAlignment="1" applyProtection="1">
      <alignment horizontal="center"/>
      <protection/>
    </xf>
    <xf numFmtId="164" fontId="3" fillId="0" borderId="46" xfId="0" applyNumberFormat="1" applyFont="1" applyBorder="1" applyAlignment="1" applyProtection="1">
      <alignment horizontal="center"/>
      <protection/>
    </xf>
    <xf numFmtId="164" fontId="3" fillId="0" borderId="15" xfId="59" applyNumberFormat="1" applyFont="1" applyBorder="1" applyAlignment="1" applyProtection="1">
      <alignment horizontal="center"/>
      <protection/>
    </xf>
    <xf numFmtId="0" fontId="3" fillId="33" borderId="32" xfId="0" applyFont="1" applyFill="1" applyBorder="1" applyAlignment="1" applyProtection="1">
      <alignment horizontal="center"/>
      <protection/>
    </xf>
    <xf numFmtId="0" fontId="3" fillId="33" borderId="36" xfId="0" applyFont="1" applyFill="1" applyBorder="1" applyAlignment="1" applyProtection="1">
      <alignment horizontal="center"/>
      <protection/>
    </xf>
    <xf numFmtId="164" fontId="3" fillId="0" borderId="14" xfId="0" applyNumberFormat="1" applyFont="1" applyBorder="1" applyAlignment="1" applyProtection="1">
      <alignment horizontal="center"/>
      <protection/>
    </xf>
    <xf numFmtId="37" fontId="3" fillId="0" borderId="14" xfId="59" applyNumberFormat="1" applyFont="1" applyFill="1" applyBorder="1" applyAlignment="1" applyProtection="1">
      <alignment horizontal="center" wrapText="1"/>
      <protection/>
    </xf>
    <xf numFmtId="0" fontId="4" fillId="34" borderId="22" xfId="0" applyFont="1" applyFill="1" applyBorder="1" applyAlignment="1" applyProtection="1">
      <alignment horizontal="center"/>
      <protection/>
    </xf>
    <xf numFmtId="0" fontId="4" fillId="33" borderId="25" xfId="0" applyFont="1" applyFill="1" applyBorder="1" applyAlignment="1" applyProtection="1">
      <alignment horizontal="center"/>
      <protection/>
    </xf>
    <xf numFmtId="0" fontId="4" fillId="0" borderId="9" xfId="59" applyFont="1" applyFill="1" applyBorder="1" applyAlignment="1" applyProtection="1">
      <alignment vertical="center"/>
      <protection/>
    </xf>
    <xf numFmtId="0" fontId="4" fillId="0" borderId="20" xfId="0" applyFont="1" applyBorder="1" applyAlignment="1" applyProtection="1">
      <alignment horizontal="center" vertical="center"/>
      <protection/>
    </xf>
    <xf numFmtId="41" fontId="12" fillId="35" borderId="14" xfId="0" applyNumberFormat="1" applyFont="1" applyFill="1" applyBorder="1" applyAlignment="1" applyProtection="1">
      <alignment vertical="center" wrapText="1"/>
      <protection locked="0"/>
    </xf>
    <xf numFmtId="41" fontId="4" fillId="0" borderId="0" xfId="0" applyNumberFormat="1" applyFont="1" applyAlignment="1" applyProtection="1">
      <alignment/>
      <protection/>
    </xf>
    <xf numFmtId="0" fontId="4" fillId="0" borderId="9" xfId="0" applyFont="1" applyBorder="1" applyAlignment="1" applyProtection="1">
      <alignment vertical="center" wrapText="1"/>
      <protection/>
    </xf>
    <xf numFmtId="0" fontId="4" fillId="0" borderId="13" xfId="0" applyFont="1" applyBorder="1" applyAlignment="1" applyProtection="1">
      <alignment vertical="center" wrapText="1"/>
      <protection/>
    </xf>
    <xf numFmtId="0" fontId="3" fillId="0" borderId="42" xfId="0" applyFont="1" applyBorder="1" applyAlignment="1" applyProtection="1">
      <alignment vertical="center" wrapText="1"/>
      <protection/>
    </xf>
    <xf numFmtId="49" fontId="4" fillId="0" borderId="13" xfId="0" applyNumberFormat="1" applyFont="1" applyBorder="1" applyAlignment="1" applyProtection="1">
      <alignment vertical="center" wrapText="1"/>
      <protection/>
    </xf>
    <xf numFmtId="0" fontId="4" fillId="0" borderId="40" xfId="0" applyFont="1" applyBorder="1" applyAlignment="1" applyProtection="1">
      <alignment vertical="center" wrapText="1"/>
      <protection/>
    </xf>
    <xf numFmtId="0" fontId="3" fillId="0" borderId="47" xfId="0" applyFont="1" applyBorder="1" applyAlignment="1" applyProtection="1">
      <alignment vertical="center"/>
      <protection/>
    </xf>
    <xf numFmtId="0" fontId="3" fillId="0" borderId="48" xfId="0" applyFont="1" applyBorder="1" applyAlignment="1" applyProtection="1">
      <alignment vertical="center" wrapText="1"/>
      <protection/>
    </xf>
    <xf numFmtId="41" fontId="12" fillId="0" borderId="47" xfId="0" applyNumberFormat="1" applyFont="1" applyBorder="1" applyAlignment="1" applyProtection="1">
      <alignment vertical="center"/>
      <protection/>
    </xf>
    <xf numFmtId="0" fontId="4" fillId="0" borderId="27" xfId="0" applyFont="1" applyBorder="1" applyAlignment="1" applyProtection="1">
      <alignment horizontal="centerContinuous"/>
      <protection/>
    </xf>
    <xf numFmtId="0" fontId="4" fillId="0" borderId="42" xfId="0" applyFont="1" applyBorder="1" applyAlignment="1" applyProtection="1">
      <alignment/>
      <protection/>
    </xf>
    <xf numFmtId="49" fontId="4" fillId="0" borderId="21" xfId="0" applyNumberFormat="1" applyFont="1" applyBorder="1" applyAlignment="1" applyProtection="1">
      <alignment vertical="center" wrapText="1"/>
      <protection/>
    </xf>
    <xf numFmtId="0" fontId="4" fillId="0" borderId="11" xfId="0" applyFont="1" applyFill="1" applyBorder="1" applyAlignment="1" applyProtection="1">
      <alignment vertical="center" wrapText="1"/>
      <protection/>
    </xf>
    <xf numFmtId="0" fontId="3" fillId="0" borderId="49" xfId="0" applyFont="1" applyBorder="1" applyAlignment="1" applyProtection="1">
      <alignment vertical="center" wrapText="1"/>
      <protection/>
    </xf>
    <xf numFmtId="0" fontId="3" fillId="0" borderId="15" xfId="0" applyFont="1" applyBorder="1" applyAlignment="1" applyProtection="1">
      <alignment vertical="center" wrapText="1"/>
      <protection/>
    </xf>
    <xf numFmtId="0" fontId="4" fillId="0" borderId="36" xfId="0" applyFont="1" applyBorder="1" applyAlignment="1" applyProtection="1">
      <alignment vertical="center" wrapText="1"/>
      <protection/>
    </xf>
    <xf numFmtId="0" fontId="4" fillId="0" borderId="11" xfId="0" applyFont="1" applyBorder="1" applyAlignment="1" applyProtection="1">
      <alignment horizontal="left"/>
      <protection/>
    </xf>
    <xf numFmtId="0" fontId="4" fillId="0" borderId="36" xfId="0" applyFont="1" applyBorder="1" applyAlignment="1" applyProtection="1">
      <alignment vertical="center"/>
      <protection/>
    </xf>
    <xf numFmtId="41" fontId="12" fillId="35" borderId="28" xfId="0" applyNumberFormat="1" applyFont="1" applyFill="1" applyBorder="1" applyAlignment="1" applyProtection="1">
      <alignment vertical="center"/>
      <protection locked="0"/>
    </xf>
    <xf numFmtId="41" fontId="12" fillId="35" borderId="46" xfId="0" applyNumberFormat="1" applyFont="1" applyFill="1" applyBorder="1" applyAlignment="1" applyProtection="1">
      <alignment vertical="center"/>
      <protection locked="0"/>
    </xf>
    <xf numFmtId="0" fontId="4" fillId="0" borderId="32" xfId="0" applyFont="1" applyBorder="1" applyAlignment="1" applyProtection="1">
      <alignment/>
      <protection/>
    </xf>
    <xf numFmtId="0" fontId="4" fillId="0" borderId="29" xfId="0" applyFont="1" applyBorder="1" applyAlignment="1" applyProtection="1">
      <alignment/>
      <protection/>
    </xf>
    <xf numFmtId="0" fontId="3" fillId="0" borderId="50" xfId="0" applyFont="1" applyBorder="1" applyAlignment="1" applyProtection="1">
      <alignment horizontal="center" wrapText="1"/>
      <protection/>
    </xf>
    <xf numFmtId="0" fontId="4" fillId="34" borderId="47" xfId="0" applyFont="1" applyFill="1" applyBorder="1" applyAlignment="1" applyProtection="1">
      <alignment/>
      <protection/>
    </xf>
    <xf numFmtId="0" fontId="3" fillId="34" borderId="48" xfId="0" applyFont="1" applyFill="1" applyBorder="1" applyAlignment="1" applyProtection="1">
      <alignment horizontal="center" wrapText="1"/>
      <protection/>
    </xf>
    <xf numFmtId="0" fontId="3" fillId="0" borderId="51" xfId="0" applyFont="1" applyBorder="1" applyAlignment="1" applyProtection="1">
      <alignment horizontal="center" wrapText="1"/>
      <protection/>
    </xf>
    <xf numFmtId="0" fontId="4" fillId="0" borderId="50" xfId="0" applyFont="1" applyBorder="1" applyAlignment="1" applyProtection="1">
      <alignment horizontal="center"/>
      <protection/>
    </xf>
    <xf numFmtId="0" fontId="4" fillId="34" borderId="48" xfId="0" applyFont="1" applyFill="1" applyBorder="1" applyAlignment="1" applyProtection="1">
      <alignment horizontal="center"/>
      <protection/>
    </xf>
    <xf numFmtId="0" fontId="4" fillId="0" borderId="15" xfId="0" applyFont="1" applyBorder="1" applyAlignment="1" applyProtection="1">
      <alignment vertical="center"/>
      <protection/>
    </xf>
    <xf numFmtId="0" fontId="3" fillId="0" borderId="47" xfId="0" applyFont="1" applyBorder="1" applyAlignment="1" applyProtection="1">
      <alignment vertical="center" wrapText="1"/>
      <protection/>
    </xf>
    <xf numFmtId="0" fontId="4" fillId="0" borderId="30" xfId="0" applyFont="1" applyFill="1" applyBorder="1" applyAlignment="1" applyProtection="1">
      <alignment vertical="center" wrapText="1"/>
      <protection/>
    </xf>
    <xf numFmtId="0" fontId="3" fillId="0" borderId="0" xfId="0" applyFont="1" applyAlignment="1" applyProtection="1">
      <alignment horizontal="center" vertical="center" wrapText="1"/>
      <protection/>
    </xf>
    <xf numFmtId="41" fontId="12" fillId="36" borderId="46" xfId="0" applyNumberFormat="1" applyFont="1" applyFill="1" applyBorder="1" applyAlignment="1" applyProtection="1">
      <alignment vertical="center"/>
      <protection locked="0"/>
    </xf>
    <xf numFmtId="42" fontId="3" fillId="0" borderId="9" xfId="0" applyNumberFormat="1" applyFont="1" applyBorder="1" applyAlignment="1" applyProtection="1">
      <alignment horizontal="center" vertical="center" wrapText="1"/>
      <protection/>
    </xf>
    <xf numFmtId="0" fontId="3" fillId="0" borderId="42" xfId="0" applyFont="1" applyFill="1" applyBorder="1" applyAlignment="1" applyProtection="1">
      <alignment vertical="center"/>
      <protection/>
    </xf>
    <xf numFmtId="41" fontId="12" fillId="33" borderId="47" xfId="0" applyNumberFormat="1" applyFont="1" applyFill="1" applyBorder="1" applyAlignment="1" applyProtection="1">
      <alignment vertical="center"/>
      <protection/>
    </xf>
    <xf numFmtId="0" fontId="3" fillId="0" borderId="32" xfId="0" applyFont="1" applyBorder="1" applyAlignment="1" applyProtection="1">
      <alignment horizontal="center" vertical="center" wrapText="1"/>
      <protection/>
    </xf>
    <xf numFmtId="0" fontId="3" fillId="0" borderId="32" xfId="0" applyFont="1" applyFill="1" applyBorder="1" applyAlignment="1" applyProtection="1">
      <alignment horizontal="center" vertical="center" wrapText="1"/>
      <protection/>
    </xf>
    <xf numFmtId="0" fontId="3" fillId="0" borderId="36" xfId="0" applyFont="1" applyFill="1" applyBorder="1" applyAlignment="1" applyProtection="1">
      <alignment horizontal="center" vertical="center" wrapText="1"/>
      <protection/>
    </xf>
    <xf numFmtId="0" fontId="4" fillId="0" borderId="52" xfId="0" applyFont="1" applyBorder="1" applyAlignment="1" applyProtection="1">
      <alignment vertical="center"/>
      <protection/>
    </xf>
    <xf numFmtId="49" fontId="3" fillId="0" borderId="0" xfId="0" applyNumberFormat="1" applyFont="1" applyFill="1" applyBorder="1" applyAlignment="1" applyProtection="1">
      <alignment vertical="center"/>
      <protection/>
    </xf>
    <xf numFmtId="0" fontId="4" fillId="0" borderId="17" xfId="0" applyFont="1" applyBorder="1" applyAlignment="1" applyProtection="1">
      <alignment vertical="center" wrapText="1"/>
      <protection/>
    </xf>
    <xf numFmtId="0" fontId="4" fillId="0" borderId="39" xfId="0" applyFont="1" applyBorder="1" applyAlignment="1" applyProtection="1">
      <alignment vertical="center"/>
      <protection/>
    </xf>
    <xf numFmtId="0" fontId="4" fillId="0" borderId="9" xfId="59" applyFont="1" applyFill="1" applyBorder="1" applyAlignment="1" applyProtection="1">
      <alignment vertical="center" wrapText="1"/>
      <protection/>
    </xf>
    <xf numFmtId="0" fontId="4" fillId="0" borderId="29" xfId="59" applyFont="1" applyFill="1" applyBorder="1" applyAlignment="1" applyProtection="1">
      <alignment vertical="center"/>
      <protection/>
    </xf>
    <xf numFmtId="41" fontId="12" fillId="0" borderId="43" xfId="0" applyNumberFormat="1" applyFont="1" applyBorder="1" applyAlignment="1" applyProtection="1">
      <alignment/>
      <protection/>
    </xf>
    <xf numFmtId="0" fontId="3" fillId="0" borderId="21" xfId="0" applyFont="1" applyBorder="1" applyAlignment="1" applyProtection="1">
      <alignment horizontal="center" vertical="center" wrapText="1"/>
      <protection/>
    </xf>
    <xf numFmtId="0" fontId="4" fillId="0" borderId="22" xfId="0" applyFont="1" applyBorder="1" applyAlignment="1" applyProtection="1">
      <alignment vertical="center" wrapText="1"/>
      <protection/>
    </xf>
    <xf numFmtId="0" fontId="4" fillId="0" borderId="53" xfId="0" applyFont="1" applyBorder="1" applyAlignment="1" applyProtection="1">
      <alignment vertical="center"/>
      <protection/>
    </xf>
    <xf numFmtId="0" fontId="4" fillId="0" borderId="22" xfId="0" applyFont="1" applyBorder="1" applyAlignment="1" applyProtection="1">
      <alignment horizontal="center" vertical="center" wrapText="1"/>
      <protection/>
    </xf>
    <xf numFmtId="41" fontId="13" fillId="34" borderId="37" xfId="0" applyNumberFormat="1" applyFont="1" applyFill="1" applyBorder="1" applyAlignment="1" applyProtection="1">
      <alignment horizontal="center" wrapText="1"/>
      <protection/>
    </xf>
    <xf numFmtId="41" fontId="13" fillId="34" borderId="16" xfId="0" applyNumberFormat="1" applyFont="1" applyFill="1" applyBorder="1" applyAlignment="1" applyProtection="1">
      <alignment horizontal="center" wrapText="1"/>
      <protection/>
    </xf>
    <xf numFmtId="41" fontId="13" fillId="34" borderId="47" xfId="0" applyNumberFormat="1" applyFont="1" applyFill="1" applyBorder="1" applyAlignment="1" applyProtection="1">
      <alignment horizontal="center" wrapText="1"/>
      <protection/>
    </xf>
    <xf numFmtId="41" fontId="12" fillId="0" borderId="42" xfId="0" applyNumberFormat="1" applyFont="1" applyBorder="1" applyAlignment="1" applyProtection="1">
      <alignment/>
      <protection/>
    </xf>
    <xf numFmtId="0" fontId="3" fillId="0" borderId="47" xfId="0" applyFont="1" applyFill="1" applyBorder="1" applyAlignment="1" applyProtection="1">
      <alignment vertical="center" wrapText="1"/>
      <protection/>
    </xf>
    <xf numFmtId="0" fontId="4" fillId="0" borderId="14" xfId="0" applyFont="1" applyFill="1" applyBorder="1" applyAlignment="1" applyProtection="1">
      <alignment vertical="center" wrapText="1"/>
      <protection/>
    </xf>
    <xf numFmtId="0" fontId="3" fillId="0" borderId="43" xfId="0" applyFont="1" applyBorder="1" applyAlignment="1" applyProtection="1">
      <alignment/>
      <protection/>
    </xf>
    <xf numFmtId="0" fontId="3" fillId="0" borderId="47" xfId="0" applyFont="1" applyBorder="1" applyAlignment="1" applyProtection="1">
      <alignment/>
      <protection/>
    </xf>
    <xf numFmtId="0" fontId="3" fillId="0" borderId="13" xfId="0" applyFont="1" applyBorder="1" applyAlignment="1" applyProtection="1">
      <alignment/>
      <protection/>
    </xf>
    <xf numFmtId="0" fontId="4" fillId="0" borderId="36" xfId="59" applyFont="1" applyFill="1" applyBorder="1" applyAlignment="1" applyProtection="1">
      <alignment vertical="center" wrapText="1"/>
      <protection/>
    </xf>
    <xf numFmtId="0" fontId="4" fillId="0" borderId="15" xfId="59" applyFont="1" applyFill="1" applyBorder="1" applyAlignment="1" applyProtection="1">
      <alignment vertical="center"/>
      <protection/>
    </xf>
    <xf numFmtId="0" fontId="4" fillId="0" borderId="37" xfId="59" applyFont="1" applyBorder="1" applyAlignment="1" applyProtection="1">
      <alignment horizontal="center"/>
      <protection/>
    </xf>
    <xf numFmtId="0" fontId="12" fillId="35" borderId="11" xfId="0" applyFont="1" applyFill="1" applyBorder="1" applyAlignment="1" applyProtection="1">
      <alignment vertical="center"/>
      <protection locked="0"/>
    </xf>
    <xf numFmtId="0" fontId="12" fillId="35" borderId="30" xfId="0" applyFont="1" applyFill="1" applyBorder="1" applyAlignment="1" applyProtection="1">
      <alignment vertical="center"/>
      <protection locked="0"/>
    </xf>
    <xf numFmtId="41" fontId="12" fillId="0" borderId="12" xfId="0" applyNumberFormat="1" applyFont="1" applyBorder="1" applyAlignment="1" applyProtection="1">
      <alignment vertical="center"/>
      <protection/>
    </xf>
    <xf numFmtId="41" fontId="12" fillId="0" borderId="49" xfId="0" applyNumberFormat="1" applyFont="1" applyBorder="1" applyAlignment="1" applyProtection="1">
      <alignment vertical="center"/>
      <protection/>
    </xf>
    <xf numFmtId="0" fontId="12" fillId="35" borderId="13" xfId="0" applyFont="1" applyFill="1" applyBorder="1" applyAlignment="1" applyProtection="1">
      <alignment vertical="top" wrapText="1"/>
      <protection locked="0"/>
    </xf>
    <xf numFmtId="0" fontId="4" fillId="0" borderId="15" xfId="0" applyNumberFormat="1" applyFont="1" applyBorder="1" applyAlignment="1" applyProtection="1">
      <alignment vertical="center"/>
      <protection/>
    </xf>
    <xf numFmtId="49" fontId="0" fillId="0" borderId="0" xfId="0" applyNumberFormat="1" applyAlignment="1">
      <alignment/>
    </xf>
    <xf numFmtId="49" fontId="0" fillId="0" borderId="0" xfId="0" applyNumberFormat="1" applyFont="1" applyAlignment="1">
      <alignment/>
    </xf>
    <xf numFmtId="41" fontId="12" fillId="33" borderId="42" xfId="0" applyNumberFormat="1" applyFont="1" applyFill="1" applyBorder="1" applyAlignment="1" applyProtection="1">
      <alignment/>
      <protection/>
    </xf>
    <xf numFmtId="1" fontId="12" fillId="35" borderId="11" xfId="0" applyNumberFormat="1" applyFont="1" applyFill="1" applyBorder="1" applyAlignment="1" applyProtection="1">
      <alignment vertical="center"/>
      <protection locked="0"/>
    </xf>
    <xf numFmtId="41" fontId="12" fillId="0" borderId="42" xfId="0" applyNumberFormat="1" applyFont="1" applyBorder="1" applyAlignment="1" applyProtection="1">
      <alignment vertical="center"/>
      <protection/>
    </xf>
    <xf numFmtId="41" fontId="12" fillId="35" borderId="54" xfId="0" applyNumberFormat="1" applyFont="1" applyFill="1" applyBorder="1" applyAlignment="1" applyProtection="1">
      <alignment vertical="center"/>
      <protection locked="0"/>
    </xf>
    <xf numFmtId="180" fontId="12" fillId="35" borderId="54" xfId="0" applyNumberFormat="1" applyFont="1" applyFill="1" applyBorder="1" applyAlignment="1" applyProtection="1">
      <alignment vertical="center"/>
      <protection locked="0"/>
    </xf>
    <xf numFmtId="41" fontId="12" fillId="35" borderId="45" xfId="0" applyNumberFormat="1" applyFont="1" applyFill="1" applyBorder="1" applyAlignment="1" applyProtection="1">
      <alignment vertical="center"/>
      <protection locked="0"/>
    </xf>
    <xf numFmtId="193" fontId="0" fillId="0" borderId="0" xfId="0" applyNumberFormat="1" applyAlignment="1">
      <alignment/>
    </xf>
    <xf numFmtId="0" fontId="3" fillId="33" borderId="11" xfId="0" applyFont="1" applyFill="1" applyBorder="1" applyAlignment="1" applyProtection="1">
      <alignment horizontal="center" vertical="center" wrapText="1"/>
      <protection/>
    </xf>
    <xf numFmtId="0" fontId="4" fillId="33" borderId="11" xfId="0" applyFont="1" applyFill="1" applyBorder="1" applyAlignment="1" applyProtection="1">
      <alignment horizontal="left" vertical="center" indent="1"/>
      <protection/>
    </xf>
    <xf numFmtId="0" fontId="3" fillId="0" borderId="39" xfId="0" applyFont="1" applyFill="1" applyBorder="1" applyAlignment="1" applyProtection="1">
      <alignment vertical="center"/>
      <protection/>
    </xf>
    <xf numFmtId="0" fontId="3" fillId="0" borderId="27" xfId="0" applyFont="1" applyFill="1" applyBorder="1" applyAlignment="1" applyProtection="1">
      <alignment vertical="center"/>
      <protection/>
    </xf>
    <xf numFmtId="0" fontId="12" fillId="35" borderId="9" xfId="0" applyFont="1" applyFill="1" applyBorder="1" applyAlignment="1" applyProtection="1">
      <alignment vertical="center" wrapText="1"/>
      <protection locked="0"/>
    </xf>
    <xf numFmtId="0" fontId="12" fillId="35" borderId="29" xfId="0" applyFont="1" applyFill="1" applyBorder="1" applyAlignment="1" applyProtection="1">
      <alignment vertical="center" wrapText="1"/>
      <protection locked="0"/>
    </xf>
    <xf numFmtId="0" fontId="4" fillId="0" borderId="33" xfId="59" applyFont="1" applyBorder="1" applyAlignment="1" applyProtection="1">
      <alignment horizontal="center"/>
      <protection/>
    </xf>
    <xf numFmtId="0" fontId="3" fillId="0" borderId="13" xfId="0" applyFont="1" applyBorder="1" applyAlignment="1" applyProtection="1">
      <alignment horizontal="center" textRotation="90"/>
      <protection/>
    </xf>
    <xf numFmtId="0" fontId="3" fillId="0" borderId="55" xfId="59" applyFont="1" applyBorder="1" applyProtection="1">
      <alignment/>
      <protection/>
    </xf>
    <xf numFmtId="0" fontId="4" fillId="0" borderId="55" xfId="59" applyFont="1" applyBorder="1" applyProtection="1">
      <alignment/>
      <protection/>
    </xf>
    <xf numFmtId="0" fontId="4" fillId="0" borderId="23" xfId="0" applyFont="1" applyFill="1" applyBorder="1" applyAlignment="1" applyProtection="1">
      <alignment/>
      <protection/>
    </xf>
    <xf numFmtId="0" fontId="4" fillId="34" borderId="0" xfId="0" applyFont="1" applyFill="1" applyAlignment="1" applyProtection="1">
      <alignment textRotation="90"/>
      <protection/>
    </xf>
    <xf numFmtId="0" fontId="3" fillId="33" borderId="0" xfId="0" applyFont="1" applyFill="1" applyBorder="1" applyAlignment="1" applyProtection="1">
      <alignment/>
      <protection/>
    </xf>
    <xf numFmtId="0" fontId="3" fillId="33" borderId="0" xfId="0" applyFont="1" applyFill="1" applyBorder="1" applyAlignment="1" applyProtection="1">
      <alignment horizontal="center" vertical="center" textRotation="90" wrapText="1"/>
      <protection/>
    </xf>
    <xf numFmtId="0" fontId="3" fillId="33" borderId="0" xfId="0" applyFont="1" applyFill="1" applyBorder="1" applyAlignment="1" applyProtection="1">
      <alignment wrapText="1"/>
      <protection/>
    </xf>
    <xf numFmtId="0" fontId="4" fillId="0" borderId="11" xfId="0" applyFont="1" applyBorder="1" applyAlignment="1" applyProtection="1">
      <alignment/>
      <protection/>
    </xf>
    <xf numFmtId="0" fontId="4" fillId="0" borderId="46" xfId="0" applyFont="1" applyBorder="1" applyAlignment="1" applyProtection="1">
      <alignment horizontal="left"/>
      <protection/>
    </xf>
    <xf numFmtId="0" fontId="4" fillId="0" borderId="0" xfId="0" applyFont="1" applyBorder="1" applyAlignment="1" applyProtection="1">
      <alignment horizontal="left"/>
      <protection/>
    </xf>
    <xf numFmtId="0" fontId="4" fillId="0" borderId="51" xfId="0" applyFont="1" applyBorder="1" applyAlignment="1" applyProtection="1">
      <alignment horizontal="center"/>
      <protection/>
    </xf>
    <xf numFmtId="0" fontId="4" fillId="0" borderId="56" xfId="0" applyFont="1" applyBorder="1" applyAlignment="1" applyProtection="1">
      <alignment horizontal="left"/>
      <protection/>
    </xf>
    <xf numFmtId="0" fontId="4" fillId="0" borderId="57" xfId="0" applyFont="1" applyBorder="1" applyAlignment="1" applyProtection="1">
      <alignment horizontal="left"/>
      <protection/>
    </xf>
    <xf numFmtId="0" fontId="4" fillId="0" borderId="15" xfId="0" applyFont="1" applyBorder="1" applyAlignment="1" applyProtection="1">
      <alignment horizontal="left"/>
      <protection/>
    </xf>
    <xf numFmtId="0" fontId="4" fillId="0" borderId="21" xfId="0" applyFont="1" applyBorder="1" applyAlignment="1" applyProtection="1">
      <alignment horizontal="left"/>
      <protection/>
    </xf>
    <xf numFmtId="38" fontId="12" fillId="0" borderId="11" xfId="0" applyNumberFormat="1" applyFont="1" applyFill="1" applyBorder="1" applyAlignment="1" applyProtection="1">
      <alignment vertical="center"/>
      <protection/>
    </xf>
    <xf numFmtId="38" fontId="12" fillId="0" borderId="58" xfId="0" applyNumberFormat="1" applyFont="1" applyFill="1" applyBorder="1" applyAlignment="1" applyProtection="1">
      <alignment vertical="center"/>
      <protection/>
    </xf>
    <xf numFmtId="10" fontId="12" fillId="0" borderId="59" xfId="65" applyNumberFormat="1" applyFont="1" applyFill="1" applyBorder="1" applyAlignment="1" applyProtection="1">
      <alignment vertical="center"/>
      <protection/>
    </xf>
    <xf numFmtId="0" fontId="4" fillId="0" borderId="60" xfId="0" applyFont="1" applyBorder="1" applyAlignment="1" applyProtection="1">
      <alignment/>
      <protection/>
    </xf>
    <xf numFmtId="0" fontId="4" fillId="0" borderId="61" xfId="0" applyFont="1" applyBorder="1" applyAlignment="1" applyProtection="1">
      <alignment/>
      <protection/>
    </xf>
    <xf numFmtId="0" fontId="4" fillId="0" borderId="61" xfId="0" applyFont="1" applyBorder="1" applyAlignment="1" applyProtection="1">
      <alignment horizontal="center" wrapText="1"/>
      <protection/>
    </xf>
    <xf numFmtId="0" fontId="3" fillId="0" borderId="62" xfId="0" applyFont="1" applyBorder="1" applyAlignment="1" applyProtection="1">
      <alignment horizontal="center"/>
      <protection/>
    </xf>
    <xf numFmtId="0" fontId="3" fillId="0" borderId="63" xfId="0" applyFont="1" applyBorder="1" applyAlignment="1" applyProtection="1">
      <alignment horizontal="center"/>
      <protection/>
    </xf>
    <xf numFmtId="0" fontId="3" fillId="0" borderId="64" xfId="0" applyFont="1" applyBorder="1" applyAlignment="1" applyProtection="1">
      <alignment horizontal="center"/>
      <protection/>
    </xf>
    <xf numFmtId="0" fontId="4" fillId="0" borderId="62" xfId="0" applyFont="1" applyBorder="1" applyAlignment="1" applyProtection="1">
      <alignment horizontal="center" wrapText="1"/>
      <protection/>
    </xf>
    <xf numFmtId="0" fontId="3" fillId="0" borderId="60" xfId="0" applyFont="1" applyBorder="1" applyAlignment="1" applyProtection="1">
      <alignment horizontal="center"/>
      <protection/>
    </xf>
    <xf numFmtId="3" fontId="12" fillId="35" borderId="45" xfId="0" applyNumberFormat="1" applyFont="1" applyFill="1" applyBorder="1" applyAlignment="1" applyProtection="1">
      <alignment/>
      <protection locked="0"/>
    </xf>
    <xf numFmtId="0" fontId="4" fillId="33" borderId="17" xfId="0" applyFont="1" applyFill="1" applyBorder="1" applyAlignment="1" applyProtection="1">
      <alignment horizontal="center" vertical="center"/>
      <protection/>
    </xf>
    <xf numFmtId="0" fontId="4" fillId="33" borderId="11" xfId="0" applyFont="1" applyFill="1" applyBorder="1" applyAlignment="1" applyProtection="1">
      <alignment horizontal="left" indent="1"/>
      <protection/>
    </xf>
    <xf numFmtId="0" fontId="4" fillId="33" borderId="11" xfId="0" applyFont="1" applyFill="1" applyBorder="1" applyAlignment="1" applyProtection="1">
      <alignment horizontal="left" wrapText="1" indent="1"/>
      <protection/>
    </xf>
    <xf numFmtId="0" fontId="4" fillId="33" borderId="11" xfId="0" applyFont="1" applyFill="1" applyBorder="1" applyAlignment="1" applyProtection="1">
      <alignment horizontal="left" vertical="center" wrapText="1" indent="1"/>
      <protection/>
    </xf>
    <xf numFmtId="0" fontId="4" fillId="33" borderId="9" xfId="0" applyFont="1" applyFill="1" applyBorder="1" applyAlignment="1" applyProtection="1">
      <alignment horizontal="left" wrapText="1" indent="1"/>
      <protection/>
    </xf>
    <xf numFmtId="0" fontId="4" fillId="33" borderId="0" xfId="0" applyFont="1" applyFill="1" applyAlignment="1" applyProtection="1">
      <alignment horizontal="left" wrapText="1" indent="1"/>
      <protection/>
    </xf>
    <xf numFmtId="0" fontId="3" fillId="0" borderId="47" xfId="59" applyFont="1" applyFill="1" applyBorder="1" applyAlignment="1" applyProtection="1">
      <alignment vertical="center"/>
      <protection/>
    </xf>
    <xf numFmtId="0" fontId="3" fillId="0" borderId="15" xfId="59" applyFont="1" applyBorder="1" applyAlignment="1" applyProtection="1">
      <alignment horizontal="center"/>
      <protection/>
    </xf>
    <xf numFmtId="0" fontId="4" fillId="0" borderId="36" xfId="59" applyFont="1" applyFill="1" applyBorder="1" applyAlignment="1" applyProtection="1">
      <alignment vertical="center"/>
      <protection/>
    </xf>
    <xf numFmtId="0" fontId="4" fillId="0" borderId="36" xfId="59" applyFont="1" applyBorder="1" applyAlignment="1" applyProtection="1">
      <alignment vertical="center"/>
      <protection/>
    </xf>
    <xf numFmtId="0" fontId="4" fillId="0" borderId="9" xfId="59" applyFont="1" applyBorder="1" applyAlignment="1" applyProtection="1">
      <alignment horizontal="left"/>
      <protection/>
    </xf>
    <xf numFmtId="0" fontId="4" fillId="0" borderId="0" xfId="0" applyFont="1" applyBorder="1" applyAlignment="1" applyProtection="1">
      <alignment vertical="center" wrapText="1"/>
      <protection/>
    </xf>
    <xf numFmtId="0" fontId="3" fillId="0" borderId="9" xfId="0" applyFont="1" applyFill="1" applyBorder="1" applyAlignment="1" applyProtection="1">
      <alignment horizontal="center" wrapText="1"/>
      <protection/>
    </xf>
    <xf numFmtId="0" fontId="12" fillId="32" borderId="9" xfId="59" applyFont="1" applyFill="1" applyBorder="1" applyAlignment="1" applyProtection="1">
      <alignment horizontal="center"/>
      <protection locked="0"/>
    </xf>
    <xf numFmtId="0" fontId="4" fillId="33" borderId="46" xfId="59" applyFont="1" applyFill="1" applyBorder="1" applyAlignment="1" applyProtection="1">
      <alignment/>
      <protection/>
    </xf>
    <xf numFmtId="0" fontId="4" fillId="0" borderId="65" xfId="0" applyFont="1" applyBorder="1" applyAlignment="1" applyProtection="1">
      <alignment/>
      <protection/>
    </xf>
    <xf numFmtId="0" fontId="3" fillId="33" borderId="13" xfId="0" applyFont="1" applyFill="1" applyBorder="1" applyAlignment="1" applyProtection="1">
      <alignment horizontal="center"/>
      <protection/>
    </xf>
    <xf numFmtId="0" fontId="3" fillId="33" borderId="0" xfId="0" applyFont="1" applyFill="1" applyBorder="1" applyAlignment="1" applyProtection="1">
      <alignment horizontal="center" wrapText="1"/>
      <protection/>
    </xf>
    <xf numFmtId="37" fontId="12" fillId="0" borderId="45" xfId="0" applyNumberFormat="1" applyFont="1" applyBorder="1" applyAlignment="1" applyProtection="1">
      <alignment vertical="center"/>
      <protection/>
    </xf>
    <xf numFmtId="0" fontId="3" fillId="33" borderId="41" xfId="0" applyFont="1" applyFill="1" applyBorder="1" applyAlignment="1" applyProtection="1">
      <alignment horizontal="center"/>
      <protection/>
    </xf>
    <xf numFmtId="0" fontId="73" fillId="33" borderId="9" xfId="61" applyFont="1" applyFill="1" applyBorder="1" applyAlignment="1" applyProtection="1">
      <alignment horizontal="center" wrapText="1"/>
      <protection/>
    </xf>
    <xf numFmtId="0" fontId="3" fillId="0" borderId="42" xfId="0" applyFont="1" applyBorder="1" applyAlignment="1" applyProtection="1">
      <alignment/>
      <protection/>
    </xf>
    <xf numFmtId="0" fontId="3" fillId="0" borderId="22" xfId="0" applyFont="1" applyBorder="1" applyAlignment="1" applyProtection="1">
      <alignment horizontal="center"/>
      <protection/>
    </xf>
    <xf numFmtId="0" fontId="2" fillId="0" borderId="0" xfId="0" applyFont="1" applyAlignment="1" applyProtection="1">
      <alignment/>
      <protection/>
    </xf>
    <xf numFmtId="0" fontId="4" fillId="0" borderId="44" xfId="0" applyFont="1" applyBorder="1" applyAlignment="1" applyProtection="1">
      <alignment horizontal="center" wrapText="1"/>
      <protection/>
    </xf>
    <xf numFmtId="0" fontId="3" fillId="33" borderId="36" xfId="0" applyFont="1" applyFill="1" applyBorder="1" applyAlignment="1" applyProtection="1">
      <alignment horizontal="center" wrapText="1"/>
      <protection/>
    </xf>
    <xf numFmtId="0" fontId="3" fillId="0" borderId="58" xfId="0" applyFont="1" applyBorder="1" applyAlignment="1" applyProtection="1">
      <alignment vertical="center"/>
      <protection/>
    </xf>
    <xf numFmtId="0" fontId="4" fillId="0" borderId="25" xfId="0" applyFont="1" applyFill="1" applyBorder="1" applyAlignment="1" applyProtection="1">
      <alignment horizontal="center" vertical="center"/>
      <protection/>
    </xf>
    <xf numFmtId="0" fontId="3" fillId="0" borderId="38" xfId="0" applyFont="1" applyBorder="1" applyAlignment="1" applyProtection="1">
      <alignment vertical="center"/>
      <protection/>
    </xf>
    <xf numFmtId="0" fontId="4" fillId="33" borderId="30" xfId="0" applyFont="1" applyFill="1" applyBorder="1" applyAlignment="1" applyProtection="1">
      <alignment horizontal="left" vertical="center" indent="1"/>
      <protection/>
    </xf>
    <xf numFmtId="0" fontId="4" fillId="0" borderId="55" xfId="0" applyFont="1" applyBorder="1" applyAlignment="1" applyProtection="1">
      <alignment/>
      <protection/>
    </xf>
    <xf numFmtId="2" fontId="4" fillId="33" borderId="0" xfId="0" applyNumberFormat="1" applyFont="1" applyFill="1" applyBorder="1" applyAlignment="1" applyProtection="1">
      <alignment/>
      <protection/>
    </xf>
    <xf numFmtId="0" fontId="4" fillId="0" borderId="61" xfId="0" applyFont="1" applyBorder="1" applyAlignment="1" applyProtection="1">
      <alignment horizontal="center"/>
      <protection/>
    </xf>
    <xf numFmtId="37" fontId="12" fillId="35" borderId="46" xfId="0" applyNumberFormat="1" applyFont="1" applyFill="1" applyBorder="1" applyAlignment="1" applyProtection="1">
      <alignment vertical="center" wrapText="1"/>
      <protection locked="0"/>
    </xf>
    <xf numFmtId="41" fontId="12" fillId="34" borderId="47" xfId="0" applyNumberFormat="1" applyFont="1" applyFill="1" applyBorder="1" applyAlignment="1" applyProtection="1">
      <alignment/>
      <protection/>
    </xf>
    <xf numFmtId="175" fontId="12" fillId="0" borderId="45" xfId="42" applyNumberFormat="1" applyFont="1" applyFill="1" applyBorder="1" applyAlignment="1" applyProtection="1">
      <alignment vertical="center"/>
      <protection/>
    </xf>
    <xf numFmtId="37" fontId="12" fillId="35" borderId="54" xfId="0" applyNumberFormat="1" applyFont="1" applyFill="1" applyBorder="1" applyAlignment="1" applyProtection="1">
      <alignment vertical="center" wrapText="1"/>
      <protection locked="0"/>
    </xf>
    <xf numFmtId="37" fontId="12" fillId="35" borderId="45" xfId="0" applyNumberFormat="1" applyFont="1" applyFill="1" applyBorder="1" applyAlignment="1" applyProtection="1">
      <alignment vertical="center" wrapText="1"/>
      <protection locked="0"/>
    </xf>
    <xf numFmtId="0" fontId="73" fillId="33" borderId="42" xfId="61" applyFont="1" applyFill="1" applyBorder="1" applyAlignment="1" applyProtection="1">
      <alignment vertical="center" wrapText="1"/>
      <protection/>
    </xf>
    <xf numFmtId="0" fontId="79" fillId="34" borderId="21" xfId="0" applyFont="1" applyFill="1" applyBorder="1" applyAlignment="1" applyProtection="1">
      <alignment horizontal="center"/>
      <protection/>
    </xf>
    <xf numFmtId="0" fontId="4" fillId="0" borderId="23" xfId="0" applyFont="1" applyBorder="1" applyAlignment="1" applyProtection="1">
      <alignment horizontal="center"/>
      <protection/>
    </xf>
    <xf numFmtId="0" fontId="4" fillId="0" borderId="13" xfId="0" applyFont="1" applyBorder="1" applyAlignment="1" applyProtection="1">
      <alignment horizontal="center" vertical="center" wrapText="1"/>
      <protection/>
    </xf>
    <xf numFmtId="0" fontId="3" fillId="33" borderId="28"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183" fontId="3" fillId="0" borderId="14" xfId="0" applyNumberFormat="1" applyFont="1" applyBorder="1" applyAlignment="1" applyProtection="1">
      <alignment horizontal="center" vertical="center" wrapText="1"/>
      <protection/>
    </xf>
    <xf numFmtId="183" fontId="3" fillId="0" borderId="15" xfId="0" applyNumberFormat="1" applyFont="1" applyBorder="1" applyAlignment="1" applyProtection="1">
      <alignment horizontal="center" vertical="center" wrapText="1"/>
      <protection/>
    </xf>
    <xf numFmtId="0" fontId="3" fillId="0" borderId="22" xfId="0" applyFont="1" applyBorder="1" applyAlignment="1" applyProtection="1">
      <alignment horizontal="center" vertical="center"/>
      <protection/>
    </xf>
    <xf numFmtId="0" fontId="4" fillId="0" borderId="13" xfId="0" applyFont="1" applyBorder="1" applyAlignment="1" applyProtection="1">
      <alignment horizontal="center" wrapText="1"/>
      <protection/>
    </xf>
    <xf numFmtId="0" fontId="4" fillId="0" borderId="9" xfId="0" applyFont="1" applyBorder="1" applyAlignment="1" applyProtection="1">
      <alignment/>
      <protection/>
    </xf>
    <xf numFmtId="0" fontId="4" fillId="0" borderId="13" xfId="0" applyFont="1" applyBorder="1" applyAlignment="1" applyProtection="1">
      <alignment/>
      <protection/>
    </xf>
    <xf numFmtId="0" fontId="4" fillId="0" borderId="31" xfId="0" applyFont="1" applyBorder="1" applyAlignment="1" applyProtection="1">
      <alignment horizontal="center"/>
      <protection/>
    </xf>
    <xf numFmtId="41" fontId="12" fillId="34" borderId="49" xfId="0" applyNumberFormat="1" applyFont="1" applyFill="1" applyBorder="1" applyAlignment="1" applyProtection="1">
      <alignment/>
      <protection/>
    </xf>
    <xf numFmtId="164" fontId="3" fillId="0" borderId="14" xfId="59" applyNumberFormat="1" applyFont="1" applyBorder="1" applyAlignment="1" applyProtection="1">
      <alignment horizontal="center" wrapText="1"/>
      <protection/>
    </xf>
    <xf numFmtId="0" fontId="4" fillId="34" borderId="17" xfId="59" applyFont="1" applyFill="1" applyBorder="1" applyAlignment="1" applyProtection="1">
      <alignment horizontal="center"/>
      <protection/>
    </xf>
    <xf numFmtId="0" fontId="4" fillId="0" borderId="65" xfId="59" applyFont="1" applyBorder="1" applyAlignment="1" applyProtection="1">
      <alignment horizontal="center"/>
      <protection/>
    </xf>
    <xf numFmtId="0" fontId="3" fillId="0" borderId="15" xfId="0" applyFont="1" applyFill="1" applyBorder="1" applyAlignment="1" applyProtection="1">
      <alignment vertical="center" wrapText="1"/>
      <protection/>
    </xf>
    <xf numFmtId="0" fontId="3" fillId="33" borderId="0" xfId="0" applyFont="1" applyFill="1" applyBorder="1" applyAlignment="1" applyProtection="1">
      <alignment vertical="center"/>
      <protection/>
    </xf>
    <xf numFmtId="0" fontId="4" fillId="0" borderId="0" xfId="0" applyFont="1" applyBorder="1" applyAlignment="1" applyProtection="1">
      <alignment wrapText="1"/>
      <protection/>
    </xf>
    <xf numFmtId="0" fontId="4" fillId="33" borderId="9" xfId="0" applyFont="1" applyFill="1" applyBorder="1" applyAlignment="1">
      <alignment/>
    </xf>
    <xf numFmtId="0" fontId="4" fillId="33" borderId="13" xfId="0" applyFont="1" applyFill="1" applyBorder="1" applyAlignment="1">
      <alignment/>
    </xf>
    <xf numFmtId="0" fontId="4" fillId="33" borderId="17" xfId="0" applyFont="1" applyFill="1" applyBorder="1" applyAlignment="1">
      <alignment/>
    </xf>
    <xf numFmtId="0" fontId="3" fillId="33" borderId="0" xfId="0" applyFont="1" applyFill="1" applyBorder="1" applyAlignment="1" applyProtection="1">
      <alignment horizontal="center"/>
      <protection/>
    </xf>
    <xf numFmtId="0" fontId="12" fillId="36" borderId="9" xfId="0" applyFont="1" applyFill="1" applyBorder="1" applyAlignment="1" applyProtection="1">
      <alignment vertical="top" wrapText="1"/>
      <protection locked="0"/>
    </xf>
    <xf numFmtId="0" fontId="4" fillId="0" borderId="0" xfId="0" applyFont="1" applyAlignment="1" applyProtection="1">
      <alignment wrapText="1"/>
      <protection/>
    </xf>
    <xf numFmtId="41" fontId="12" fillId="36" borderId="9" xfId="0" applyNumberFormat="1" applyFont="1" applyFill="1" applyBorder="1" applyAlignment="1" applyProtection="1">
      <alignment vertical="center"/>
      <protection locked="0"/>
    </xf>
    <xf numFmtId="41" fontId="12" fillId="36" borderId="36" xfId="0" applyNumberFormat="1" applyFont="1" applyFill="1" applyBorder="1" applyAlignment="1" applyProtection="1">
      <alignment vertical="center"/>
      <protection locked="0"/>
    </xf>
    <xf numFmtId="41" fontId="12" fillId="36" borderId="29" xfId="0" applyNumberFormat="1" applyFont="1" applyFill="1" applyBorder="1" applyAlignment="1" applyProtection="1">
      <alignment vertical="center"/>
      <protection locked="0"/>
    </xf>
    <xf numFmtId="0" fontId="3" fillId="33" borderId="9" xfId="0" applyFont="1" applyFill="1" applyBorder="1" applyAlignment="1" applyProtection="1">
      <alignment horizontal="center" wrapText="1"/>
      <protection/>
    </xf>
    <xf numFmtId="0" fontId="4" fillId="34" borderId="57" xfId="0" applyFont="1" applyFill="1" applyBorder="1" applyAlignment="1" applyProtection="1">
      <alignment vertical="center"/>
      <protection/>
    </xf>
    <xf numFmtId="0" fontId="3" fillId="33" borderId="46" xfId="0" applyFont="1" applyFill="1" applyBorder="1" applyAlignment="1" applyProtection="1">
      <alignment horizontal="center" vertical="center" wrapText="1"/>
      <protection/>
    </xf>
    <xf numFmtId="0" fontId="3" fillId="33" borderId="36" xfId="0" applyFont="1" applyFill="1" applyBorder="1" applyAlignment="1" applyProtection="1">
      <alignment horizontal="center" vertical="center" wrapText="1"/>
      <protection/>
    </xf>
    <xf numFmtId="0" fontId="12" fillId="36" borderId="13" xfId="0" applyFont="1" applyFill="1" applyBorder="1" applyAlignment="1" applyProtection="1">
      <alignment horizontal="center" vertical="top" wrapText="1"/>
      <protection locked="0"/>
    </xf>
    <xf numFmtId="0" fontId="3" fillId="33" borderId="32" xfId="0" applyFont="1" applyFill="1" applyBorder="1" applyAlignment="1" applyProtection="1">
      <alignment horizontal="center" vertical="center" wrapText="1"/>
      <protection/>
    </xf>
    <xf numFmtId="0" fontId="12" fillId="36" borderId="11" xfId="0" applyFont="1" applyFill="1" applyBorder="1" applyAlignment="1" applyProtection="1">
      <alignment horizontal="center" vertical="top" wrapText="1"/>
      <protection locked="0"/>
    </xf>
    <xf numFmtId="0" fontId="12" fillId="36" borderId="54" xfId="0" applyFont="1" applyFill="1" applyBorder="1" applyAlignment="1" applyProtection="1">
      <alignment horizontal="center" vertical="top" wrapText="1"/>
      <protection locked="0"/>
    </xf>
    <xf numFmtId="0" fontId="12" fillId="36" borderId="11" xfId="0" applyFont="1" applyFill="1" applyBorder="1" applyAlignment="1" applyProtection="1">
      <alignment horizontal="center" vertical="center" wrapText="1"/>
      <protection locked="0"/>
    </xf>
    <xf numFmtId="0" fontId="2" fillId="0" borderId="0" xfId="0" applyFont="1" applyAlignment="1" applyProtection="1">
      <alignment horizontal="center"/>
      <protection/>
    </xf>
    <xf numFmtId="0" fontId="4" fillId="33" borderId="33" xfId="59" applyFont="1" applyFill="1" applyBorder="1" applyAlignment="1" applyProtection="1">
      <alignment/>
      <protection/>
    </xf>
    <xf numFmtId="0" fontId="81" fillId="0" borderId="0" xfId="0" applyFont="1" applyAlignment="1" applyProtection="1">
      <alignment/>
      <protection/>
    </xf>
    <xf numFmtId="0" fontId="4" fillId="34" borderId="22" xfId="0" applyFont="1" applyFill="1" applyBorder="1" applyAlignment="1" applyProtection="1">
      <alignment/>
      <protection/>
    </xf>
    <xf numFmtId="39" fontId="4" fillId="33" borderId="0" xfId="0" applyNumberFormat="1" applyFont="1" applyFill="1" applyBorder="1" applyAlignment="1" applyProtection="1">
      <alignment vertical="center"/>
      <protection/>
    </xf>
    <xf numFmtId="2" fontId="4" fillId="33" borderId="42" xfId="61" applyNumberFormat="1" applyFont="1" applyFill="1" applyBorder="1" applyAlignment="1" applyProtection="1">
      <alignment vertical="center"/>
      <protection/>
    </xf>
    <xf numFmtId="0" fontId="4" fillId="34" borderId="21" xfId="0" applyFont="1" applyFill="1" applyBorder="1" applyAlignment="1" applyProtection="1">
      <alignment/>
      <protection/>
    </xf>
    <xf numFmtId="0" fontId="4" fillId="0" borderId="0" xfId="0" applyFont="1" applyBorder="1" applyAlignment="1" applyProtection="1">
      <alignment horizontal="centerContinuous"/>
      <protection/>
    </xf>
    <xf numFmtId="41" fontId="3" fillId="33" borderId="0" xfId="0" applyNumberFormat="1" applyFont="1" applyFill="1" applyBorder="1" applyAlignment="1" applyProtection="1">
      <alignment horizontal="center" wrapText="1"/>
      <protection/>
    </xf>
    <xf numFmtId="41" fontId="4" fillId="33" borderId="0" xfId="0" applyNumberFormat="1" applyFont="1" applyFill="1" applyBorder="1" applyAlignment="1" applyProtection="1">
      <alignment vertical="center"/>
      <protection/>
    </xf>
    <xf numFmtId="41" fontId="4" fillId="33" borderId="0" xfId="0" applyNumberFormat="1" applyFont="1" applyFill="1" applyBorder="1" applyAlignment="1" applyProtection="1">
      <alignment/>
      <protection/>
    </xf>
    <xf numFmtId="42" fontId="4" fillId="0" borderId="37" xfId="0" applyNumberFormat="1" applyFont="1" applyBorder="1" applyAlignment="1" applyProtection="1">
      <alignment vertical="center"/>
      <protection/>
    </xf>
    <xf numFmtId="42" fontId="4" fillId="33" borderId="0" xfId="0" applyNumberFormat="1" applyFont="1" applyFill="1" applyBorder="1" applyAlignment="1" applyProtection="1">
      <alignment/>
      <protection/>
    </xf>
    <xf numFmtId="0" fontId="12" fillId="34" borderId="20" xfId="0" applyFont="1" applyFill="1" applyBorder="1" applyAlignment="1" applyProtection="1">
      <alignment vertical="center"/>
      <protection/>
    </xf>
    <xf numFmtId="0" fontId="12" fillId="0" borderId="48" xfId="0" applyFont="1" applyBorder="1" applyAlignment="1" applyProtection="1">
      <alignment vertical="center"/>
      <protection/>
    </xf>
    <xf numFmtId="41" fontId="12" fillId="0" borderId="58" xfId="0" applyNumberFormat="1" applyFont="1" applyBorder="1" applyAlignment="1" applyProtection="1">
      <alignment vertical="center"/>
      <protection/>
    </xf>
    <xf numFmtId="1" fontId="12" fillId="34" borderId="9" xfId="0" applyNumberFormat="1" applyFont="1" applyFill="1" applyBorder="1" applyAlignment="1" applyProtection="1">
      <alignment vertical="center"/>
      <protection/>
    </xf>
    <xf numFmtId="1" fontId="13" fillId="0" borderId="42" xfId="0" applyNumberFormat="1" applyFont="1" applyBorder="1" applyAlignment="1" applyProtection="1">
      <alignment vertical="center" wrapText="1"/>
      <protection/>
    </xf>
    <xf numFmtId="9" fontId="13" fillId="0" borderId="42" xfId="65" applyFont="1" applyBorder="1" applyAlignment="1" applyProtection="1">
      <alignment vertical="center" wrapText="1"/>
      <protection/>
    </xf>
    <xf numFmtId="0" fontId="4" fillId="34" borderId="17" xfId="0" applyFont="1" applyFill="1" applyBorder="1" applyAlignment="1" applyProtection="1">
      <alignment/>
      <protection/>
    </xf>
    <xf numFmtId="49" fontId="12" fillId="0" borderId="9" xfId="0" applyNumberFormat="1" applyFont="1" applyBorder="1" applyAlignment="1" applyProtection="1">
      <alignment vertical="center"/>
      <protection/>
    </xf>
    <xf numFmtId="0" fontId="78" fillId="33" borderId="26" xfId="0" applyFont="1" applyFill="1" applyBorder="1" applyAlignment="1" applyProtection="1">
      <alignment horizontal="center" vertical="center"/>
      <protection/>
    </xf>
    <xf numFmtId="0" fontId="3" fillId="0" borderId="0" xfId="59" applyFont="1" applyAlignment="1" applyProtection="1">
      <alignment horizontal="center"/>
      <protection/>
    </xf>
    <xf numFmtId="0" fontId="4" fillId="0" borderId="0" xfId="59" applyFont="1" applyAlignment="1" applyProtection="1">
      <alignment horizontal="right"/>
      <protection/>
    </xf>
    <xf numFmtId="41" fontId="12" fillId="0" borderId="11" xfId="59" applyNumberFormat="1" applyFont="1" applyBorder="1" applyProtection="1">
      <alignment/>
      <protection/>
    </xf>
    <xf numFmtId="0" fontId="12" fillId="0" borderId="11" xfId="59" applyFont="1" applyBorder="1" applyProtection="1">
      <alignment/>
      <protection/>
    </xf>
    <xf numFmtId="0" fontId="12" fillId="0" borderId="9" xfId="59" applyFont="1" applyBorder="1" applyProtection="1">
      <alignment/>
      <protection/>
    </xf>
    <xf numFmtId="41" fontId="12" fillId="0" borderId="9" xfId="59" applyNumberFormat="1" applyFont="1" applyBorder="1" applyProtection="1">
      <alignment/>
      <protection/>
    </xf>
    <xf numFmtId="0" fontId="12" fillId="34" borderId="30" xfId="0" applyFont="1" applyFill="1" applyBorder="1" applyAlignment="1" applyProtection="1">
      <alignment vertical="center"/>
      <protection/>
    </xf>
    <xf numFmtId="0" fontId="12" fillId="34" borderId="29" xfId="0" applyFont="1" applyFill="1" applyBorder="1" applyAlignment="1" applyProtection="1">
      <alignment vertical="center"/>
      <protection/>
    </xf>
    <xf numFmtId="0" fontId="12" fillId="34" borderId="14" xfId="0" applyFont="1" applyFill="1" applyBorder="1" applyAlignment="1" applyProtection="1">
      <alignment vertical="center"/>
      <protection/>
    </xf>
    <xf numFmtId="41" fontId="12" fillId="0" borderId="9" xfId="0" applyNumberFormat="1" applyFont="1" applyBorder="1" applyAlignment="1" applyProtection="1">
      <alignment/>
      <protection/>
    </xf>
    <xf numFmtId="41" fontId="12" fillId="33" borderId="9" xfId="0" applyNumberFormat="1" applyFont="1" applyFill="1" applyBorder="1" applyAlignment="1" applyProtection="1">
      <alignment/>
      <protection/>
    </xf>
    <xf numFmtId="41" fontId="12" fillId="0" borderId="11" xfId="0" applyNumberFormat="1" applyFont="1" applyBorder="1" applyAlignment="1" applyProtection="1">
      <alignment/>
      <protection/>
    </xf>
    <xf numFmtId="41" fontId="12" fillId="0" borderId="30" xfId="0" applyNumberFormat="1" applyFont="1" applyBorder="1" applyAlignment="1" applyProtection="1">
      <alignment/>
      <protection/>
    </xf>
    <xf numFmtId="41" fontId="12" fillId="0" borderId="29" xfId="0" applyNumberFormat="1" applyFont="1" applyBorder="1" applyAlignment="1" applyProtection="1">
      <alignment/>
      <protection/>
    </xf>
    <xf numFmtId="0" fontId="12" fillId="34" borderId="42" xfId="0" applyFont="1" applyFill="1" applyBorder="1" applyAlignment="1" applyProtection="1">
      <alignment vertical="center"/>
      <protection/>
    </xf>
    <xf numFmtId="41" fontId="12" fillId="0" borderId="30" xfId="0" applyNumberFormat="1" applyFont="1" applyFill="1" applyBorder="1" applyAlignment="1" applyProtection="1">
      <alignment vertical="center"/>
      <protection/>
    </xf>
    <xf numFmtId="0" fontId="12" fillId="34" borderId="45" xfId="0" applyFont="1" applyFill="1" applyBorder="1" applyAlignment="1" applyProtection="1">
      <alignment vertical="center"/>
      <protection/>
    </xf>
    <xf numFmtId="0" fontId="12" fillId="0" borderId="0" xfId="0" applyFont="1" applyAlignment="1" applyProtection="1">
      <alignment/>
      <protection/>
    </xf>
    <xf numFmtId="0" fontId="4" fillId="0" borderId="0" xfId="0" applyFont="1" applyBorder="1" applyAlignment="1" applyProtection="1">
      <alignment horizontal="center" vertical="center" textRotation="90" wrapText="1"/>
      <protection/>
    </xf>
    <xf numFmtId="0" fontId="3" fillId="0" borderId="61" xfId="0" applyFont="1" applyBorder="1" applyAlignment="1" applyProtection="1">
      <alignment vertical="center"/>
      <protection/>
    </xf>
    <xf numFmtId="0" fontId="79" fillId="34" borderId="22" xfId="0" applyFont="1" applyFill="1" applyBorder="1" applyAlignment="1" applyProtection="1">
      <alignment/>
      <protection/>
    </xf>
    <xf numFmtId="0" fontId="4" fillId="0" borderId="0" xfId="0" applyFont="1" applyAlignment="1" applyProtection="1">
      <alignment vertical="top"/>
      <protection/>
    </xf>
    <xf numFmtId="0" fontId="79" fillId="34" borderId="0" xfId="0" applyFont="1" applyFill="1" applyBorder="1" applyAlignment="1" applyProtection="1">
      <alignment/>
      <protection/>
    </xf>
    <xf numFmtId="0" fontId="79" fillId="34" borderId="0" xfId="0" applyFont="1" applyFill="1" applyBorder="1" applyAlignment="1" applyProtection="1">
      <alignment horizontal="left"/>
      <protection/>
    </xf>
    <xf numFmtId="0" fontId="12" fillId="34" borderId="42" xfId="0" applyFont="1" applyFill="1" applyBorder="1" applyAlignment="1" applyProtection="1">
      <alignment/>
      <protection/>
    </xf>
    <xf numFmtId="0" fontId="4" fillId="33" borderId="13" xfId="0" applyFont="1" applyFill="1" applyBorder="1" applyAlignment="1" applyProtection="1">
      <alignment vertical="top" wrapText="1"/>
      <protection/>
    </xf>
    <xf numFmtId="0" fontId="4" fillId="0" borderId="0" xfId="0" applyFont="1" applyFill="1" applyBorder="1" applyAlignment="1" applyProtection="1">
      <alignment vertical="top"/>
      <protection/>
    </xf>
    <xf numFmtId="0" fontId="4" fillId="33" borderId="0" xfId="0" applyFont="1" applyFill="1" applyBorder="1" applyAlignment="1" applyProtection="1">
      <alignment vertical="top" wrapText="1"/>
      <protection/>
    </xf>
    <xf numFmtId="39" fontId="12" fillId="34" borderId="27" xfId="0" applyNumberFormat="1" applyFont="1" applyFill="1" applyBorder="1" applyAlignment="1" applyProtection="1">
      <alignment vertical="center"/>
      <protection/>
    </xf>
    <xf numFmtId="41" fontId="12" fillId="33" borderId="30" xfId="0" applyNumberFormat="1" applyFont="1" applyFill="1" applyBorder="1" applyAlignment="1" applyProtection="1">
      <alignment vertical="center"/>
      <protection/>
    </xf>
    <xf numFmtId="41" fontId="12" fillId="33" borderId="14" xfId="0" applyNumberFormat="1" applyFont="1" applyFill="1" applyBorder="1" applyAlignment="1" applyProtection="1">
      <alignment vertical="center"/>
      <protection/>
    </xf>
    <xf numFmtId="41" fontId="12" fillId="33" borderId="16" xfId="0" applyNumberFormat="1" applyFont="1" applyFill="1" applyBorder="1" applyAlignment="1" applyProtection="1">
      <alignment vertical="center"/>
      <protection/>
    </xf>
    <xf numFmtId="37" fontId="12" fillId="33" borderId="54" xfId="0" applyNumberFormat="1" applyFont="1" applyFill="1" applyBorder="1" applyAlignment="1" applyProtection="1">
      <alignment vertical="center"/>
      <protection/>
    </xf>
    <xf numFmtId="42" fontId="12" fillId="38" borderId="47" xfId="0" applyNumberFormat="1" applyFont="1" applyFill="1" applyBorder="1" applyAlignment="1" applyProtection="1">
      <alignment vertical="center"/>
      <protection/>
    </xf>
    <xf numFmtId="42" fontId="12" fillId="38" borderId="48" xfId="0" applyNumberFormat="1" applyFont="1" applyFill="1" applyBorder="1" applyAlignment="1" applyProtection="1">
      <alignment vertical="center"/>
      <protection/>
    </xf>
    <xf numFmtId="41" fontId="12" fillId="38" borderId="48" xfId="0" applyNumberFormat="1" applyFont="1" applyFill="1" applyBorder="1" applyAlignment="1" applyProtection="1">
      <alignment vertical="center"/>
      <protection/>
    </xf>
    <xf numFmtId="41" fontId="12" fillId="33" borderId="49" xfId="0" applyNumberFormat="1" applyFont="1" applyFill="1" applyBorder="1" applyAlignment="1" applyProtection="1">
      <alignment vertical="center"/>
      <protection/>
    </xf>
    <xf numFmtId="42" fontId="12" fillId="38" borderId="46" xfId="0" applyNumberFormat="1" applyFont="1" applyFill="1" applyBorder="1" applyAlignment="1" applyProtection="1">
      <alignment vertical="center"/>
      <protection/>
    </xf>
    <xf numFmtId="42" fontId="12" fillId="38" borderId="0" xfId="0" applyNumberFormat="1" applyFont="1" applyFill="1" applyBorder="1" applyAlignment="1" applyProtection="1">
      <alignment vertical="center"/>
      <protection/>
    </xf>
    <xf numFmtId="41" fontId="12" fillId="38" borderId="0" xfId="0" applyNumberFormat="1" applyFont="1" applyFill="1" applyBorder="1" applyAlignment="1" applyProtection="1">
      <alignment vertical="center"/>
      <protection/>
    </xf>
    <xf numFmtId="41" fontId="12" fillId="33" borderId="15" xfId="0" applyNumberFormat="1" applyFont="1" applyFill="1" applyBorder="1" applyAlignment="1" applyProtection="1">
      <alignment vertical="center"/>
      <protection/>
    </xf>
    <xf numFmtId="41" fontId="12" fillId="33" borderId="9" xfId="0" applyNumberFormat="1" applyFont="1" applyFill="1" applyBorder="1" applyAlignment="1" applyProtection="1">
      <alignment vertical="center"/>
      <protection/>
    </xf>
    <xf numFmtId="41" fontId="12" fillId="34" borderId="46" xfId="0" applyNumberFormat="1" applyFont="1" applyFill="1" applyBorder="1" applyAlignment="1" applyProtection="1">
      <alignment vertical="center"/>
      <protection/>
    </xf>
    <xf numFmtId="41" fontId="12" fillId="34" borderId="0" xfId="0" applyNumberFormat="1" applyFont="1" applyFill="1" applyBorder="1" applyAlignment="1" applyProtection="1">
      <alignment vertical="center"/>
      <protection/>
    </xf>
    <xf numFmtId="42" fontId="13" fillId="38" borderId="46" xfId="0" applyNumberFormat="1" applyFont="1" applyFill="1" applyBorder="1" applyAlignment="1" applyProtection="1">
      <alignment vertical="center"/>
      <protection/>
    </xf>
    <xf numFmtId="42" fontId="13" fillId="38" borderId="0" xfId="0" applyNumberFormat="1" applyFont="1" applyFill="1" applyBorder="1" applyAlignment="1" applyProtection="1">
      <alignment vertical="center"/>
      <protection/>
    </xf>
    <xf numFmtId="41" fontId="13" fillId="38" borderId="0" xfId="0" applyNumberFormat="1" applyFont="1" applyFill="1" applyBorder="1" applyAlignment="1" applyProtection="1">
      <alignment vertical="center"/>
      <protection/>
    </xf>
    <xf numFmtId="42" fontId="12" fillId="38" borderId="12" xfId="0" applyNumberFormat="1" applyFont="1" applyFill="1" applyBorder="1" applyAlignment="1" applyProtection="1">
      <alignment vertical="center"/>
      <protection/>
    </xf>
    <xf numFmtId="42" fontId="12" fillId="38" borderId="23" xfId="0" applyNumberFormat="1" applyFont="1" applyFill="1" applyBorder="1" applyAlignment="1" applyProtection="1">
      <alignment vertical="center"/>
      <protection/>
    </xf>
    <xf numFmtId="41" fontId="12" fillId="38" borderId="23" xfId="0" applyNumberFormat="1" applyFont="1" applyFill="1" applyBorder="1" applyAlignment="1" applyProtection="1">
      <alignment vertical="center"/>
      <protection/>
    </xf>
    <xf numFmtId="41" fontId="13" fillId="34" borderId="47" xfId="0" applyNumberFormat="1" applyFont="1" applyFill="1" applyBorder="1" applyAlignment="1" applyProtection="1">
      <alignment horizontal="center" wrapText="1"/>
      <protection locked="0"/>
    </xf>
    <xf numFmtId="41" fontId="13" fillId="34" borderId="9" xfId="0" applyNumberFormat="1" applyFont="1" applyFill="1" applyBorder="1" applyAlignment="1" applyProtection="1">
      <alignment vertical="center"/>
      <protection/>
    </xf>
    <xf numFmtId="41" fontId="13" fillId="34" borderId="13" xfId="0" applyNumberFormat="1" applyFont="1" applyFill="1" applyBorder="1" applyAlignment="1" applyProtection="1">
      <alignment vertical="center"/>
      <protection/>
    </xf>
    <xf numFmtId="41" fontId="12" fillId="33" borderId="32" xfId="0" applyNumberFormat="1" applyFont="1" applyFill="1" applyBorder="1" applyAlignment="1" applyProtection="1">
      <alignment vertical="center"/>
      <protection/>
    </xf>
    <xf numFmtId="41" fontId="12" fillId="34" borderId="36" xfId="0" applyNumberFormat="1" applyFont="1" applyFill="1" applyBorder="1" applyAlignment="1" applyProtection="1">
      <alignment vertical="center"/>
      <protection/>
    </xf>
    <xf numFmtId="41" fontId="12" fillId="34" borderId="20" xfId="0" applyNumberFormat="1" applyFont="1" applyFill="1" applyBorder="1" applyAlignment="1" applyProtection="1">
      <alignment vertical="center"/>
      <protection/>
    </xf>
    <xf numFmtId="41" fontId="13" fillId="34" borderId="12" xfId="0" applyNumberFormat="1" applyFont="1" applyFill="1" applyBorder="1" applyAlignment="1" applyProtection="1">
      <alignment vertical="center"/>
      <protection/>
    </xf>
    <xf numFmtId="41" fontId="13" fillId="34" borderId="21" xfId="0" applyNumberFormat="1" applyFont="1" applyFill="1" applyBorder="1" applyAlignment="1" applyProtection="1">
      <alignment vertical="center"/>
      <protection/>
    </xf>
    <xf numFmtId="41" fontId="12" fillId="0" borderId="9" xfId="0" applyNumberFormat="1" applyFont="1" applyFill="1" applyBorder="1" applyAlignment="1" applyProtection="1">
      <alignment vertical="center"/>
      <protection/>
    </xf>
    <xf numFmtId="41" fontId="12" fillId="34" borderId="26" xfId="0" applyNumberFormat="1" applyFont="1" applyFill="1" applyBorder="1" applyAlignment="1" applyProtection="1">
      <alignment vertical="center"/>
      <protection/>
    </xf>
    <xf numFmtId="41" fontId="12" fillId="0" borderId="37" xfId="0" applyNumberFormat="1" applyFont="1" applyFill="1" applyBorder="1" applyAlignment="1" applyProtection="1">
      <alignment vertical="center"/>
      <protection/>
    </xf>
    <xf numFmtId="41" fontId="12" fillId="33" borderId="36" xfId="0" applyNumberFormat="1" applyFont="1" applyFill="1" applyBorder="1" applyAlignment="1" applyProtection="1">
      <alignment vertical="center"/>
      <protection/>
    </xf>
    <xf numFmtId="41" fontId="12" fillId="33" borderId="46" xfId="0" applyNumberFormat="1" applyFont="1" applyFill="1" applyBorder="1" applyAlignment="1" applyProtection="1">
      <alignment vertical="center"/>
      <protection/>
    </xf>
    <xf numFmtId="41" fontId="4" fillId="33" borderId="15" xfId="0" applyNumberFormat="1" applyFont="1" applyFill="1" applyBorder="1" applyAlignment="1" applyProtection="1">
      <alignment vertical="center"/>
      <protection/>
    </xf>
    <xf numFmtId="41" fontId="12" fillId="33" borderId="11" xfId="0" applyNumberFormat="1" applyFont="1" applyFill="1" applyBorder="1" applyAlignment="1" applyProtection="1">
      <alignment vertical="center"/>
      <protection/>
    </xf>
    <xf numFmtId="41" fontId="12" fillId="33" borderId="54" xfId="0" applyNumberFormat="1" applyFont="1" applyFill="1" applyBorder="1" applyAlignment="1" applyProtection="1">
      <alignment vertical="center"/>
      <protection/>
    </xf>
    <xf numFmtId="41" fontId="12" fillId="33" borderId="38" xfId="0" applyNumberFormat="1" applyFont="1" applyFill="1" applyBorder="1" applyAlignment="1" applyProtection="1">
      <alignment vertical="center"/>
      <protection/>
    </xf>
    <xf numFmtId="41" fontId="12" fillId="33" borderId="42" xfId="0" applyNumberFormat="1" applyFont="1" applyFill="1" applyBorder="1" applyAlignment="1" applyProtection="1">
      <alignment vertical="center"/>
      <protection/>
    </xf>
    <xf numFmtId="41" fontId="12" fillId="33" borderId="45" xfId="0" applyNumberFormat="1" applyFont="1" applyFill="1" applyBorder="1" applyAlignment="1" applyProtection="1">
      <alignment vertical="center"/>
      <protection/>
    </xf>
    <xf numFmtId="0" fontId="74" fillId="0" borderId="17" xfId="61" applyFont="1" applyBorder="1" applyAlignment="1" applyProtection="1">
      <alignment horizontal="center"/>
      <protection/>
    </xf>
    <xf numFmtId="0" fontId="73" fillId="0" borderId="11" xfId="61" applyFont="1" applyBorder="1" applyAlignment="1" applyProtection="1">
      <alignment horizontal="center" wrapText="1"/>
      <protection/>
    </xf>
    <xf numFmtId="0" fontId="73" fillId="0" borderId="9" xfId="61" applyFont="1" applyBorder="1" applyAlignment="1" applyProtection="1">
      <alignment horizontal="center" wrapText="1"/>
      <protection/>
    </xf>
    <xf numFmtId="0" fontId="74" fillId="0" borderId="0" xfId="61" applyFont="1" applyBorder="1" applyProtection="1">
      <alignment/>
      <protection/>
    </xf>
    <xf numFmtId="0" fontId="74" fillId="0" borderId="0" xfId="61" applyFont="1" applyProtection="1">
      <alignment/>
      <protection/>
    </xf>
    <xf numFmtId="0" fontId="74" fillId="0" borderId="11" xfId="61" applyFont="1" applyFill="1" applyBorder="1" applyAlignment="1" applyProtection="1">
      <alignment/>
      <protection/>
    </xf>
    <xf numFmtId="0" fontId="74" fillId="0" borderId="26" xfId="61" applyFont="1" applyBorder="1" applyAlignment="1" applyProtection="1">
      <alignment horizontal="center"/>
      <protection/>
    </xf>
    <xf numFmtId="0" fontId="74" fillId="0" borderId="32" xfId="61" applyFont="1" applyFill="1" applyBorder="1" applyAlignment="1" applyProtection="1">
      <alignment/>
      <protection/>
    </xf>
    <xf numFmtId="0" fontId="74" fillId="0" borderId="37" xfId="61" applyFont="1" applyBorder="1" applyAlignment="1" applyProtection="1">
      <alignment horizontal="center"/>
      <protection/>
    </xf>
    <xf numFmtId="0" fontId="73" fillId="0" borderId="16" xfId="61" applyFont="1" applyBorder="1" applyAlignment="1" applyProtection="1">
      <alignment/>
      <protection/>
    </xf>
    <xf numFmtId="0" fontId="74" fillId="0" borderId="18" xfId="61" applyFont="1" applyBorder="1" applyAlignment="1" applyProtection="1">
      <alignment horizontal="center"/>
      <protection/>
    </xf>
    <xf numFmtId="0" fontId="74" fillId="0" borderId="14" xfId="61" applyFont="1" applyBorder="1" applyProtection="1">
      <alignment/>
      <protection/>
    </xf>
    <xf numFmtId="0" fontId="74" fillId="0" borderId="11" xfId="61" applyFont="1" applyBorder="1" applyAlignment="1" applyProtection="1">
      <alignment/>
      <protection/>
    </xf>
    <xf numFmtId="0" fontId="74" fillId="0" borderId="32" xfId="61" applyFont="1" applyBorder="1" applyAlignment="1" applyProtection="1">
      <alignment/>
      <protection/>
    </xf>
    <xf numFmtId="0" fontId="74" fillId="0" borderId="33" xfId="61" applyFont="1" applyBorder="1" applyAlignment="1" applyProtection="1">
      <alignment horizontal="center"/>
      <protection/>
    </xf>
    <xf numFmtId="0" fontId="74" fillId="0" borderId="28" xfId="61" applyFont="1" applyBorder="1" applyAlignment="1" applyProtection="1">
      <alignment horizontal="left"/>
      <protection/>
    </xf>
    <xf numFmtId="0" fontId="73" fillId="0" borderId="16" xfId="61" applyFont="1" applyBorder="1" applyAlignment="1" applyProtection="1">
      <alignment horizontal="left"/>
      <protection/>
    </xf>
    <xf numFmtId="0" fontId="74" fillId="0" borderId="28" xfId="61" applyFont="1" applyBorder="1" applyProtection="1">
      <alignment/>
      <protection/>
    </xf>
    <xf numFmtId="0" fontId="74" fillId="0" borderId="27" xfId="61" applyFont="1" applyBorder="1" applyAlignment="1" applyProtection="1">
      <alignment horizontal="center"/>
      <protection/>
    </xf>
    <xf numFmtId="0" fontId="73" fillId="0" borderId="43" xfId="61" applyFont="1" applyFill="1" applyBorder="1" applyAlignment="1" applyProtection="1">
      <alignment horizontal="left"/>
      <protection/>
    </xf>
    <xf numFmtId="0" fontId="74" fillId="0" borderId="11" xfId="61" applyFont="1" applyBorder="1" applyProtection="1">
      <alignment/>
      <protection/>
    </xf>
    <xf numFmtId="0" fontId="74" fillId="0" borderId="55" xfId="61" applyFont="1" applyBorder="1" applyAlignment="1" applyProtection="1">
      <alignment horizontal="center"/>
      <protection/>
    </xf>
    <xf numFmtId="0" fontId="73" fillId="0" borderId="66" xfId="61" applyFont="1" applyBorder="1" applyProtection="1">
      <alignment/>
      <protection/>
    </xf>
    <xf numFmtId="0" fontId="74" fillId="0" borderId="0" xfId="61" applyFont="1" applyAlignment="1" applyProtection="1">
      <alignment horizontal="center"/>
      <protection/>
    </xf>
    <xf numFmtId="37" fontId="12" fillId="34" borderId="9" xfId="0" applyNumberFormat="1" applyFont="1" applyFill="1" applyBorder="1" applyAlignment="1" applyProtection="1">
      <alignment vertical="center" wrapText="1"/>
      <protection/>
    </xf>
    <xf numFmtId="0" fontId="4" fillId="33" borderId="21" xfId="0" applyFont="1" applyFill="1" applyBorder="1" applyAlignment="1">
      <alignment/>
    </xf>
    <xf numFmtId="0" fontId="3" fillId="33" borderId="21" xfId="0" applyFont="1" applyFill="1" applyBorder="1" applyAlignment="1">
      <alignment horizontal="center"/>
    </xf>
    <xf numFmtId="3" fontId="74" fillId="0" borderId="0" xfId="61" applyNumberFormat="1" applyFont="1" applyProtection="1">
      <alignment/>
      <protection/>
    </xf>
    <xf numFmtId="0" fontId="73" fillId="0" borderId="67" xfId="61" applyFont="1" applyBorder="1" applyProtection="1">
      <alignment/>
      <protection/>
    </xf>
    <xf numFmtId="0" fontId="4" fillId="33" borderId="9" xfId="0" applyFont="1" applyFill="1" applyBorder="1" applyAlignment="1">
      <alignment/>
    </xf>
    <xf numFmtId="0" fontId="4" fillId="33" borderId="17" xfId="0" applyFont="1" applyFill="1" applyBorder="1" applyAlignment="1">
      <alignment/>
    </xf>
    <xf numFmtId="0" fontId="3" fillId="33" borderId="28" xfId="0" applyFont="1" applyFill="1" applyBorder="1" applyAlignment="1" applyProtection="1">
      <alignment horizontal="center" vertical="center" wrapText="1"/>
      <protection/>
    </xf>
    <xf numFmtId="0" fontId="3" fillId="33" borderId="46"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180" fontId="4" fillId="0" borderId="0" xfId="0" applyNumberFormat="1" applyFont="1" applyBorder="1" applyAlignment="1" applyProtection="1">
      <alignment/>
      <protection/>
    </xf>
    <xf numFmtId="180" fontId="3" fillId="0" borderId="11" xfId="0" applyNumberFormat="1" applyFont="1" applyBorder="1" applyAlignment="1" applyProtection="1">
      <alignment horizontal="center" vertical="center" wrapText="1"/>
      <protection/>
    </xf>
    <xf numFmtId="180" fontId="3" fillId="0" borderId="9" xfId="0" applyNumberFormat="1" applyFont="1" applyBorder="1" applyAlignment="1" applyProtection="1">
      <alignment horizontal="center" vertical="center" wrapText="1"/>
      <protection/>
    </xf>
    <xf numFmtId="0" fontId="4" fillId="0" borderId="68" xfId="0" applyFont="1" applyBorder="1" applyAlignment="1" applyProtection="1">
      <alignment/>
      <protection/>
    </xf>
    <xf numFmtId="0" fontId="4" fillId="0" borderId="69" xfId="0" applyFont="1" applyBorder="1" applyAlignment="1" applyProtection="1">
      <alignment/>
      <protection/>
    </xf>
    <xf numFmtId="41" fontId="12" fillId="0" borderId="29" xfId="0" applyNumberFormat="1" applyFont="1" applyFill="1" applyBorder="1" applyAlignment="1" applyProtection="1">
      <alignment vertical="center"/>
      <protection/>
    </xf>
    <xf numFmtId="41" fontId="12" fillId="0" borderId="15" xfId="0" applyNumberFormat="1" applyFont="1" applyFill="1" applyBorder="1" applyAlignment="1" applyProtection="1">
      <alignment vertical="center"/>
      <protection/>
    </xf>
    <xf numFmtId="41" fontId="12" fillId="0" borderId="36" xfId="0" applyNumberFormat="1" applyFont="1" applyFill="1" applyBorder="1" applyAlignment="1" applyProtection="1">
      <alignment vertical="center"/>
      <protection/>
    </xf>
    <xf numFmtId="41" fontId="12" fillId="0" borderId="47" xfId="0" applyNumberFormat="1" applyFont="1" applyFill="1" applyBorder="1" applyAlignment="1" applyProtection="1">
      <alignment vertical="center"/>
      <protection/>
    </xf>
    <xf numFmtId="0" fontId="3" fillId="0" borderId="65" xfId="0" applyFont="1" applyBorder="1" applyAlignment="1" applyProtection="1">
      <alignment horizontal="center"/>
      <protection/>
    </xf>
    <xf numFmtId="0" fontId="4" fillId="34" borderId="21" xfId="0" applyFont="1" applyFill="1" applyBorder="1" applyAlignment="1" applyProtection="1">
      <alignment vertical="center"/>
      <protection/>
    </xf>
    <xf numFmtId="0" fontId="4" fillId="34" borderId="57" xfId="0" applyFont="1" applyFill="1" applyBorder="1" applyAlignment="1" applyProtection="1">
      <alignment vertical="center"/>
      <protection/>
    </xf>
    <xf numFmtId="180" fontId="12" fillId="35" borderId="9" xfId="65" applyNumberFormat="1" applyFont="1" applyFill="1" applyBorder="1" applyAlignment="1" applyProtection="1">
      <alignment vertical="center"/>
      <protection locked="0"/>
    </xf>
    <xf numFmtId="180" fontId="12" fillId="35" borderId="45" xfId="65" applyNumberFormat="1" applyFont="1" applyFill="1" applyBorder="1" applyAlignment="1" applyProtection="1">
      <alignment vertical="center"/>
      <protection locked="0"/>
    </xf>
    <xf numFmtId="0" fontId="78" fillId="34" borderId="17" xfId="0" applyFont="1" applyFill="1" applyBorder="1" applyAlignment="1" applyProtection="1">
      <alignment horizontal="center" vertical="center"/>
      <protection/>
    </xf>
    <xf numFmtId="0" fontId="3" fillId="0" borderId="18" xfId="0" applyFont="1" applyBorder="1" applyAlignment="1" applyProtection="1">
      <alignment horizontal="center"/>
      <protection/>
    </xf>
    <xf numFmtId="0" fontId="3" fillId="33" borderId="70" xfId="0" applyFont="1" applyFill="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4" fillId="0" borderId="9" xfId="0" applyFont="1" applyBorder="1" applyAlignment="1" applyProtection="1">
      <alignment horizontal="left" vertical="center"/>
      <protection/>
    </xf>
    <xf numFmtId="0" fontId="4" fillId="0" borderId="0" xfId="0" applyFont="1" applyBorder="1" applyAlignment="1" applyProtection="1">
      <alignment/>
      <protection/>
    </xf>
    <xf numFmtId="0" fontId="4" fillId="0" borderId="0" xfId="0" applyFont="1" applyAlignment="1" applyProtection="1">
      <alignment/>
      <protection/>
    </xf>
    <xf numFmtId="0" fontId="3" fillId="0" borderId="0" xfId="0" applyFont="1" applyFill="1" applyBorder="1" applyAlignment="1" applyProtection="1">
      <alignment horizontal="center"/>
      <protection/>
    </xf>
    <xf numFmtId="0" fontId="3" fillId="33" borderId="52" xfId="0" applyFont="1" applyFill="1" applyBorder="1" applyAlignment="1" applyProtection="1">
      <alignment horizontal="center" wrapText="1"/>
      <protection/>
    </xf>
    <xf numFmtId="41" fontId="12" fillId="34" borderId="46" xfId="0" applyNumberFormat="1" applyFont="1" applyFill="1" applyBorder="1" applyAlignment="1" applyProtection="1">
      <alignment/>
      <protection/>
    </xf>
    <xf numFmtId="0" fontId="4" fillId="33" borderId="30" xfId="0" applyFont="1" applyFill="1" applyBorder="1" applyAlignment="1" applyProtection="1">
      <alignment horizontal="left" vertical="center" wrapText="1" indent="1"/>
      <protection/>
    </xf>
    <xf numFmtId="41" fontId="12" fillId="33" borderId="43" xfId="0" applyNumberFormat="1" applyFont="1" applyFill="1" applyBorder="1" applyAlignment="1" applyProtection="1">
      <alignment vertical="center"/>
      <protection/>
    </xf>
    <xf numFmtId="41" fontId="12" fillId="0" borderId="12" xfId="0" applyNumberFormat="1" applyFont="1" applyFill="1" applyBorder="1" applyAlignment="1" applyProtection="1">
      <alignment vertical="center"/>
      <protection/>
    </xf>
    <xf numFmtId="0" fontId="4" fillId="0" borderId="21" xfId="0" applyFont="1" applyBorder="1" applyAlignment="1" applyProtection="1">
      <alignment wrapText="1"/>
      <protection/>
    </xf>
    <xf numFmtId="0" fontId="4" fillId="0" borderId="20" xfId="0" applyFont="1" applyBorder="1" applyAlignment="1" applyProtection="1">
      <alignment wrapText="1"/>
      <protection/>
    </xf>
    <xf numFmtId="37" fontId="12" fillId="33" borderId="0" xfId="0" applyNumberFormat="1" applyFont="1" applyFill="1" applyBorder="1" applyAlignment="1" applyProtection="1">
      <alignment vertical="center"/>
      <protection/>
    </xf>
    <xf numFmtId="0" fontId="4" fillId="33" borderId="72" xfId="0" applyFont="1" applyFill="1" applyBorder="1" applyAlignment="1" applyProtection="1">
      <alignment horizontal="center" vertical="center"/>
      <protection/>
    </xf>
    <xf numFmtId="0" fontId="3" fillId="33" borderId="73" xfId="0" applyFont="1" applyFill="1" applyBorder="1" applyAlignment="1" applyProtection="1">
      <alignment vertical="center"/>
      <protection/>
    </xf>
    <xf numFmtId="37" fontId="12" fillId="33" borderId="72" xfId="0" applyNumberFormat="1" applyFont="1" applyFill="1" applyBorder="1" applyAlignment="1" applyProtection="1">
      <alignment vertical="center"/>
      <protection/>
    </xf>
    <xf numFmtId="0" fontId="4" fillId="33" borderId="51" xfId="0" applyFont="1" applyFill="1" applyBorder="1" applyAlignment="1" applyProtection="1">
      <alignment horizontal="center" vertical="center"/>
      <protection/>
    </xf>
    <xf numFmtId="37" fontId="12" fillId="33" borderId="56" xfId="0" applyNumberFormat="1" applyFont="1" applyFill="1" applyBorder="1" applyAlignment="1" applyProtection="1">
      <alignment vertical="center"/>
      <protection/>
    </xf>
    <xf numFmtId="37" fontId="12" fillId="33" borderId="9" xfId="0" applyNumberFormat="1" applyFont="1" applyFill="1" applyBorder="1" applyAlignment="1" applyProtection="1">
      <alignment vertical="center"/>
      <protection/>
    </xf>
    <xf numFmtId="0" fontId="4" fillId="33" borderId="65" xfId="0" applyFont="1" applyFill="1" applyBorder="1" applyAlignment="1" applyProtection="1">
      <alignment horizontal="center" vertical="center"/>
      <protection/>
    </xf>
    <xf numFmtId="37" fontId="12" fillId="33" borderId="65" xfId="0" applyNumberFormat="1" applyFont="1" applyFill="1" applyBorder="1" applyAlignment="1" applyProtection="1">
      <alignment vertical="center"/>
      <protection/>
    </xf>
    <xf numFmtId="37" fontId="12" fillId="33" borderId="23" xfId="0" applyNumberFormat="1" applyFont="1" applyFill="1" applyBorder="1" applyAlignment="1" applyProtection="1">
      <alignment vertical="center"/>
      <protection/>
    </xf>
    <xf numFmtId="37" fontId="12" fillId="33" borderId="51" xfId="0" applyNumberFormat="1" applyFont="1" applyFill="1" applyBorder="1" applyAlignment="1" applyProtection="1">
      <alignment vertical="center"/>
      <protection/>
    </xf>
    <xf numFmtId="37" fontId="12" fillId="33" borderId="17" xfId="0" applyNumberFormat="1" applyFont="1" applyFill="1" applyBorder="1" applyAlignment="1" applyProtection="1">
      <alignment vertical="center"/>
      <protection/>
    </xf>
    <xf numFmtId="0" fontId="3" fillId="0" borderId="63" xfId="0" applyFont="1" applyBorder="1" applyAlignment="1" applyProtection="1">
      <alignment/>
      <protection/>
    </xf>
    <xf numFmtId="0" fontId="8" fillId="0" borderId="62" xfId="0" applyFont="1" applyBorder="1" applyAlignment="1" applyProtection="1">
      <alignment/>
      <protection/>
    </xf>
    <xf numFmtId="3" fontId="82" fillId="0" borderId="0" xfId="61" applyNumberFormat="1" applyFont="1" applyBorder="1" applyProtection="1">
      <alignment/>
      <protection/>
    </xf>
    <xf numFmtId="3" fontId="82" fillId="0" borderId="20" xfId="61" applyNumberFormat="1" applyFont="1" applyBorder="1" applyProtection="1">
      <alignment/>
      <protection/>
    </xf>
    <xf numFmtId="0" fontId="4" fillId="33" borderId="74" xfId="0" applyFont="1" applyFill="1" applyBorder="1" applyAlignment="1" applyProtection="1">
      <alignment vertical="center"/>
      <protection/>
    </xf>
    <xf numFmtId="0" fontId="4" fillId="33" borderId="11" xfId="0" applyFont="1" applyFill="1" applyBorder="1" applyAlignment="1" applyProtection="1">
      <alignment vertical="center"/>
      <protection/>
    </xf>
    <xf numFmtId="0" fontId="4" fillId="33" borderId="45" xfId="0" applyFont="1" applyFill="1" applyBorder="1" applyAlignment="1" applyProtection="1">
      <alignment vertical="center"/>
      <protection/>
    </xf>
    <xf numFmtId="166" fontId="12" fillId="0" borderId="58" xfId="0" applyNumberFormat="1" applyFont="1" applyFill="1" applyBorder="1" applyAlignment="1" applyProtection="1">
      <alignment vertical="center"/>
      <protection/>
    </xf>
    <xf numFmtId="0" fontId="12" fillId="34" borderId="23" xfId="0" applyFont="1" applyFill="1" applyBorder="1" applyAlignment="1" applyProtection="1">
      <alignment vertical="center"/>
      <protection/>
    </xf>
    <xf numFmtId="41" fontId="13" fillId="34" borderId="43" xfId="0" applyNumberFormat="1" applyFont="1" applyFill="1" applyBorder="1" applyAlignment="1" applyProtection="1">
      <alignment vertical="center" wrapText="1"/>
      <protection/>
    </xf>
    <xf numFmtId="41" fontId="13" fillId="34" borderId="42" xfId="0" applyNumberFormat="1" applyFont="1" applyFill="1" applyBorder="1" applyAlignment="1" applyProtection="1">
      <alignment vertical="center" wrapText="1"/>
      <protection/>
    </xf>
    <xf numFmtId="0" fontId="4" fillId="0" borderId="75" xfId="0" applyFont="1" applyBorder="1" applyAlignment="1" applyProtection="1">
      <alignment/>
      <protection/>
    </xf>
    <xf numFmtId="41" fontId="12" fillId="36" borderId="9" xfId="0" applyNumberFormat="1" applyFont="1" applyFill="1" applyBorder="1" applyAlignment="1" applyProtection="1">
      <alignment vertical="center"/>
      <protection locked="0"/>
    </xf>
    <xf numFmtId="41" fontId="12" fillId="36" borderId="36" xfId="0" applyNumberFormat="1" applyFont="1" applyFill="1" applyBorder="1" applyAlignment="1" applyProtection="1">
      <alignment vertical="center"/>
      <protection locked="0"/>
    </xf>
    <xf numFmtId="41" fontId="12" fillId="36" borderId="29" xfId="0" applyNumberFormat="1" applyFont="1" applyFill="1" applyBorder="1" applyAlignment="1" applyProtection="1">
      <alignment vertical="center"/>
      <protection locked="0"/>
    </xf>
    <xf numFmtId="0" fontId="4" fillId="0" borderId="51" xfId="0" applyFont="1" applyBorder="1" applyAlignment="1" applyProtection="1">
      <alignment horizontal="center" vertical="center"/>
      <protection/>
    </xf>
    <xf numFmtId="0" fontId="4" fillId="0" borderId="74" xfId="0" applyFont="1" applyBorder="1" applyAlignment="1" applyProtection="1">
      <alignment vertical="center"/>
      <protection/>
    </xf>
    <xf numFmtId="0" fontId="4" fillId="0" borderId="11" xfId="0" applyFont="1" applyBorder="1" applyAlignment="1" applyProtection="1">
      <alignment vertical="center"/>
      <protection/>
    </xf>
    <xf numFmtId="41" fontId="12" fillId="0" borderId="11" xfId="0" applyNumberFormat="1" applyFont="1" applyFill="1" applyBorder="1" applyAlignment="1" applyProtection="1">
      <alignment vertical="center"/>
      <protection/>
    </xf>
    <xf numFmtId="41" fontId="12" fillId="0" borderId="76" xfId="0" applyNumberFormat="1" applyFont="1" applyFill="1" applyBorder="1" applyAlignment="1" applyProtection="1">
      <alignment vertical="center"/>
      <protection/>
    </xf>
    <xf numFmtId="41" fontId="12" fillId="36" borderId="73" xfId="0" applyNumberFormat="1" applyFont="1" applyFill="1" applyBorder="1" applyAlignment="1" applyProtection="1">
      <alignment vertical="center"/>
      <protection locked="0"/>
    </xf>
    <xf numFmtId="41" fontId="12" fillId="36" borderId="15" xfId="0" applyNumberFormat="1" applyFont="1" applyFill="1" applyBorder="1" applyAlignment="1" applyProtection="1">
      <alignment vertical="center"/>
      <protection locked="0"/>
    </xf>
    <xf numFmtId="41" fontId="12" fillId="36" borderId="9" xfId="0" applyNumberFormat="1" applyFont="1" applyFill="1" applyBorder="1" applyAlignment="1" applyProtection="1">
      <alignment vertical="center"/>
      <protection locked="0"/>
    </xf>
    <xf numFmtId="41" fontId="12" fillId="36" borderId="36" xfId="0" applyNumberFormat="1" applyFont="1" applyFill="1" applyBorder="1" applyAlignment="1" applyProtection="1">
      <alignment vertical="center"/>
      <protection locked="0"/>
    </xf>
    <xf numFmtId="41" fontId="12" fillId="36" borderId="29" xfId="0" applyNumberFormat="1" applyFont="1" applyFill="1" applyBorder="1" applyAlignment="1" applyProtection="1">
      <alignment vertical="center"/>
      <protection locked="0"/>
    </xf>
    <xf numFmtId="0" fontId="4" fillId="0" borderId="44" xfId="0" applyFont="1" applyBorder="1" applyAlignment="1" applyProtection="1">
      <alignment horizontal="center"/>
      <protection/>
    </xf>
    <xf numFmtId="0" fontId="4" fillId="0" borderId="17" xfId="0" applyFont="1" applyBorder="1" applyAlignment="1" applyProtection="1">
      <alignment horizontal="left"/>
      <protection/>
    </xf>
    <xf numFmtId="0" fontId="4" fillId="0" borderId="44" xfId="0" applyFont="1" applyBorder="1" applyAlignment="1" applyProtection="1">
      <alignment horizontal="left"/>
      <protection/>
    </xf>
    <xf numFmtId="41" fontId="12" fillId="0" borderId="48" xfId="0" applyNumberFormat="1" applyFont="1" applyFill="1" applyBorder="1" applyAlignment="1" applyProtection="1">
      <alignment vertical="center"/>
      <protection/>
    </xf>
    <xf numFmtId="41" fontId="12" fillId="35" borderId="76" xfId="0" applyNumberFormat="1" applyFont="1" applyFill="1" applyBorder="1" applyAlignment="1" applyProtection="1">
      <alignment vertical="center"/>
      <protection locked="0"/>
    </xf>
    <xf numFmtId="42" fontId="4" fillId="0" borderId="48" xfId="0" applyNumberFormat="1" applyFont="1" applyBorder="1" applyAlignment="1" applyProtection="1">
      <alignment vertical="center"/>
      <protection/>
    </xf>
    <xf numFmtId="41" fontId="12" fillId="33" borderId="0" xfId="0" applyNumberFormat="1" applyFont="1" applyFill="1" applyBorder="1" applyAlignment="1" applyProtection="1">
      <alignment vertical="center"/>
      <protection/>
    </xf>
    <xf numFmtId="42" fontId="12" fillId="0" borderId="0" xfId="0" applyNumberFormat="1" applyFont="1" applyBorder="1" applyAlignment="1" applyProtection="1">
      <alignment/>
      <protection/>
    </xf>
    <xf numFmtId="41" fontId="12" fillId="33" borderId="0" xfId="0" applyNumberFormat="1" applyFont="1" applyFill="1" applyBorder="1" applyAlignment="1" applyProtection="1">
      <alignment vertical="center"/>
      <protection locked="0"/>
    </xf>
    <xf numFmtId="41" fontId="12" fillId="0" borderId="28" xfId="0" applyNumberFormat="1" applyFont="1" applyFill="1" applyBorder="1" applyAlignment="1" applyProtection="1">
      <alignment vertical="center"/>
      <protection/>
    </xf>
    <xf numFmtId="3" fontId="12" fillId="34" borderId="9" xfId="0" applyNumberFormat="1" applyFont="1" applyFill="1" applyBorder="1" applyAlignment="1" applyProtection="1">
      <alignment vertical="center"/>
      <protection/>
    </xf>
    <xf numFmtId="3" fontId="12" fillId="34" borderId="36" xfId="0" applyNumberFormat="1" applyFont="1" applyFill="1" applyBorder="1" applyAlignment="1" applyProtection="1">
      <alignment vertical="center"/>
      <protection/>
    </xf>
    <xf numFmtId="41" fontId="12" fillId="34" borderId="50" xfId="0" applyNumberFormat="1" applyFont="1" applyFill="1" applyBorder="1" applyAlignment="1" applyProtection="1">
      <alignment vertical="center"/>
      <protection/>
    </xf>
    <xf numFmtId="43" fontId="12" fillId="35" borderId="74" xfId="0" applyNumberFormat="1" applyFont="1" applyFill="1" applyBorder="1" applyAlignment="1" applyProtection="1">
      <alignment vertical="center"/>
      <protection locked="0"/>
    </xf>
    <xf numFmtId="43" fontId="12" fillId="35" borderId="11" xfId="0" applyNumberFormat="1" applyFont="1" applyFill="1" applyBorder="1" applyAlignment="1" applyProtection="1">
      <alignment vertical="center"/>
      <protection locked="0"/>
    </xf>
    <xf numFmtId="0" fontId="4" fillId="0" borderId="36" xfId="0" applyFont="1" applyBorder="1" applyAlignment="1" applyProtection="1">
      <alignment/>
      <protection/>
    </xf>
    <xf numFmtId="0" fontId="4" fillId="0" borderId="20" xfId="0" applyFont="1" applyBorder="1" applyAlignment="1" applyProtection="1">
      <alignment/>
      <protection/>
    </xf>
    <xf numFmtId="0" fontId="3" fillId="0" borderId="47" xfId="0" applyFont="1" applyBorder="1" applyAlignment="1" applyProtection="1">
      <alignment/>
      <protection/>
    </xf>
    <xf numFmtId="0" fontId="4" fillId="0" borderId="48" xfId="0" applyFont="1" applyBorder="1" applyAlignment="1" applyProtection="1">
      <alignment/>
      <protection/>
    </xf>
    <xf numFmtId="0" fontId="3" fillId="33" borderId="12" xfId="0" applyFont="1" applyFill="1" applyBorder="1" applyAlignment="1" applyProtection="1">
      <alignment vertical="center"/>
      <protection/>
    </xf>
    <xf numFmtId="0" fontId="3" fillId="33" borderId="9" xfId="0" applyFont="1" applyFill="1" applyBorder="1" applyAlignment="1" applyProtection="1">
      <alignment horizontal="center" wrapText="1"/>
      <protection/>
    </xf>
    <xf numFmtId="0" fontId="3" fillId="0" borderId="49" xfId="0" applyFont="1" applyBorder="1" applyAlignment="1" applyProtection="1">
      <alignment/>
      <protection/>
    </xf>
    <xf numFmtId="0" fontId="4" fillId="0" borderId="17" xfId="0" applyFont="1" applyBorder="1" applyAlignment="1" applyProtection="1">
      <alignment/>
      <protection/>
    </xf>
    <xf numFmtId="0" fontId="4" fillId="0" borderId="40" xfId="0" applyFont="1" applyBorder="1" applyAlignment="1" applyProtection="1">
      <alignment/>
      <protection/>
    </xf>
    <xf numFmtId="0" fontId="4" fillId="0" borderId="65" xfId="0" applyFont="1" applyBorder="1" applyAlignment="1" applyProtection="1">
      <alignment/>
      <protection/>
    </xf>
    <xf numFmtId="0" fontId="3" fillId="0" borderId="65" xfId="0" applyFont="1" applyBorder="1" applyAlignment="1" applyProtection="1">
      <alignment/>
      <protection/>
    </xf>
    <xf numFmtId="0" fontId="4" fillId="0" borderId="17" xfId="0" applyFont="1" applyFill="1" applyBorder="1" applyAlignment="1" applyProtection="1">
      <alignment horizontal="center"/>
      <protection/>
    </xf>
    <xf numFmtId="0" fontId="4" fillId="0" borderId="11" xfId="0" applyFont="1" applyFill="1" applyBorder="1" applyAlignment="1" applyProtection="1">
      <alignment horizontal="left"/>
      <protection/>
    </xf>
    <xf numFmtId="0" fontId="12" fillId="35" borderId="13" xfId="0" applyFont="1" applyFill="1" applyBorder="1" applyAlignment="1" applyProtection="1">
      <alignment horizontal="center" wrapText="1"/>
      <protection locked="0"/>
    </xf>
    <xf numFmtId="0" fontId="4" fillId="0" borderId="72" xfId="0" applyFont="1" applyBorder="1" applyAlignment="1" applyProtection="1">
      <alignment/>
      <protection/>
    </xf>
    <xf numFmtId="41" fontId="12" fillId="36" borderId="36" xfId="0" applyNumberFormat="1" applyFont="1" applyFill="1" applyBorder="1" applyAlignment="1" applyProtection="1">
      <alignment vertical="center"/>
      <protection locked="0"/>
    </xf>
    <xf numFmtId="41" fontId="12" fillId="33" borderId="15" xfId="0" applyNumberFormat="1" applyFont="1" applyFill="1" applyBorder="1" applyAlignment="1" applyProtection="1">
      <alignment vertical="center"/>
      <protection/>
    </xf>
    <xf numFmtId="0" fontId="12" fillId="0" borderId="43" xfId="0" applyFont="1" applyFill="1" applyBorder="1" applyAlignment="1" applyProtection="1">
      <alignment vertical="center"/>
      <protection/>
    </xf>
    <xf numFmtId="43" fontId="4" fillId="0" borderId="61" xfId="0" applyNumberFormat="1" applyFont="1" applyBorder="1" applyAlignment="1" applyProtection="1">
      <alignment/>
      <protection/>
    </xf>
    <xf numFmtId="43" fontId="4" fillId="0" borderId="62" xfId="0" applyNumberFormat="1" applyFont="1" applyBorder="1" applyAlignment="1" applyProtection="1">
      <alignment/>
      <protection/>
    </xf>
    <xf numFmtId="43" fontId="4" fillId="0" borderId="63" xfId="0" applyNumberFormat="1" applyFont="1" applyBorder="1" applyAlignment="1" applyProtection="1">
      <alignment/>
      <protection/>
    </xf>
    <xf numFmtId="43" fontId="4" fillId="0" borderId="60" xfId="0" applyNumberFormat="1" applyFont="1" applyBorder="1" applyAlignment="1" applyProtection="1">
      <alignment/>
      <protection/>
    </xf>
    <xf numFmtId="41" fontId="12" fillId="0" borderId="43" xfId="0" applyNumberFormat="1" applyFont="1" applyBorder="1" applyAlignment="1" applyProtection="1">
      <alignment vertical="center" wrapText="1"/>
      <protection/>
    </xf>
    <xf numFmtId="41" fontId="12" fillId="0" borderId="42" xfId="0" applyNumberFormat="1" applyFont="1" applyBorder="1" applyAlignment="1" applyProtection="1">
      <alignment vertical="center" wrapText="1"/>
      <protection/>
    </xf>
    <xf numFmtId="1" fontId="12" fillId="35" borderId="13" xfId="0" applyNumberFormat="1" applyFont="1" applyFill="1" applyBorder="1" applyAlignment="1" applyProtection="1">
      <alignment vertical="top" wrapText="1"/>
      <protection locked="0"/>
    </xf>
    <xf numFmtId="3" fontId="4" fillId="0" borderId="0" xfId="59" applyNumberFormat="1" applyFont="1" applyProtection="1">
      <alignment/>
      <protection/>
    </xf>
    <xf numFmtId="0" fontId="74" fillId="0" borderId="32" xfId="61" applyFont="1" applyBorder="1" applyAlignment="1" applyProtection="1">
      <alignment wrapText="1"/>
      <protection/>
    </xf>
    <xf numFmtId="0" fontId="74" fillId="0" borderId="51" xfId="61" applyFont="1" applyBorder="1" applyAlignment="1" applyProtection="1">
      <alignment horizontal="center"/>
      <protection/>
    </xf>
    <xf numFmtId="9" fontId="82" fillId="0" borderId="28" xfId="66" applyFont="1" applyBorder="1" applyAlignment="1" applyProtection="1">
      <alignment/>
      <protection/>
    </xf>
    <xf numFmtId="9" fontId="82" fillId="0" borderId="46" xfId="65" applyFont="1" applyBorder="1" applyAlignment="1" applyProtection="1">
      <alignment/>
      <protection/>
    </xf>
    <xf numFmtId="0" fontId="3" fillId="0" borderId="14"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4" fillId="33" borderId="23" xfId="59" applyFont="1" applyFill="1" applyBorder="1" applyAlignment="1" applyProtection="1">
      <alignment/>
      <protection/>
    </xf>
    <xf numFmtId="41" fontId="12" fillId="34" borderId="46" xfId="0" applyNumberFormat="1" applyFont="1" applyFill="1" applyBorder="1" applyAlignment="1" applyProtection="1">
      <alignment vertical="center"/>
      <protection/>
    </xf>
    <xf numFmtId="41" fontId="12" fillId="34" borderId="0" xfId="0" applyNumberFormat="1" applyFont="1" applyFill="1" applyBorder="1" applyAlignment="1" applyProtection="1">
      <alignment vertical="center"/>
      <protection/>
    </xf>
    <xf numFmtId="0" fontId="4" fillId="33" borderId="9" xfId="0" applyFont="1" applyFill="1" applyBorder="1" applyAlignment="1">
      <alignment/>
    </xf>
    <xf numFmtId="0" fontId="4" fillId="33" borderId="13" xfId="0" applyFont="1" applyFill="1" applyBorder="1" applyAlignment="1">
      <alignment/>
    </xf>
    <xf numFmtId="0" fontId="4" fillId="33" borderId="17" xfId="0" applyFont="1" applyFill="1" applyBorder="1" applyAlignment="1">
      <alignment/>
    </xf>
    <xf numFmtId="41" fontId="12" fillId="36" borderId="9" xfId="0" applyNumberFormat="1" applyFont="1" applyFill="1" applyBorder="1" applyAlignment="1" applyProtection="1">
      <alignment vertical="center"/>
      <protection locked="0"/>
    </xf>
    <xf numFmtId="41" fontId="12" fillId="36" borderId="29" xfId="0" applyNumberFormat="1" applyFont="1" applyFill="1" applyBorder="1" applyAlignment="1" applyProtection="1">
      <alignment vertical="center"/>
      <protection locked="0"/>
    </xf>
    <xf numFmtId="0" fontId="83" fillId="0" borderId="0" xfId="0" applyFont="1" applyAlignment="1">
      <alignment wrapText="1"/>
    </xf>
    <xf numFmtId="0" fontId="12" fillId="32" borderId="38" xfId="59"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xf>
    <xf numFmtId="0" fontId="3" fillId="0" borderId="77" xfId="0" applyFont="1" applyBorder="1" applyAlignment="1" applyProtection="1">
      <alignment horizontal="center" wrapText="1"/>
      <protection/>
    </xf>
    <xf numFmtId="0" fontId="3" fillId="0" borderId="72" xfId="0" applyFont="1" applyBorder="1" applyAlignment="1" applyProtection="1">
      <alignment horizontal="center" wrapText="1"/>
      <protection/>
    </xf>
    <xf numFmtId="0" fontId="3" fillId="0" borderId="78" xfId="0" applyFont="1" applyBorder="1" applyAlignment="1" applyProtection="1">
      <alignment horizontal="center" wrapText="1"/>
      <protection/>
    </xf>
    <xf numFmtId="0" fontId="3" fillId="0" borderId="52" xfId="0" applyFont="1" applyBorder="1" applyAlignment="1" applyProtection="1">
      <alignment horizontal="center"/>
      <protection/>
    </xf>
    <xf numFmtId="0" fontId="3" fillId="0" borderId="75" xfId="0" applyFont="1" applyBorder="1" applyAlignment="1" applyProtection="1">
      <alignment horizontal="center"/>
      <protection/>
    </xf>
    <xf numFmtId="0" fontId="3" fillId="0" borderId="79" xfId="0" applyFont="1" applyBorder="1" applyAlignment="1" applyProtection="1">
      <alignment horizontal="center"/>
      <protection/>
    </xf>
    <xf numFmtId="41" fontId="12" fillId="35" borderId="56" xfId="0" applyNumberFormat="1" applyFont="1" applyFill="1" applyBorder="1" applyAlignment="1" applyProtection="1">
      <alignment vertical="center"/>
      <protection locked="0"/>
    </xf>
    <xf numFmtId="41" fontId="12" fillId="0" borderId="43" xfId="0" applyNumberFormat="1" applyFont="1" applyBorder="1" applyAlignment="1" applyProtection="1">
      <alignment vertical="center"/>
      <protection/>
    </xf>
    <xf numFmtId="196" fontId="12" fillId="0" borderId="11" xfId="0" applyNumberFormat="1" applyFont="1" applyFill="1" applyBorder="1" applyAlignment="1" applyProtection="1">
      <alignment vertical="center"/>
      <protection/>
    </xf>
    <xf numFmtId="196" fontId="12" fillId="0" borderId="30" xfId="0" applyNumberFormat="1" applyFont="1" applyFill="1" applyBorder="1" applyAlignment="1" applyProtection="1">
      <alignment vertical="center"/>
      <protection/>
    </xf>
    <xf numFmtId="196" fontId="12" fillId="34" borderId="40" xfId="0" applyNumberFormat="1" applyFont="1" applyFill="1" applyBorder="1" applyAlignment="1" applyProtection="1">
      <alignment vertical="center"/>
      <protection/>
    </xf>
    <xf numFmtId="43" fontId="12" fillId="0" borderId="9" xfId="0" applyNumberFormat="1" applyFont="1" applyBorder="1" applyAlignment="1" applyProtection="1">
      <alignment vertical="center"/>
      <protection/>
    </xf>
    <xf numFmtId="43" fontId="12" fillId="0" borderId="29" xfId="0" applyNumberFormat="1" applyFont="1" applyBorder="1" applyAlignment="1" applyProtection="1">
      <alignment vertical="center"/>
      <protection/>
    </xf>
    <xf numFmtId="43" fontId="12" fillId="0" borderId="49" xfId="0" applyNumberFormat="1" applyFont="1" applyBorder="1" applyAlignment="1" applyProtection="1">
      <alignment vertical="center"/>
      <protection/>
    </xf>
    <xf numFmtId="43" fontId="12" fillId="0" borderId="42" xfId="0" applyNumberFormat="1" applyFont="1" applyBorder="1" applyAlignment="1" applyProtection="1">
      <alignment vertical="center"/>
      <protection/>
    </xf>
    <xf numFmtId="43" fontId="12" fillId="0" borderId="17" xfId="0" applyNumberFormat="1" applyFont="1" applyBorder="1" applyAlignment="1" applyProtection="1">
      <alignment/>
      <protection/>
    </xf>
    <xf numFmtId="43" fontId="12" fillId="0" borderId="11" xfId="0" applyNumberFormat="1" applyFont="1" applyBorder="1" applyAlignment="1" applyProtection="1">
      <alignment/>
      <protection/>
    </xf>
    <xf numFmtId="43" fontId="12" fillId="0" borderId="13" xfId="0" applyNumberFormat="1" applyFont="1" applyBorder="1" applyAlignment="1" applyProtection="1">
      <alignment/>
      <protection/>
    </xf>
    <xf numFmtId="43" fontId="12" fillId="0" borderId="24" xfId="0" applyNumberFormat="1" applyFont="1" applyBorder="1" applyAlignment="1" applyProtection="1">
      <alignment/>
      <protection/>
    </xf>
    <xf numFmtId="43" fontId="12" fillId="0" borderId="30" xfId="0" applyNumberFormat="1" applyFont="1" applyBorder="1" applyAlignment="1" applyProtection="1">
      <alignment/>
      <protection/>
    </xf>
    <xf numFmtId="43" fontId="12" fillId="0" borderId="50" xfId="0" applyNumberFormat="1" applyFont="1" applyBorder="1" applyAlignment="1" applyProtection="1">
      <alignment/>
      <protection/>
    </xf>
    <xf numFmtId="43" fontId="12" fillId="0" borderId="48" xfId="0" applyNumberFormat="1" applyFont="1" applyBorder="1" applyAlignment="1" applyProtection="1">
      <alignment/>
      <protection/>
    </xf>
    <xf numFmtId="43" fontId="12" fillId="0" borderId="16" xfId="0" applyNumberFormat="1" applyFont="1" applyBorder="1" applyAlignment="1" applyProtection="1">
      <alignment/>
      <protection/>
    </xf>
    <xf numFmtId="43" fontId="12" fillId="0" borderId="31" xfId="0" applyNumberFormat="1" applyFont="1" applyBorder="1" applyAlignment="1" applyProtection="1">
      <alignment/>
      <protection/>
    </xf>
    <xf numFmtId="43" fontId="12" fillId="0" borderId="58" xfId="0" applyNumberFormat="1" applyFont="1" applyBorder="1" applyAlignment="1" applyProtection="1">
      <alignment/>
      <protection/>
    </xf>
    <xf numFmtId="43" fontId="12" fillId="0" borderId="40" xfId="0" applyNumberFormat="1" applyFont="1" applyBorder="1" applyAlignment="1" applyProtection="1">
      <alignment/>
      <protection/>
    </xf>
    <xf numFmtId="43" fontId="12" fillId="0" borderId="33" xfId="0" applyNumberFormat="1" applyFont="1" applyBorder="1" applyAlignment="1" applyProtection="1">
      <alignment/>
      <protection/>
    </xf>
    <xf numFmtId="43" fontId="12" fillId="0" borderId="28" xfId="0" applyNumberFormat="1" applyFont="1" applyBorder="1" applyAlignment="1" applyProtection="1">
      <alignment/>
      <protection/>
    </xf>
    <xf numFmtId="43" fontId="12" fillId="0" borderId="0" xfId="0" applyNumberFormat="1" applyFont="1" applyBorder="1" applyAlignment="1" applyProtection="1">
      <alignment/>
      <protection/>
    </xf>
    <xf numFmtId="41" fontId="12" fillId="35" borderId="58" xfId="0" applyNumberFormat="1" applyFont="1" applyFill="1" applyBorder="1" applyAlignment="1" applyProtection="1">
      <alignment vertical="center"/>
      <protection locked="0"/>
    </xf>
    <xf numFmtId="41" fontId="12" fillId="0" borderId="38" xfId="0" applyNumberFormat="1" applyFont="1" applyBorder="1" applyAlignment="1" applyProtection="1">
      <alignment vertical="center"/>
      <protection/>
    </xf>
    <xf numFmtId="43" fontId="12" fillId="0" borderId="12" xfId="0" applyNumberFormat="1" applyFont="1" applyBorder="1" applyAlignment="1" applyProtection="1">
      <alignment vertical="center"/>
      <protection/>
    </xf>
    <xf numFmtId="43" fontId="12" fillId="35" borderId="30" xfId="0" applyNumberFormat="1" applyFont="1" applyFill="1" applyBorder="1" applyAlignment="1" applyProtection="1">
      <alignment vertical="center"/>
      <protection locked="0"/>
    </xf>
    <xf numFmtId="43" fontId="12" fillId="0" borderId="43" xfId="0" applyNumberFormat="1" applyFont="1" applyFill="1" applyBorder="1" applyAlignment="1" applyProtection="1">
      <alignment vertical="center"/>
      <protection/>
    </xf>
    <xf numFmtId="41" fontId="12" fillId="33" borderId="9" xfId="0" applyNumberFormat="1" applyFont="1" applyFill="1" applyBorder="1" applyAlignment="1" applyProtection="1">
      <alignment/>
      <protection/>
    </xf>
    <xf numFmtId="41" fontId="12" fillId="33" borderId="29" xfId="0" applyNumberFormat="1" applyFont="1" applyFill="1" applyBorder="1" applyAlignment="1" applyProtection="1">
      <alignment/>
      <protection/>
    </xf>
    <xf numFmtId="41" fontId="12" fillId="0" borderId="39" xfId="0" applyNumberFormat="1" applyFont="1" applyFill="1" applyBorder="1" applyAlignment="1" applyProtection="1">
      <alignment vertical="center"/>
      <protection/>
    </xf>
    <xf numFmtId="41" fontId="12" fillId="34" borderId="42" xfId="0" applyNumberFormat="1" applyFont="1" applyFill="1" applyBorder="1" applyAlignment="1" applyProtection="1">
      <alignment vertical="center"/>
      <protection/>
    </xf>
    <xf numFmtId="41" fontId="82" fillId="0" borderId="9" xfId="45" applyNumberFormat="1" applyFont="1" applyBorder="1" applyAlignment="1" applyProtection="1">
      <alignment/>
      <protection/>
    </xf>
    <xf numFmtId="41" fontId="82" fillId="0" borderId="55" xfId="61" applyNumberFormat="1" applyFont="1" applyBorder="1" applyProtection="1">
      <alignment/>
      <protection/>
    </xf>
    <xf numFmtId="41" fontId="82" fillId="0" borderId="16" xfId="45" applyNumberFormat="1" applyFont="1" applyBorder="1" applyAlignment="1" applyProtection="1">
      <alignment/>
      <protection/>
    </xf>
    <xf numFmtId="41" fontId="82" fillId="0" borderId="47" xfId="45" applyNumberFormat="1" applyFont="1" applyBorder="1" applyAlignment="1" applyProtection="1">
      <alignment/>
      <protection/>
    </xf>
    <xf numFmtId="41" fontId="82" fillId="34" borderId="28" xfId="45" applyNumberFormat="1" applyFont="1" applyFill="1" applyBorder="1" applyAlignment="1" applyProtection="1">
      <alignment/>
      <protection/>
    </xf>
    <xf numFmtId="41" fontId="12" fillId="35" borderId="9" xfId="0" applyNumberFormat="1" applyFont="1" applyFill="1" applyBorder="1" applyAlignment="1" applyProtection="1">
      <alignment/>
      <protection locked="0"/>
    </xf>
    <xf numFmtId="41" fontId="82" fillId="0" borderId="47" xfId="61" applyNumberFormat="1" applyFont="1" applyBorder="1" applyAlignment="1" applyProtection="1">
      <alignment/>
      <protection/>
    </xf>
    <xf numFmtId="41" fontId="82" fillId="0" borderId="43" xfId="45" applyNumberFormat="1" applyFont="1" applyBorder="1" applyAlignment="1" applyProtection="1">
      <alignment/>
      <protection/>
    </xf>
    <xf numFmtId="41" fontId="82" fillId="0" borderId="42" xfId="45" applyNumberFormat="1" applyFont="1" applyBorder="1" applyAlignment="1" applyProtection="1">
      <alignment/>
      <protection/>
    </xf>
    <xf numFmtId="41" fontId="12" fillId="35" borderId="11" xfId="0" applyNumberFormat="1" applyFont="1" applyFill="1" applyBorder="1" applyAlignment="1" applyProtection="1">
      <alignment/>
      <protection locked="0"/>
    </xf>
    <xf numFmtId="41" fontId="82" fillId="0" borderId="11" xfId="45" applyNumberFormat="1" applyFont="1" applyBorder="1" applyAlignment="1" applyProtection="1">
      <alignment/>
      <protection/>
    </xf>
    <xf numFmtId="41" fontId="82" fillId="0" borderId="9" xfId="61" applyNumberFormat="1" applyFont="1" applyBorder="1" applyAlignment="1" applyProtection="1">
      <alignment/>
      <protection/>
    </xf>
    <xf numFmtId="41" fontId="82" fillId="0" borderId="32" xfId="45" applyNumberFormat="1" applyFont="1" applyBorder="1" applyAlignment="1" applyProtection="1">
      <alignment/>
      <protection/>
    </xf>
    <xf numFmtId="41" fontId="82" fillId="0" borderId="14" xfId="45" applyNumberFormat="1" applyFont="1" applyBorder="1" applyAlignment="1" applyProtection="1">
      <alignment/>
      <protection/>
    </xf>
    <xf numFmtId="41" fontId="82" fillId="0" borderId="15" xfId="61" applyNumberFormat="1" applyFont="1" applyBorder="1" applyAlignment="1" applyProtection="1">
      <alignment/>
      <protection/>
    </xf>
    <xf numFmtId="41" fontId="12" fillId="33" borderId="11" xfId="0" applyNumberFormat="1" applyFont="1" applyFill="1" applyBorder="1" applyAlignment="1" applyProtection="1">
      <alignment/>
      <protection/>
    </xf>
    <xf numFmtId="41" fontId="12" fillId="0" borderId="9" xfId="0" applyNumberFormat="1" applyFont="1" applyFill="1" applyBorder="1" applyAlignment="1" applyProtection="1">
      <alignment/>
      <protection/>
    </xf>
    <xf numFmtId="41" fontId="12" fillId="0" borderId="43" xfId="0" applyNumberFormat="1" applyFont="1" applyFill="1" applyBorder="1" applyAlignment="1" applyProtection="1">
      <alignment vertical="center"/>
      <protection/>
    </xf>
    <xf numFmtId="41" fontId="12" fillId="35" borderId="11" xfId="0" applyNumberFormat="1" applyFont="1" applyFill="1" applyBorder="1" applyAlignment="1" applyProtection="1">
      <alignment vertical="top"/>
      <protection locked="0"/>
    </xf>
    <xf numFmtId="41" fontId="12" fillId="35" borderId="9" xfId="0" applyNumberFormat="1" applyFont="1" applyFill="1" applyBorder="1" applyAlignment="1" applyProtection="1">
      <alignment vertical="top"/>
      <protection locked="0"/>
    </xf>
    <xf numFmtId="41" fontId="12" fillId="35" borderId="29" xfId="0" applyNumberFormat="1" applyFont="1" applyFill="1" applyBorder="1" applyAlignment="1" applyProtection="1">
      <alignment vertical="top"/>
      <protection locked="0"/>
    </xf>
    <xf numFmtId="41" fontId="12" fillId="0" borderId="38" xfId="0" applyNumberFormat="1" applyFont="1" applyFill="1" applyBorder="1" applyAlignment="1" applyProtection="1">
      <alignment vertical="center"/>
      <protection/>
    </xf>
    <xf numFmtId="41" fontId="12" fillId="35" borderId="11" xfId="46" applyNumberFormat="1" applyFont="1" applyFill="1" applyBorder="1" applyAlignment="1" applyProtection="1">
      <alignment vertical="center"/>
      <protection locked="0"/>
    </xf>
    <xf numFmtId="41" fontId="12" fillId="35" borderId="9" xfId="46" applyNumberFormat="1" applyFont="1" applyFill="1" applyBorder="1" applyAlignment="1" applyProtection="1">
      <alignment vertical="center"/>
      <protection locked="0"/>
    </xf>
    <xf numFmtId="41" fontId="12" fillId="35" borderId="29" xfId="46" applyNumberFormat="1" applyFont="1" applyFill="1" applyBorder="1" applyAlignment="1" applyProtection="1">
      <alignment vertical="center"/>
      <protection locked="0"/>
    </xf>
    <xf numFmtId="41" fontId="4" fillId="0" borderId="25" xfId="0" applyNumberFormat="1" applyFont="1" applyFill="1" applyBorder="1" applyAlignment="1" applyProtection="1">
      <alignment vertical="center"/>
      <protection/>
    </xf>
    <xf numFmtId="41" fontId="12" fillId="36" borderId="9" xfId="59" applyNumberFormat="1" applyFont="1" applyFill="1" applyBorder="1" applyAlignment="1" applyProtection="1">
      <alignment vertical="center"/>
      <protection locked="0"/>
    </xf>
    <xf numFmtId="41" fontId="12" fillId="34" borderId="11" xfId="59" applyNumberFormat="1" applyFont="1" applyFill="1" applyBorder="1" applyAlignment="1" applyProtection="1">
      <alignment vertical="center"/>
      <protection/>
    </xf>
    <xf numFmtId="41" fontId="12" fillId="36" borderId="15" xfId="59" applyNumberFormat="1" applyFont="1" applyFill="1" applyBorder="1" applyAlignment="1" applyProtection="1">
      <alignment vertical="center"/>
      <protection locked="0"/>
    </xf>
    <xf numFmtId="41" fontId="12" fillId="0" borderId="15" xfId="59" applyNumberFormat="1" applyFont="1" applyFill="1" applyBorder="1" applyAlignment="1" applyProtection="1">
      <alignment vertical="center"/>
      <protection/>
    </xf>
    <xf numFmtId="41" fontId="12" fillId="34" borderId="14" xfId="59" applyNumberFormat="1" applyFont="1" applyFill="1" applyBorder="1" applyAlignment="1" applyProtection="1">
      <alignment vertical="center"/>
      <protection/>
    </xf>
    <xf numFmtId="41" fontId="12" fillId="0" borderId="47" xfId="59" applyNumberFormat="1" applyFont="1" applyFill="1" applyBorder="1" applyAlignment="1" applyProtection="1">
      <alignment vertical="center"/>
      <protection/>
    </xf>
    <xf numFmtId="41" fontId="12" fillId="34" borderId="16" xfId="59" applyNumberFormat="1" applyFont="1" applyFill="1" applyBorder="1" applyAlignment="1" applyProtection="1">
      <alignment vertical="center"/>
      <protection/>
    </xf>
    <xf numFmtId="41" fontId="12" fillId="34" borderId="47" xfId="59" applyNumberFormat="1" applyFont="1" applyFill="1" applyBorder="1" applyAlignment="1" applyProtection="1">
      <alignment vertical="center"/>
      <protection/>
    </xf>
    <xf numFmtId="41" fontId="12" fillId="0" borderId="46" xfId="59" applyNumberFormat="1" applyFont="1" applyFill="1" applyBorder="1" applyAlignment="1" applyProtection="1">
      <alignment vertical="center"/>
      <protection/>
    </xf>
    <xf numFmtId="41" fontId="12" fillId="34" borderId="28" xfId="59" applyNumberFormat="1" applyFont="1" applyFill="1" applyBorder="1" applyAlignment="1" applyProtection="1">
      <alignment vertical="center"/>
      <protection/>
    </xf>
    <xf numFmtId="41" fontId="12" fillId="34" borderId="46" xfId="59" applyNumberFormat="1" applyFont="1" applyFill="1" applyBorder="1" applyAlignment="1" applyProtection="1">
      <alignment vertical="center"/>
      <protection/>
    </xf>
    <xf numFmtId="41" fontId="12" fillId="0" borderId="9" xfId="59" applyNumberFormat="1" applyFont="1" applyFill="1" applyBorder="1" applyAlignment="1" applyProtection="1">
      <alignment vertical="center"/>
      <protection/>
    </xf>
    <xf numFmtId="41" fontId="13" fillId="34" borderId="11" xfId="59" applyNumberFormat="1" applyFont="1" applyFill="1" applyBorder="1" applyAlignment="1" applyProtection="1">
      <alignment horizontal="center" vertical="center"/>
      <protection/>
    </xf>
    <xf numFmtId="41" fontId="13" fillId="34" borderId="36" xfId="59" applyNumberFormat="1" applyFont="1" applyFill="1" applyBorder="1" applyAlignment="1" applyProtection="1">
      <alignment horizontal="center" vertical="center"/>
      <protection/>
    </xf>
    <xf numFmtId="41" fontId="12" fillId="0" borderId="36" xfId="59" applyNumberFormat="1" applyFont="1" applyFill="1" applyBorder="1" applyAlignment="1" applyProtection="1">
      <alignment vertical="center"/>
      <protection/>
    </xf>
    <xf numFmtId="41" fontId="12" fillId="36" borderId="11" xfId="59" applyNumberFormat="1" applyFont="1" applyFill="1" applyBorder="1" applyAlignment="1" applyProtection="1">
      <alignment vertical="center"/>
      <protection locked="0"/>
    </xf>
    <xf numFmtId="41" fontId="12" fillId="36" borderId="29" xfId="59" applyNumberFormat="1" applyFont="1" applyFill="1" applyBorder="1" applyAlignment="1" applyProtection="1">
      <alignment vertical="center"/>
      <protection locked="0"/>
    </xf>
    <xf numFmtId="41" fontId="12" fillId="0" borderId="29" xfId="59" applyNumberFormat="1" applyFont="1" applyFill="1" applyBorder="1" applyAlignment="1" applyProtection="1">
      <alignment vertical="center"/>
      <protection/>
    </xf>
    <xf numFmtId="41" fontId="12" fillId="0" borderId="12" xfId="59" applyNumberFormat="1" applyFont="1" applyBorder="1" applyAlignment="1" applyProtection="1">
      <alignment vertical="center"/>
      <protection/>
    </xf>
    <xf numFmtId="41" fontId="12" fillId="33" borderId="38" xfId="59" applyNumberFormat="1" applyFont="1" applyFill="1" applyBorder="1" applyAlignment="1" applyProtection="1">
      <alignment vertical="center"/>
      <protection/>
    </xf>
    <xf numFmtId="41" fontId="12" fillId="33" borderId="12" xfId="59" applyNumberFormat="1" applyFont="1" applyFill="1" applyBorder="1" applyAlignment="1" applyProtection="1">
      <alignment vertical="center"/>
      <protection/>
    </xf>
    <xf numFmtId="41" fontId="12" fillId="33" borderId="11" xfId="59" applyNumberFormat="1" applyFont="1" applyFill="1" applyBorder="1" applyAlignment="1" applyProtection="1">
      <alignment vertical="center"/>
      <protection/>
    </xf>
    <xf numFmtId="41" fontId="12" fillId="34" borderId="15" xfId="59" applyNumberFormat="1" applyFont="1" applyFill="1" applyBorder="1" applyAlignment="1" applyProtection="1">
      <alignment vertical="center"/>
      <protection/>
    </xf>
    <xf numFmtId="41" fontId="12" fillId="33" borderId="9" xfId="59" applyNumberFormat="1" applyFont="1" applyFill="1" applyBorder="1" applyAlignment="1" applyProtection="1">
      <alignment vertical="center"/>
      <protection/>
    </xf>
    <xf numFmtId="41" fontId="12" fillId="34" borderId="32" xfId="59" applyNumberFormat="1" applyFont="1" applyFill="1" applyBorder="1" applyAlignment="1" applyProtection="1">
      <alignment vertical="center"/>
      <protection/>
    </xf>
    <xf numFmtId="41" fontId="12" fillId="34" borderId="36" xfId="59" applyNumberFormat="1" applyFont="1" applyFill="1" applyBorder="1" applyAlignment="1" applyProtection="1">
      <alignment vertical="center"/>
      <protection/>
    </xf>
    <xf numFmtId="41" fontId="12" fillId="33" borderId="16" xfId="59" applyNumberFormat="1" applyFont="1" applyFill="1" applyBorder="1" applyAlignment="1" applyProtection="1">
      <alignment vertical="center"/>
      <protection/>
    </xf>
    <xf numFmtId="41" fontId="12" fillId="33" borderId="47" xfId="59" applyNumberFormat="1" applyFont="1" applyFill="1" applyBorder="1" applyAlignment="1" applyProtection="1">
      <alignment vertical="center"/>
      <protection/>
    </xf>
    <xf numFmtId="41" fontId="12" fillId="36" borderId="32" xfId="59" applyNumberFormat="1" applyFont="1" applyFill="1" applyBorder="1" applyAlignment="1" applyProtection="1">
      <alignment vertical="center"/>
      <protection locked="0"/>
    </xf>
    <xf numFmtId="41" fontId="12" fillId="36" borderId="46" xfId="59" applyNumberFormat="1" applyFont="1" applyFill="1" applyBorder="1" applyAlignment="1" applyProtection="1">
      <alignment vertical="center"/>
      <protection locked="0"/>
    </xf>
    <xf numFmtId="41" fontId="12" fillId="0" borderId="80" xfId="59" applyNumberFormat="1" applyFont="1" applyBorder="1" applyAlignment="1" applyProtection="1">
      <alignment vertical="center"/>
      <protection/>
    </xf>
    <xf numFmtId="41" fontId="12" fillId="33" borderId="80" xfId="59" applyNumberFormat="1" applyFont="1" applyFill="1" applyBorder="1" applyAlignment="1" applyProtection="1">
      <alignment vertical="center"/>
      <protection/>
    </xf>
    <xf numFmtId="41" fontId="12" fillId="33" borderId="81" xfId="59" applyNumberFormat="1" applyFont="1" applyFill="1" applyBorder="1" applyAlignment="1" applyProtection="1">
      <alignment vertical="center"/>
      <protection/>
    </xf>
    <xf numFmtId="41" fontId="12" fillId="0" borderId="19" xfId="59" applyNumberFormat="1" applyFont="1" applyBorder="1" applyAlignment="1" applyProtection="1">
      <alignment vertical="center"/>
      <protection/>
    </xf>
    <xf numFmtId="41" fontId="12" fillId="0" borderId="38" xfId="59" applyNumberFormat="1" applyFont="1" applyFill="1" applyBorder="1" applyAlignment="1" applyProtection="1">
      <alignment vertical="center"/>
      <protection/>
    </xf>
    <xf numFmtId="41" fontId="12" fillId="34" borderId="35" xfId="59" applyNumberFormat="1" applyFont="1" applyFill="1" applyBorder="1" applyAlignment="1" applyProtection="1">
      <alignment vertical="center"/>
      <protection/>
    </xf>
    <xf numFmtId="41" fontId="12" fillId="33" borderId="23" xfId="59" applyNumberFormat="1" applyFont="1" applyFill="1" applyBorder="1" applyAlignment="1" applyProtection="1">
      <alignment vertical="center"/>
      <protection/>
    </xf>
    <xf numFmtId="41" fontId="12" fillId="0" borderId="82" xfId="59" applyNumberFormat="1" applyFont="1" applyFill="1" applyBorder="1" applyAlignment="1" applyProtection="1">
      <alignment vertical="center"/>
      <protection/>
    </xf>
    <xf numFmtId="0" fontId="3" fillId="0" borderId="17" xfId="0" applyFont="1" applyFill="1" applyBorder="1" applyAlignment="1" applyProtection="1">
      <alignment horizontal="center" textRotation="90"/>
      <protection/>
    </xf>
    <xf numFmtId="0" fontId="3" fillId="0" borderId="17" xfId="0" applyFont="1" applyFill="1" applyBorder="1" applyAlignment="1" applyProtection="1">
      <alignment textRotation="90"/>
      <protection/>
    </xf>
    <xf numFmtId="41" fontId="12" fillId="0" borderId="9" xfId="0" applyNumberFormat="1" applyFont="1" applyFill="1" applyBorder="1" applyAlignment="1" applyProtection="1">
      <alignment/>
      <protection/>
    </xf>
    <xf numFmtId="41" fontId="12" fillId="0" borderId="36" xfId="0" applyNumberFormat="1" applyFont="1" applyFill="1" applyBorder="1" applyAlignment="1" applyProtection="1">
      <alignment/>
      <protection/>
    </xf>
    <xf numFmtId="41" fontId="12" fillId="0" borderId="47" xfId="0" applyNumberFormat="1" applyFont="1" applyFill="1" applyBorder="1" applyAlignment="1" applyProtection="1">
      <alignment/>
      <protection/>
    </xf>
    <xf numFmtId="41" fontId="12" fillId="0" borderId="15" xfId="0" applyNumberFormat="1" applyFont="1" applyBorder="1" applyAlignment="1" applyProtection="1">
      <alignment/>
      <protection/>
    </xf>
    <xf numFmtId="41" fontId="12" fillId="0" borderId="49" xfId="0" applyNumberFormat="1" applyFont="1" applyBorder="1" applyAlignment="1" applyProtection="1">
      <alignment/>
      <protection/>
    </xf>
    <xf numFmtId="41" fontId="12" fillId="0" borderId="49" xfId="0" applyNumberFormat="1" applyFont="1" applyFill="1" applyBorder="1" applyAlignment="1" applyProtection="1">
      <alignment/>
      <protection/>
    </xf>
    <xf numFmtId="41" fontId="12" fillId="0" borderId="56" xfId="0" applyNumberFormat="1" applyFont="1" applyFill="1" applyBorder="1" applyAlignment="1" applyProtection="1">
      <alignment/>
      <protection/>
    </xf>
    <xf numFmtId="41" fontId="12" fillId="0" borderId="15" xfId="0" applyNumberFormat="1" applyFont="1" applyFill="1" applyBorder="1" applyAlignment="1" applyProtection="1">
      <alignment/>
      <protection/>
    </xf>
    <xf numFmtId="41" fontId="12" fillId="0" borderId="46" xfId="0" applyNumberFormat="1" applyFont="1" applyFill="1" applyBorder="1" applyAlignment="1" applyProtection="1">
      <alignment/>
      <protection/>
    </xf>
    <xf numFmtId="41" fontId="12" fillId="33" borderId="12" xfId="0" applyNumberFormat="1" applyFont="1" applyFill="1" applyBorder="1" applyAlignment="1" applyProtection="1">
      <alignment/>
      <protection/>
    </xf>
    <xf numFmtId="41" fontId="12" fillId="35" borderId="11" xfId="0" applyNumberFormat="1" applyFont="1" applyFill="1" applyBorder="1" applyAlignment="1" applyProtection="1">
      <alignment horizontal="center" vertical="center"/>
      <protection locked="0"/>
    </xf>
    <xf numFmtId="41" fontId="12" fillId="35" borderId="9" xfId="0" applyNumberFormat="1" applyFont="1" applyFill="1" applyBorder="1" applyAlignment="1" applyProtection="1">
      <alignment horizontal="center" vertical="center"/>
      <protection locked="0"/>
    </xf>
    <xf numFmtId="41" fontId="12" fillId="0" borderId="9" xfId="0" applyNumberFormat="1" applyFont="1" applyBorder="1" applyAlignment="1" applyProtection="1">
      <alignment horizontal="center" vertical="center"/>
      <protection/>
    </xf>
    <xf numFmtId="41" fontId="12" fillId="35" borderId="30" xfId="0" applyNumberFormat="1" applyFont="1" applyFill="1" applyBorder="1" applyAlignment="1" applyProtection="1">
      <alignment horizontal="center" vertical="center"/>
      <protection locked="0"/>
    </xf>
    <xf numFmtId="41" fontId="12" fillId="35" borderId="29" xfId="0" applyNumberFormat="1" applyFont="1" applyFill="1" applyBorder="1" applyAlignment="1" applyProtection="1">
      <alignment horizontal="center" vertical="center"/>
      <protection locked="0"/>
    </xf>
    <xf numFmtId="41" fontId="12" fillId="0" borderId="29" xfId="0" applyNumberFormat="1" applyFont="1" applyBorder="1" applyAlignment="1" applyProtection="1">
      <alignment horizontal="center" vertical="center"/>
      <protection/>
    </xf>
    <xf numFmtId="41" fontId="12" fillId="33" borderId="16" xfId="0" applyNumberFormat="1" applyFont="1" applyFill="1" applyBorder="1" applyAlignment="1" applyProtection="1">
      <alignment horizontal="center" vertical="center"/>
      <protection/>
    </xf>
    <xf numFmtId="41" fontId="12" fillId="33" borderId="40" xfId="0" applyNumberFormat="1" applyFont="1" applyFill="1" applyBorder="1" applyAlignment="1" applyProtection="1">
      <alignment horizontal="center" vertical="center"/>
      <protection/>
    </xf>
    <xf numFmtId="41" fontId="12" fillId="33" borderId="42" xfId="0" applyNumberFormat="1" applyFont="1" applyFill="1" applyBorder="1" applyAlignment="1" applyProtection="1">
      <alignment horizontal="center" vertical="center"/>
      <protection/>
    </xf>
    <xf numFmtId="43" fontId="12" fillId="33" borderId="11" xfId="0" applyNumberFormat="1" applyFont="1" applyFill="1" applyBorder="1" applyAlignment="1" applyProtection="1">
      <alignment horizontal="right" vertical="center"/>
      <protection/>
    </xf>
    <xf numFmtId="43" fontId="12" fillId="0" borderId="9" xfId="0" applyNumberFormat="1" applyFont="1" applyBorder="1" applyAlignment="1" applyProtection="1">
      <alignment horizontal="right"/>
      <protection/>
    </xf>
    <xf numFmtId="43" fontId="12" fillId="33" borderId="30" xfId="0" applyNumberFormat="1" applyFont="1" applyFill="1" applyBorder="1" applyAlignment="1" applyProtection="1">
      <alignment horizontal="right" vertical="center"/>
      <protection/>
    </xf>
    <xf numFmtId="43" fontId="12" fillId="0" borderId="29" xfId="0" applyNumberFormat="1" applyFont="1" applyBorder="1" applyAlignment="1" applyProtection="1">
      <alignment horizontal="right"/>
      <protection/>
    </xf>
    <xf numFmtId="43" fontId="12" fillId="33" borderId="76" xfId="0" applyNumberFormat="1" applyFont="1" applyFill="1" applyBorder="1" applyAlignment="1" applyProtection="1">
      <alignment horizontal="right" vertical="center"/>
      <protection/>
    </xf>
    <xf numFmtId="43" fontId="12" fillId="33" borderId="72" xfId="0" applyNumberFormat="1" applyFont="1" applyFill="1" applyBorder="1" applyAlignment="1" applyProtection="1">
      <alignment horizontal="right" vertical="center"/>
      <protection/>
    </xf>
    <xf numFmtId="41" fontId="12" fillId="35" borderId="83" xfId="0" applyNumberFormat="1" applyFont="1" applyFill="1" applyBorder="1" applyAlignment="1" applyProtection="1">
      <alignment vertical="center"/>
      <protection locked="0"/>
    </xf>
    <xf numFmtId="41" fontId="12" fillId="35" borderId="84" xfId="0" applyNumberFormat="1" applyFont="1" applyFill="1" applyBorder="1" applyAlignment="1" applyProtection="1">
      <alignment vertical="center"/>
      <protection locked="0"/>
    </xf>
    <xf numFmtId="41" fontId="12" fillId="33" borderId="85" xfId="0" applyNumberFormat="1" applyFont="1" applyFill="1" applyBorder="1" applyAlignment="1" applyProtection="1">
      <alignment vertical="center"/>
      <protection/>
    </xf>
    <xf numFmtId="41" fontId="12" fillId="33" borderId="76" xfId="0" applyNumberFormat="1" applyFont="1" applyFill="1" applyBorder="1" applyAlignment="1" applyProtection="1">
      <alignment vertical="center"/>
      <protection/>
    </xf>
    <xf numFmtId="43" fontId="12" fillId="0" borderId="11" xfId="0" applyNumberFormat="1" applyFont="1" applyBorder="1" applyAlignment="1" applyProtection="1">
      <alignment horizontal="right"/>
      <protection/>
    </xf>
    <xf numFmtId="43" fontId="12" fillId="0" borderId="30" xfId="0" applyNumberFormat="1" applyFont="1" applyBorder="1" applyAlignment="1" applyProtection="1">
      <alignment horizontal="right"/>
      <protection/>
    </xf>
    <xf numFmtId="41" fontId="12" fillId="0" borderId="28" xfId="0" applyNumberFormat="1" applyFont="1" applyBorder="1" applyAlignment="1" applyProtection="1">
      <alignment/>
      <protection/>
    </xf>
    <xf numFmtId="41" fontId="12" fillId="0" borderId="16" xfId="0" applyNumberFormat="1" applyFont="1" applyBorder="1" applyAlignment="1" applyProtection="1">
      <alignment/>
      <protection/>
    </xf>
    <xf numFmtId="41" fontId="12" fillId="35" borderId="30" xfId="0" applyNumberFormat="1" applyFont="1" applyFill="1" applyBorder="1" applyAlignment="1" applyProtection="1">
      <alignment/>
      <protection locked="0"/>
    </xf>
    <xf numFmtId="41" fontId="12" fillId="0" borderId="58" xfId="0" applyNumberFormat="1" applyFont="1" applyBorder="1" applyAlignment="1" applyProtection="1">
      <alignment/>
      <protection/>
    </xf>
    <xf numFmtId="0" fontId="4" fillId="0" borderId="60" xfId="0" applyFont="1" applyBorder="1" applyAlignment="1" applyProtection="1">
      <alignment horizontal="center"/>
      <protection/>
    </xf>
    <xf numFmtId="0" fontId="4" fillId="0" borderId="52" xfId="0" applyFont="1" applyBorder="1" applyAlignment="1" applyProtection="1">
      <alignment/>
      <protection/>
    </xf>
    <xf numFmtId="0" fontId="3" fillId="0" borderId="75" xfId="0" applyFont="1" applyFill="1" applyBorder="1" applyAlignment="1" applyProtection="1">
      <alignment horizontal="center"/>
      <protection/>
    </xf>
    <xf numFmtId="0" fontId="3" fillId="0" borderId="75" xfId="0" applyFont="1" applyBorder="1" applyAlignment="1" applyProtection="1">
      <alignment horizontal="center" vertical="center"/>
      <protection/>
    </xf>
    <xf numFmtId="0" fontId="3" fillId="0" borderId="52" xfId="0" applyFont="1" applyBorder="1" applyAlignment="1" applyProtection="1">
      <alignment horizontal="center" vertical="center"/>
      <protection/>
    </xf>
    <xf numFmtId="0" fontId="4" fillId="33" borderId="52" xfId="0" applyFont="1" applyFill="1" applyBorder="1" applyAlignment="1" applyProtection="1">
      <alignment/>
      <protection/>
    </xf>
    <xf numFmtId="0" fontId="3" fillId="33" borderId="75" xfId="0" applyFont="1" applyFill="1" applyBorder="1" applyAlignment="1" applyProtection="1">
      <alignment horizontal="center"/>
      <protection/>
    </xf>
    <xf numFmtId="0" fontId="4" fillId="0" borderId="75" xfId="0" applyFont="1" applyBorder="1" applyAlignment="1" applyProtection="1">
      <alignment horizontal="center"/>
      <protection/>
    </xf>
    <xf numFmtId="0" fontId="4" fillId="0" borderId="86" xfId="0" applyFont="1" applyBorder="1" applyAlignment="1" applyProtection="1">
      <alignment/>
      <protection/>
    </xf>
    <xf numFmtId="0" fontId="4" fillId="39" borderId="75" xfId="0" applyFont="1" applyFill="1" applyBorder="1" applyAlignment="1" applyProtection="1">
      <alignment horizontal="center"/>
      <protection/>
    </xf>
    <xf numFmtId="0" fontId="3" fillId="39" borderId="75" xfId="0" applyFont="1" applyFill="1" applyBorder="1" applyAlignment="1" applyProtection="1">
      <alignment horizontal="center"/>
      <protection/>
    </xf>
    <xf numFmtId="0" fontId="4" fillId="39" borderId="52" xfId="0" applyFont="1" applyFill="1" applyBorder="1" applyAlignment="1" applyProtection="1">
      <alignment/>
      <protection/>
    </xf>
    <xf numFmtId="0" fontId="4" fillId="0" borderId="75" xfId="0" applyFont="1" applyFill="1" applyBorder="1" applyAlignment="1" applyProtection="1">
      <alignment horizontal="center"/>
      <protection/>
    </xf>
    <xf numFmtId="0" fontId="3" fillId="33" borderId="46" xfId="0" applyFont="1" applyFill="1" applyBorder="1" applyAlignment="1" applyProtection="1">
      <alignment horizontal="center" vertical="center"/>
      <protection/>
    </xf>
    <xf numFmtId="37" fontId="4" fillId="0" borderId="12" xfId="0" applyNumberFormat="1" applyFont="1" applyBorder="1" applyAlignment="1" applyProtection="1">
      <alignment horizontal="center" vertical="center"/>
      <protection/>
    </xf>
    <xf numFmtId="190" fontId="12" fillId="35" borderId="11" xfId="65" applyNumberFormat="1" applyFont="1" applyFill="1" applyBorder="1" applyAlignment="1" applyProtection="1">
      <alignment vertical="center"/>
      <protection locked="0"/>
    </xf>
    <xf numFmtId="197" fontId="12" fillId="35" borderId="11" xfId="65" applyNumberFormat="1" applyFont="1" applyFill="1" applyBorder="1" applyAlignment="1" applyProtection="1">
      <alignment vertical="center"/>
      <protection locked="0"/>
    </xf>
    <xf numFmtId="197" fontId="12" fillId="35" borderId="9" xfId="65" applyNumberFormat="1" applyFont="1" applyFill="1" applyBorder="1" applyAlignment="1" applyProtection="1">
      <alignment vertical="center"/>
      <protection locked="0"/>
    </xf>
    <xf numFmtId="0" fontId="4" fillId="0" borderId="62" xfId="0" applyFont="1" applyBorder="1" applyAlignment="1" applyProtection="1">
      <alignment/>
      <protection/>
    </xf>
    <xf numFmtId="0" fontId="4" fillId="0" borderId="26" xfId="0" applyFont="1" applyFill="1" applyBorder="1" applyAlignment="1" applyProtection="1">
      <alignment/>
      <protection/>
    </xf>
    <xf numFmtId="0" fontId="78" fillId="33" borderId="18"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xf>
    <xf numFmtId="0" fontId="3" fillId="33" borderId="15" xfId="0" applyFont="1" applyFill="1" applyBorder="1" applyAlignment="1">
      <alignment horizontal="center"/>
    </xf>
    <xf numFmtId="0" fontId="78" fillId="34" borderId="0" xfId="0" applyFont="1" applyFill="1" applyBorder="1" applyAlignment="1" applyProtection="1">
      <alignment horizontal="center" vertical="center"/>
      <protection/>
    </xf>
    <xf numFmtId="0" fontId="3" fillId="0" borderId="86" xfId="0" applyFont="1" applyBorder="1" applyAlignment="1" applyProtection="1">
      <alignment horizontal="center"/>
      <protection/>
    </xf>
    <xf numFmtId="0" fontId="3" fillId="0" borderId="40" xfId="0" applyFont="1" applyBorder="1" applyAlignment="1" applyProtection="1">
      <alignment horizontal="center"/>
      <protection/>
    </xf>
    <xf numFmtId="0" fontId="12" fillId="33" borderId="0" xfId="0" applyFont="1" applyFill="1" applyBorder="1" applyAlignment="1" applyProtection="1">
      <alignment horizontal="center" vertical="top" wrapText="1"/>
      <protection locked="0"/>
    </xf>
    <xf numFmtId="0" fontId="4" fillId="0" borderId="15" xfId="0" applyFont="1" applyBorder="1" applyAlignment="1" applyProtection="1">
      <alignment/>
      <protection/>
    </xf>
    <xf numFmtId="0" fontId="4" fillId="33" borderId="21" xfId="0" applyFont="1" applyFill="1" applyBorder="1" applyAlignment="1" applyProtection="1">
      <alignment/>
      <protection/>
    </xf>
    <xf numFmtId="0" fontId="12" fillId="33" borderId="21" xfId="0" applyFont="1" applyFill="1" applyBorder="1" applyAlignment="1" applyProtection="1">
      <alignment horizontal="center" vertical="center" wrapText="1"/>
      <protection locked="0"/>
    </xf>
    <xf numFmtId="0" fontId="4" fillId="33" borderId="21" xfId="0" applyFont="1" applyFill="1" applyBorder="1" applyAlignment="1" applyProtection="1">
      <alignment vertical="top"/>
      <protection/>
    </xf>
    <xf numFmtId="0" fontId="3" fillId="37" borderId="21" xfId="59" applyFont="1" applyFill="1" applyBorder="1" applyAlignment="1" applyProtection="1">
      <alignment/>
      <protection/>
    </xf>
    <xf numFmtId="0" fontId="4" fillId="0" borderId="44" xfId="0" applyFont="1" applyFill="1" applyBorder="1" applyAlignment="1" applyProtection="1">
      <alignment/>
      <protection/>
    </xf>
    <xf numFmtId="0" fontId="3" fillId="0" borderId="17" xfId="0" applyFont="1" applyBorder="1" applyAlignment="1" applyProtection="1">
      <alignment horizontal="center" textRotation="90"/>
      <protection/>
    </xf>
    <xf numFmtId="41" fontId="12" fillId="36" borderId="9" xfId="0" applyNumberFormat="1" applyFont="1" applyFill="1" applyBorder="1" applyAlignment="1" applyProtection="1">
      <alignment horizontal="right" wrapText="1"/>
      <protection locked="0"/>
    </xf>
    <xf numFmtId="0" fontId="4" fillId="0" borderId="40" xfId="0" applyFont="1" applyBorder="1" applyAlignment="1" applyProtection="1">
      <alignment horizontal="center" wrapText="1"/>
      <protection/>
    </xf>
    <xf numFmtId="0" fontId="4" fillId="0" borderId="60" xfId="0" applyFont="1" applyBorder="1" applyAlignment="1" applyProtection="1">
      <alignment horizontal="center" wrapText="1"/>
      <protection/>
    </xf>
    <xf numFmtId="0" fontId="74" fillId="0" borderId="0" xfId="59" applyFont="1" applyProtection="1">
      <alignment/>
      <protection/>
    </xf>
    <xf numFmtId="41" fontId="12" fillId="0" borderId="45" xfId="59" applyNumberFormat="1" applyFont="1" applyBorder="1" applyProtection="1">
      <alignment/>
      <protection/>
    </xf>
    <xf numFmtId="0" fontId="4" fillId="0" borderId="44" xfId="59" applyFont="1" applyBorder="1" applyAlignment="1" applyProtection="1">
      <alignment horizontal="center"/>
      <protection/>
    </xf>
    <xf numFmtId="0" fontId="4" fillId="0" borderId="17" xfId="59" applyFont="1" applyFill="1" applyBorder="1" applyAlignment="1" applyProtection="1">
      <alignment horizontal="center"/>
      <protection/>
    </xf>
    <xf numFmtId="0" fontId="4" fillId="33" borderId="12" xfId="59" applyFont="1" applyFill="1" applyBorder="1" applyAlignment="1" applyProtection="1">
      <alignment/>
      <protection/>
    </xf>
    <xf numFmtId="41" fontId="12" fillId="0" borderId="12" xfId="0" applyNumberFormat="1" applyFont="1" applyFill="1" applyBorder="1" applyAlignment="1" applyProtection="1">
      <alignment/>
      <protection/>
    </xf>
    <xf numFmtId="0" fontId="3" fillId="0" borderId="21" xfId="0" applyFont="1" applyBorder="1" applyAlignment="1" applyProtection="1">
      <alignment horizontal="center" textRotation="90"/>
      <protection/>
    </xf>
    <xf numFmtId="0" fontId="3" fillId="33" borderId="15" xfId="0" applyFont="1" applyFill="1" applyBorder="1" applyAlignment="1" applyProtection="1">
      <alignment horizontal="center" wrapText="1"/>
      <protection/>
    </xf>
    <xf numFmtId="0" fontId="3" fillId="0" borderId="20" xfId="0" applyFont="1" applyBorder="1" applyAlignment="1" applyProtection="1">
      <alignment horizontal="center" textRotation="90"/>
      <protection/>
    </xf>
    <xf numFmtId="193" fontId="4" fillId="0" borderId="0" xfId="0" applyNumberFormat="1" applyFont="1" applyAlignment="1" applyProtection="1">
      <alignment/>
      <protection/>
    </xf>
    <xf numFmtId="193" fontId="12" fillId="36" borderId="11" xfId="0" applyNumberFormat="1" applyFont="1" applyFill="1" applyBorder="1" applyAlignment="1" applyProtection="1">
      <alignment horizontal="center" vertical="center"/>
      <protection locked="0"/>
    </xf>
    <xf numFmtId="193" fontId="12" fillId="36" borderId="30" xfId="0" applyNumberFormat="1" applyFont="1" applyFill="1" applyBorder="1" applyAlignment="1" applyProtection="1">
      <alignment horizontal="center" vertical="center"/>
      <protection locked="0"/>
    </xf>
    <xf numFmtId="4" fontId="12" fillId="35" borderId="9" xfId="0" applyNumberFormat="1" applyFont="1" applyFill="1" applyBorder="1" applyAlignment="1" applyProtection="1">
      <alignment/>
      <protection locked="0"/>
    </xf>
    <xf numFmtId="41" fontId="12" fillId="36" borderId="45" xfId="0" applyNumberFormat="1" applyFont="1" applyFill="1" applyBorder="1" applyAlignment="1" applyProtection="1">
      <alignment vertical="center"/>
      <protection locked="0"/>
    </xf>
    <xf numFmtId="0" fontId="4" fillId="34" borderId="21" xfId="0" applyFont="1" applyFill="1" applyBorder="1" applyAlignment="1" applyProtection="1">
      <alignment vertical="center"/>
      <protection/>
    </xf>
    <xf numFmtId="41" fontId="4" fillId="33" borderId="45" xfId="0" applyNumberFormat="1" applyFont="1" applyFill="1" applyBorder="1" applyAlignment="1" applyProtection="1">
      <alignment vertical="center"/>
      <protection/>
    </xf>
    <xf numFmtId="0" fontId="4" fillId="33" borderId="9" xfId="0" applyFont="1" applyFill="1" applyBorder="1" applyAlignment="1">
      <alignment/>
    </xf>
    <xf numFmtId="0" fontId="4" fillId="33" borderId="13" xfId="0" applyFont="1" applyFill="1" applyBorder="1" applyAlignment="1">
      <alignment/>
    </xf>
    <xf numFmtId="0" fontId="4" fillId="33" borderId="17" xfId="0" applyFont="1" applyFill="1" applyBorder="1" applyAlignment="1">
      <alignment/>
    </xf>
    <xf numFmtId="37" fontId="12" fillId="35" borderId="15" xfId="0" applyNumberFormat="1" applyFont="1" applyFill="1" applyBorder="1" applyAlignment="1" applyProtection="1">
      <alignment vertical="center"/>
      <protection locked="0"/>
    </xf>
    <xf numFmtId="41" fontId="12" fillId="36" borderId="29" xfId="0" applyNumberFormat="1" applyFont="1" applyFill="1" applyBorder="1" applyAlignment="1" applyProtection="1">
      <alignment vertical="center"/>
      <protection locked="0"/>
    </xf>
    <xf numFmtId="41" fontId="12" fillId="36" borderId="9" xfId="0" applyNumberFormat="1" applyFont="1" applyFill="1" applyBorder="1" applyAlignment="1" applyProtection="1">
      <alignment vertical="center"/>
      <protection locked="0"/>
    </xf>
    <xf numFmtId="0" fontId="3" fillId="33" borderId="15" xfId="0" applyFont="1" applyFill="1" applyBorder="1" applyAlignment="1" applyProtection="1">
      <alignment horizontal="center" wrapText="1"/>
      <protection/>
    </xf>
    <xf numFmtId="0" fontId="3" fillId="33" borderId="9" xfId="0" applyFont="1" applyFill="1" applyBorder="1" applyAlignment="1" applyProtection="1">
      <alignment horizontal="center" wrapText="1"/>
      <protection/>
    </xf>
    <xf numFmtId="41" fontId="12" fillId="36" borderId="45" xfId="0" applyNumberFormat="1" applyFont="1" applyFill="1" applyBorder="1" applyAlignment="1" applyProtection="1">
      <alignment vertical="center"/>
      <protection locked="0"/>
    </xf>
    <xf numFmtId="0" fontId="3" fillId="0" borderId="33" xfId="0" applyFont="1" applyBorder="1" applyAlignment="1" applyProtection="1">
      <alignment horizontal="center" wrapText="1"/>
      <protection/>
    </xf>
    <xf numFmtId="0" fontId="3" fillId="0" borderId="72" xfId="0" applyFont="1" applyBorder="1" applyAlignment="1" applyProtection="1">
      <alignment vertical="center" wrapText="1"/>
      <protection/>
    </xf>
    <xf numFmtId="0" fontId="3" fillId="33" borderId="11" xfId="0" applyFont="1" applyFill="1" applyBorder="1" applyAlignment="1" applyProtection="1">
      <alignment horizontal="center" wrapText="1"/>
      <protection/>
    </xf>
    <xf numFmtId="41" fontId="12" fillId="36" borderId="11" xfId="0" applyNumberFormat="1" applyFont="1" applyFill="1" applyBorder="1" applyAlignment="1" applyProtection="1">
      <alignment vertical="center"/>
      <protection locked="0"/>
    </xf>
    <xf numFmtId="41" fontId="12" fillId="36" borderId="30" xfId="0" applyNumberFormat="1" applyFont="1" applyFill="1" applyBorder="1" applyAlignment="1" applyProtection="1">
      <alignment vertical="center"/>
      <protection locked="0"/>
    </xf>
    <xf numFmtId="41" fontId="12" fillId="36" borderId="54" xfId="0" applyNumberFormat="1" applyFont="1" applyFill="1" applyBorder="1" applyAlignment="1" applyProtection="1">
      <alignment vertical="center"/>
      <protection locked="0"/>
    </xf>
    <xf numFmtId="0" fontId="3" fillId="0" borderId="11" xfId="0" applyFont="1" applyBorder="1" applyAlignment="1" applyProtection="1">
      <alignment horizontal="center"/>
      <protection/>
    </xf>
    <xf numFmtId="0" fontId="3" fillId="33" borderId="46" xfId="0" applyFont="1" applyFill="1" applyBorder="1" applyAlignment="1" applyProtection="1">
      <alignment horizontal="center" vertical="center" wrapText="1"/>
      <protection/>
    </xf>
    <xf numFmtId="43" fontId="4" fillId="0" borderId="32" xfId="0" applyNumberFormat="1" applyFont="1" applyBorder="1" applyAlignment="1" applyProtection="1">
      <alignment horizontal="center"/>
      <protection/>
    </xf>
    <xf numFmtId="43" fontId="4" fillId="0" borderId="28" xfId="0" applyNumberFormat="1" applyFont="1" applyBorder="1" applyAlignment="1" applyProtection="1">
      <alignment horizontal="center"/>
      <protection/>
    </xf>
    <xf numFmtId="0" fontId="2" fillId="0" borderId="0" xfId="0" applyFont="1" applyAlignment="1">
      <alignment/>
    </xf>
    <xf numFmtId="0" fontId="4" fillId="33" borderId="9" xfId="0" applyFont="1" applyFill="1" applyBorder="1" applyAlignment="1">
      <alignment/>
    </xf>
    <xf numFmtId="0" fontId="4" fillId="33" borderId="13" xfId="0" applyFont="1" applyFill="1" applyBorder="1" applyAlignment="1">
      <alignment/>
    </xf>
    <xf numFmtId="0" fontId="4" fillId="33" borderId="17" xfId="0" applyFont="1" applyFill="1" applyBorder="1" applyAlignment="1">
      <alignment/>
    </xf>
    <xf numFmtId="0" fontId="4" fillId="0" borderId="62" xfId="0" applyFont="1" applyBorder="1" applyAlignment="1" applyProtection="1">
      <alignment horizontal="center"/>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center"/>
      <protection/>
    </xf>
    <xf numFmtId="41" fontId="12" fillId="34" borderId="11" xfId="0" applyNumberFormat="1" applyFont="1" applyFill="1" applyBorder="1" applyAlignment="1" applyProtection="1">
      <alignment vertical="center"/>
      <protection/>
    </xf>
    <xf numFmtId="0" fontId="78" fillId="34" borderId="44" xfId="0" applyFont="1" applyFill="1" applyBorder="1" applyAlignment="1" applyProtection="1">
      <alignment horizontal="center" vertical="center"/>
      <protection/>
    </xf>
    <xf numFmtId="0" fontId="3" fillId="33" borderId="54" xfId="0" applyFont="1" applyFill="1" applyBorder="1" applyAlignment="1" applyProtection="1">
      <alignment horizontal="center" vertical="center"/>
      <protection/>
    </xf>
    <xf numFmtId="0" fontId="3" fillId="33" borderId="45" xfId="0" applyFont="1" applyFill="1" applyBorder="1" applyAlignment="1">
      <alignment horizontal="center"/>
    </xf>
    <xf numFmtId="0" fontId="4" fillId="36" borderId="11" xfId="0" applyFont="1" applyFill="1" applyBorder="1" applyAlignment="1" applyProtection="1">
      <alignment horizontal="center" wrapText="1"/>
      <protection locked="0"/>
    </xf>
    <xf numFmtId="0" fontId="4" fillId="36" borderId="54" xfId="0" applyFont="1" applyFill="1" applyBorder="1" applyAlignment="1" applyProtection="1">
      <alignment horizontal="center" wrapText="1"/>
      <protection locked="0"/>
    </xf>
    <xf numFmtId="41" fontId="12" fillId="0" borderId="45" xfId="0" applyNumberFormat="1" applyFont="1" applyBorder="1" applyAlignment="1" applyProtection="1">
      <alignment vertical="center"/>
      <protection/>
    </xf>
    <xf numFmtId="0" fontId="3" fillId="0" borderId="46" xfId="0" applyFont="1" applyBorder="1" applyAlignment="1" applyProtection="1">
      <alignment horizontal="center" wrapText="1"/>
      <protection/>
    </xf>
    <xf numFmtId="0" fontId="4" fillId="34" borderId="21" xfId="0" applyFont="1" applyFill="1" applyBorder="1" applyAlignment="1" applyProtection="1">
      <alignment vertical="center"/>
      <protection/>
    </xf>
    <xf numFmtId="41" fontId="12" fillId="0" borderId="0" xfId="0" applyNumberFormat="1" applyFont="1" applyBorder="1" applyAlignment="1" applyProtection="1">
      <alignment vertical="center"/>
      <protection/>
    </xf>
    <xf numFmtId="0" fontId="4" fillId="0" borderId="55" xfId="0" applyFont="1" applyBorder="1" applyAlignment="1" applyProtection="1">
      <alignment horizontal="center" vertical="center"/>
      <protection/>
    </xf>
    <xf numFmtId="0" fontId="3" fillId="0" borderId="67" xfId="0" applyFont="1" applyBorder="1" applyAlignment="1" applyProtection="1">
      <alignment vertical="center"/>
      <protection/>
    </xf>
    <xf numFmtId="41" fontId="12" fillId="33" borderId="55" xfId="0" applyNumberFormat="1" applyFont="1" applyFill="1" applyBorder="1" applyAlignment="1" applyProtection="1">
      <alignment vertical="center"/>
      <protection/>
    </xf>
    <xf numFmtId="41" fontId="12" fillId="33" borderId="66" xfId="0" applyNumberFormat="1" applyFont="1" applyFill="1" applyBorder="1" applyAlignment="1" applyProtection="1">
      <alignment vertical="center"/>
      <protection/>
    </xf>
    <xf numFmtId="0" fontId="12" fillId="34" borderId="55" xfId="0" applyFont="1" applyFill="1" applyBorder="1" applyAlignment="1" applyProtection="1">
      <alignment vertical="center"/>
      <protection/>
    </xf>
    <xf numFmtId="41" fontId="12" fillId="0" borderId="23" xfId="0" applyNumberFormat="1" applyFont="1" applyFill="1" applyBorder="1" applyAlignment="1" applyProtection="1">
      <alignment vertical="center"/>
      <protection/>
    </xf>
    <xf numFmtId="0" fontId="4" fillId="0" borderId="87" xfId="0" applyFont="1" applyBorder="1" applyAlignment="1" applyProtection="1">
      <alignment horizontal="center" vertical="center"/>
      <protection/>
    </xf>
    <xf numFmtId="0" fontId="3" fillId="33" borderId="18" xfId="0" applyFont="1" applyFill="1" applyBorder="1" applyAlignment="1" applyProtection="1">
      <alignment horizontal="center" vertical="center" textRotation="90"/>
      <protection/>
    </xf>
    <xf numFmtId="41" fontId="12" fillId="35" borderId="12" xfId="0" applyNumberFormat="1" applyFont="1" applyFill="1" applyBorder="1" applyAlignment="1" applyProtection="1">
      <alignment vertical="center"/>
      <protection locked="0"/>
    </xf>
    <xf numFmtId="41" fontId="3" fillId="0" borderId="15" xfId="0" applyNumberFormat="1" applyFont="1" applyFill="1" applyBorder="1" applyAlignment="1" applyProtection="1">
      <alignment horizontal="center" vertical="center" wrapText="1"/>
      <protection locked="0"/>
    </xf>
    <xf numFmtId="37" fontId="4" fillId="33" borderId="0" xfId="0" applyNumberFormat="1" applyFont="1" applyFill="1" applyBorder="1" applyAlignment="1" applyProtection="1">
      <alignment horizontal="center" vertical="center"/>
      <protection/>
    </xf>
    <xf numFmtId="0" fontId="3" fillId="0" borderId="45" xfId="0" applyFont="1" applyBorder="1" applyAlignment="1" applyProtection="1">
      <alignment horizontal="center"/>
      <protection/>
    </xf>
    <xf numFmtId="43" fontId="0" fillId="0" borderId="0" xfId="42" applyFont="1" applyAlignment="1">
      <alignment/>
    </xf>
    <xf numFmtId="41" fontId="12" fillId="33" borderId="14" xfId="0" applyNumberFormat="1" applyFont="1" applyFill="1" applyBorder="1" applyAlignment="1" applyProtection="1">
      <alignment horizontal="right" vertical="center"/>
      <protection/>
    </xf>
    <xf numFmtId="41" fontId="12" fillId="33" borderId="15" xfId="0" applyNumberFormat="1" applyFont="1" applyFill="1" applyBorder="1" applyAlignment="1" applyProtection="1">
      <alignment horizontal="right" vertical="center"/>
      <protection/>
    </xf>
    <xf numFmtId="0" fontId="0" fillId="0" borderId="0" xfId="0" applyNumberFormat="1" applyAlignment="1">
      <alignment/>
    </xf>
    <xf numFmtId="0" fontId="12" fillId="32" borderId="54" xfId="59" applyFont="1" applyFill="1" applyBorder="1" applyAlignment="1" applyProtection="1">
      <alignment horizontal="center"/>
      <protection locked="0"/>
    </xf>
    <xf numFmtId="0" fontId="4" fillId="0" borderId="9" xfId="0" applyFont="1" applyBorder="1" applyAlignment="1" applyProtection="1">
      <alignment/>
      <protection/>
    </xf>
    <xf numFmtId="0" fontId="4" fillId="33" borderId="65" xfId="0" applyFont="1" applyFill="1" applyBorder="1" applyAlignment="1">
      <alignment/>
    </xf>
    <xf numFmtId="0" fontId="4" fillId="0" borderId="13" xfId="0" applyFont="1" applyBorder="1" applyAlignment="1" applyProtection="1">
      <alignment horizontal="center"/>
      <protection/>
    </xf>
    <xf numFmtId="41" fontId="12" fillId="0" borderId="29" xfId="0" applyNumberFormat="1" applyFont="1" applyFill="1" applyBorder="1" applyAlignment="1" applyProtection="1">
      <alignment/>
      <protection/>
    </xf>
    <xf numFmtId="0" fontId="4" fillId="0" borderId="50" xfId="0" applyFont="1" applyBorder="1" applyAlignment="1" applyProtection="1">
      <alignment/>
      <protection/>
    </xf>
    <xf numFmtId="0" fontId="4" fillId="0" borderId="29" xfId="0" applyFont="1" applyBorder="1" applyAlignment="1" applyProtection="1">
      <alignment/>
      <protection/>
    </xf>
    <xf numFmtId="0" fontId="4" fillId="0" borderId="48" xfId="0" applyFont="1" applyBorder="1" applyAlignment="1" applyProtection="1">
      <alignment horizontal="center"/>
      <protection/>
    </xf>
    <xf numFmtId="0" fontId="4" fillId="0" borderId="48" xfId="0" applyFont="1" applyBorder="1" applyAlignment="1" applyProtection="1">
      <alignment/>
      <protection/>
    </xf>
    <xf numFmtId="0" fontId="4" fillId="0" borderId="39" xfId="0" applyFont="1" applyBorder="1" applyAlignment="1" applyProtection="1">
      <alignment horizontal="center"/>
      <protection/>
    </xf>
    <xf numFmtId="0" fontId="4" fillId="0" borderId="39" xfId="0" applyFont="1" applyBorder="1" applyAlignment="1" applyProtection="1">
      <alignment/>
      <protection/>
    </xf>
    <xf numFmtId="0" fontId="12" fillId="34" borderId="21" xfId="0" applyFont="1" applyFill="1" applyBorder="1" applyAlignment="1" applyProtection="1">
      <alignment/>
      <protection/>
    </xf>
    <xf numFmtId="41" fontId="12" fillId="0" borderId="47" xfId="0" applyNumberFormat="1" applyFont="1" applyBorder="1" applyAlignment="1" applyProtection="1">
      <alignment/>
      <protection/>
    </xf>
    <xf numFmtId="41" fontId="82" fillId="0" borderId="36" xfId="61" applyNumberFormat="1" applyFont="1" applyFill="1" applyBorder="1" applyAlignment="1" applyProtection="1">
      <alignment/>
      <protection/>
    </xf>
    <xf numFmtId="0" fontId="4" fillId="33" borderId="65" xfId="0" applyFont="1" applyFill="1" applyBorder="1" applyAlignment="1">
      <alignment horizontal="center"/>
    </xf>
    <xf numFmtId="0" fontId="4" fillId="33" borderId="45" xfId="0" applyFont="1" applyFill="1" applyBorder="1" applyAlignment="1">
      <alignment horizontal="left"/>
    </xf>
    <xf numFmtId="0" fontId="3" fillId="33" borderId="45" xfId="0" applyFont="1" applyFill="1" applyBorder="1" applyAlignment="1">
      <alignment horizontal="center" vertical="center"/>
    </xf>
    <xf numFmtId="0" fontId="78" fillId="33" borderId="44" xfId="0" applyFont="1" applyFill="1" applyBorder="1" applyAlignment="1" applyProtection="1">
      <alignment horizontal="center" vertical="center"/>
      <protection/>
    </xf>
    <xf numFmtId="0" fontId="73" fillId="0" borderId="17" xfId="61" applyFont="1" applyBorder="1" applyAlignment="1" applyProtection="1">
      <alignment horizontal="center"/>
      <protection/>
    </xf>
    <xf numFmtId="0" fontId="3" fillId="0" borderId="18" xfId="0" applyFont="1" applyFill="1" applyBorder="1" applyAlignment="1" applyProtection="1">
      <alignment horizontal="center" vertical="center" wrapText="1"/>
      <protection/>
    </xf>
    <xf numFmtId="0" fontId="3" fillId="0" borderId="37" xfId="0" applyFont="1" applyBorder="1" applyAlignment="1" applyProtection="1">
      <alignment vertical="center"/>
      <protection/>
    </xf>
    <xf numFmtId="41" fontId="12" fillId="33" borderId="47" xfId="0" applyNumberFormat="1" applyFont="1" applyFill="1" applyBorder="1" applyAlignment="1" applyProtection="1">
      <alignment vertical="center"/>
      <protection/>
    </xf>
    <xf numFmtId="41" fontId="12" fillId="34" borderId="46" xfId="0" applyNumberFormat="1" applyFont="1" applyFill="1" applyBorder="1" applyAlignment="1" applyProtection="1">
      <alignment vertical="center"/>
      <protection/>
    </xf>
    <xf numFmtId="41" fontId="12" fillId="34" borderId="0" xfId="0" applyNumberFormat="1" applyFont="1" applyFill="1" applyBorder="1" applyAlignment="1" applyProtection="1">
      <alignment vertical="center"/>
      <protection/>
    </xf>
    <xf numFmtId="0" fontId="4" fillId="0" borderId="9" xfId="0" applyNumberFormat="1" applyFont="1" applyBorder="1" applyAlignment="1" applyProtection="1">
      <alignment vertical="center" wrapText="1"/>
      <protection/>
    </xf>
    <xf numFmtId="0" fontId="4" fillId="0" borderId="17" xfId="0" applyNumberFormat="1" applyFont="1" applyBorder="1" applyAlignment="1" applyProtection="1">
      <alignment vertical="center" wrapText="1"/>
      <protection/>
    </xf>
    <xf numFmtId="0" fontId="4" fillId="0" borderId="15" xfId="0" applyNumberFormat="1" applyFont="1" applyBorder="1" applyAlignment="1" applyProtection="1">
      <alignment vertical="center" wrapText="1"/>
      <protection/>
    </xf>
    <xf numFmtId="0" fontId="4" fillId="0" borderId="18" xfId="0" applyNumberFormat="1" applyFont="1" applyBorder="1" applyAlignment="1" applyProtection="1">
      <alignment vertical="center" wrapText="1"/>
      <protection/>
    </xf>
    <xf numFmtId="0" fontId="4" fillId="0" borderId="46" xfId="0" applyNumberFormat="1" applyFont="1" applyBorder="1" applyAlignment="1" applyProtection="1">
      <alignment wrapText="1"/>
      <protection/>
    </xf>
    <xf numFmtId="0" fontId="4" fillId="0" borderId="33" xfId="0" applyNumberFormat="1" applyFont="1" applyBorder="1" applyAlignment="1" applyProtection="1">
      <alignment wrapText="1"/>
      <protection/>
    </xf>
    <xf numFmtId="41" fontId="12" fillId="36" borderId="49" xfId="0" applyNumberFormat="1" applyFont="1" applyFill="1" applyBorder="1" applyAlignment="1" applyProtection="1">
      <alignment vertical="center"/>
      <protection locked="0"/>
    </xf>
    <xf numFmtId="0" fontId="4" fillId="0" borderId="26" xfId="0" applyFont="1" applyBorder="1" applyAlignment="1" applyProtection="1">
      <alignment/>
      <protection/>
    </xf>
    <xf numFmtId="0" fontId="3" fillId="0" borderId="42" xfId="0" applyFont="1" applyBorder="1" applyAlignment="1" applyProtection="1">
      <alignment/>
      <protection/>
    </xf>
    <xf numFmtId="0" fontId="3" fillId="0" borderId="27" xfId="0" applyFont="1" applyBorder="1" applyAlignment="1" applyProtection="1">
      <alignment/>
      <protection/>
    </xf>
    <xf numFmtId="41" fontId="12" fillId="0" borderId="0" xfId="0" applyNumberFormat="1" applyFont="1" applyFill="1" applyBorder="1" applyAlignment="1" applyProtection="1">
      <alignment vertical="center"/>
      <protection/>
    </xf>
    <xf numFmtId="41" fontId="12" fillId="0" borderId="32" xfId="0" applyNumberFormat="1" applyFont="1" applyBorder="1" applyAlignment="1" applyProtection="1">
      <alignment/>
      <protection/>
    </xf>
    <xf numFmtId="49" fontId="0" fillId="0" borderId="0" xfId="0" applyNumberFormat="1" applyFont="1" applyAlignment="1">
      <alignment/>
    </xf>
    <xf numFmtId="0" fontId="3" fillId="0" borderId="68" xfId="0" applyFont="1" applyBorder="1" applyAlignment="1" applyProtection="1">
      <alignment horizontal="center" wrapText="1"/>
      <protection/>
    </xf>
    <xf numFmtId="0" fontId="3" fillId="0" borderId="69" xfId="0" applyFont="1" applyBorder="1" applyAlignment="1" applyProtection="1">
      <alignment horizontal="center" wrapText="1"/>
      <protection/>
    </xf>
    <xf numFmtId="0" fontId="3" fillId="0" borderId="61" xfId="0" applyFont="1" applyBorder="1" applyAlignment="1" applyProtection="1">
      <alignment horizontal="center" wrapText="1"/>
      <protection/>
    </xf>
    <xf numFmtId="0" fontId="3" fillId="0" borderId="18" xfId="0" applyFont="1" applyBorder="1" applyAlignment="1" applyProtection="1">
      <alignment wrapText="1"/>
      <protection/>
    </xf>
    <xf numFmtId="0" fontId="4" fillId="34" borderId="13" xfId="0" applyFont="1" applyFill="1" applyBorder="1" applyAlignment="1" applyProtection="1">
      <alignment horizontal="center"/>
      <protection/>
    </xf>
    <xf numFmtId="0" fontId="4" fillId="34" borderId="9" xfId="0" applyFont="1" applyFill="1" applyBorder="1" applyAlignment="1" applyProtection="1">
      <alignment/>
      <protection/>
    </xf>
    <xf numFmtId="41" fontId="13" fillId="34" borderId="17" xfId="0" applyNumberFormat="1" applyFont="1" applyFill="1" applyBorder="1" applyAlignment="1" applyProtection="1">
      <alignment horizontal="center" wrapText="1"/>
      <protection/>
    </xf>
    <xf numFmtId="0" fontId="4" fillId="34" borderId="13" xfId="0" applyFont="1" applyFill="1" applyBorder="1" applyAlignment="1" applyProtection="1">
      <alignment/>
      <protection/>
    </xf>
    <xf numFmtId="0" fontId="4" fillId="0" borderId="33" xfId="0" applyFont="1" applyBorder="1" applyAlignment="1" applyProtection="1">
      <alignment/>
      <protection/>
    </xf>
    <xf numFmtId="0" fontId="3" fillId="0" borderId="48" xfId="0" applyFont="1" applyBorder="1" applyAlignment="1" applyProtection="1">
      <alignment/>
      <protection/>
    </xf>
    <xf numFmtId="0" fontId="4" fillId="0" borderId="21" xfId="0" applyNumberFormat="1" applyFont="1" applyBorder="1" applyAlignment="1" applyProtection="1">
      <alignment vertical="center"/>
      <protection/>
    </xf>
    <xf numFmtId="0" fontId="3" fillId="0" borderId="48" xfId="0" applyFont="1" applyBorder="1" applyAlignment="1" applyProtection="1">
      <alignment vertical="center"/>
      <protection/>
    </xf>
    <xf numFmtId="0" fontId="4" fillId="0" borderId="45" xfId="0" applyFont="1" applyBorder="1" applyAlignment="1" applyProtection="1">
      <alignment/>
      <protection/>
    </xf>
    <xf numFmtId="0" fontId="4" fillId="0" borderId="44" xfId="0" applyFont="1" applyBorder="1" applyAlignment="1" applyProtection="1">
      <alignment/>
      <protection/>
    </xf>
    <xf numFmtId="41" fontId="12" fillId="0" borderId="16" xfId="0" applyNumberFormat="1" applyFont="1" applyBorder="1" applyAlignment="1" applyProtection="1">
      <alignment vertical="center"/>
      <protection/>
    </xf>
    <xf numFmtId="41" fontId="13" fillId="34" borderId="9" xfId="0" applyNumberFormat="1" applyFont="1" applyFill="1" applyBorder="1" applyAlignment="1" applyProtection="1">
      <alignment wrapText="1"/>
      <protection/>
    </xf>
    <xf numFmtId="0" fontId="3" fillId="0" borderId="0" xfId="0" applyFont="1" applyFill="1" applyBorder="1" applyAlignment="1" applyProtection="1">
      <alignment wrapText="1"/>
      <protection/>
    </xf>
    <xf numFmtId="41" fontId="13" fillId="0" borderId="0" xfId="0" applyNumberFormat="1" applyFont="1" applyFill="1" applyBorder="1" applyAlignment="1" applyProtection="1">
      <alignment wrapText="1"/>
      <protection/>
    </xf>
    <xf numFmtId="41" fontId="12" fillId="0" borderId="56" xfId="59" applyNumberFormat="1" applyFont="1" applyFill="1" applyBorder="1" applyAlignment="1" applyProtection="1">
      <alignment vertical="center"/>
      <protection locked="0"/>
    </xf>
    <xf numFmtId="41" fontId="12" fillId="36" borderId="28" xfId="59" applyNumberFormat="1" applyFont="1" applyFill="1" applyBorder="1" applyAlignment="1" applyProtection="1">
      <alignment vertical="center"/>
      <protection locked="0"/>
    </xf>
    <xf numFmtId="41" fontId="12" fillId="0" borderId="74" xfId="59" applyNumberFormat="1" applyFont="1" applyFill="1" applyBorder="1" applyAlignment="1" applyProtection="1">
      <alignment vertical="center"/>
      <protection locked="0"/>
    </xf>
    <xf numFmtId="0" fontId="4" fillId="0" borderId="51" xfId="59" applyFont="1" applyFill="1" applyBorder="1" applyAlignment="1" applyProtection="1">
      <alignment horizontal="center"/>
      <protection/>
    </xf>
    <xf numFmtId="0" fontId="12" fillId="36" borderId="9" xfId="0" applyFont="1" applyFill="1" applyBorder="1" applyAlignment="1" applyProtection="1">
      <alignment wrapText="1"/>
      <protection locked="0"/>
    </xf>
    <xf numFmtId="0" fontId="12" fillId="36" borderId="11" xfId="0" applyFont="1" applyFill="1" applyBorder="1" applyAlignment="1" applyProtection="1">
      <alignment horizontal="center" wrapText="1"/>
      <protection locked="0"/>
    </xf>
    <xf numFmtId="0" fontId="12" fillId="34" borderId="48" xfId="0" applyFont="1" applyFill="1" applyBorder="1" applyAlignment="1" applyProtection="1">
      <alignment vertical="center"/>
      <protection/>
    </xf>
    <xf numFmtId="43" fontId="12" fillId="0" borderId="47" xfId="0" applyNumberFormat="1" applyFont="1" applyBorder="1" applyAlignment="1" applyProtection="1">
      <alignment vertical="center"/>
      <protection/>
    </xf>
    <xf numFmtId="0" fontId="4" fillId="34" borderId="21" xfId="0" applyFont="1" applyFill="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65"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12" fillId="36" borderId="36" xfId="0" applyFont="1" applyFill="1" applyBorder="1" applyAlignment="1" applyProtection="1">
      <alignment wrapText="1"/>
      <protection locked="0"/>
    </xf>
    <xf numFmtId="0" fontId="12" fillId="36" borderId="32" xfId="0" applyFont="1" applyFill="1" applyBorder="1" applyAlignment="1" applyProtection="1">
      <alignment horizontal="center" wrapText="1"/>
      <protection locked="0"/>
    </xf>
    <xf numFmtId="41" fontId="12" fillId="36" borderId="36" xfId="0" applyNumberFormat="1" applyFont="1" applyFill="1" applyBorder="1" applyAlignment="1" applyProtection="1">
      <alignment horizontal="right" wrapText="1"/>
      <protection locked="0"/>
    </xf>
    <xf numFmtId="0" fontId="3" fillId="0" borderId="45" xfId="0" applyFont="1" applyFill="1" applyBorder="1" applyAlignment="1" applyProtection="1">
      <alignment wrapText="1"/>
      <protection/>
    </xf>
    <xf numFmtId="0" fontId="4" fillId="0" borderId="65" xfId="0" applyFont="1" applyFill="1" applyBorder="1" applyAlignment="1" applyProtection="1">
      <alignment wrapText="1"/>
      <protection/>
    </xf>
    <xf numFmtId="0" fontId="4" fillId="0" borderId="65" xfId="0" applyFont="1" applyFill="1" applyBorder="1" applyAlignment="1" applyProtection="1">
      <alignment horizontal="center" wrapText="1"/>
      <protection/>
    </xf>
    <xf numFmtId="41" fontId="4" fillId="0" borderId="45" xfId="0" applyNumberFormat="1" applyFont="1" applyFill="1" applyBorder="1" applyAlignment="1" applyProtection="1">
      <alignment horizontal="right" wrapText="1"/>
      <protection/>
    </xf>
    <xf numFmtId="0" fontId="12" fillId="0" borderId="0" xfId="0" applyFont="1" applyAlignment="1">
      <alignment/>
    </xf>
    <xf numFmtId="0" fontId="12" fillId="0" borderId="0" xfId="0" applyFont="1" applyAlignment="1">
      <alignment vertical="center" wrapText="1"/>
    </xf>
    <xf numFmtId="0" fontId="12" fillId="0" borderId="0" xfId="0" applyFont="1" applyAlignment="1">
      <alignment wrapText="1"/>
    </xf>
    <xf numFmtId="41" fontId="12" fillId="0" borderId="0" xfId="42" applyNumberFormat="1" applyFont="1" applyAlignment="1">
      <alignment horizontal="right"/>
    </xf>
    <xf numFmtId="0" fontId="12" fillId="0" borderId="0" xfId="0" applyFont="1" applyAlignment="1">
      <alignment horizontal="left" wrapText="1" indent="3"/>
    </xf>
    <xf numFmtId="0" fontId="13" fillId="0" borderId="0" xfId="0" applyFont="1" applyAlignment="1" applyProtection="1">
      <alignment/>
      <protection/>
    </xf>
    <xf numFmtId="0" fontId="13" fillId="0" borderId="0" xfId="0" applyFont="1" applyAlignment="1" applyProtection="1">
      <alignment horizontal="center"/>
      <protection/>
    </xf>
    <xf numFmtId="0" fontId="4" fillId="0" borderId="36" xfId="59" applyFont="1" applyBorder="1" applyAlignment="1" applyProtection="1">
      <alignment/>
      <protection/>
    </xf>
    <xf numFmtId="14" fontId="82" fillId="32" borderId="12" xfId="59" applyNumberFormat="1" applyFont="1" applyFill="1" applyBorder="1" applyAlignment="1" applyProtection="1">
      <alignment horizontal="left" wrapText="1"/>
      <protection locked="0"/>
    </xf>
    <xf numFmtId="0" fontId="3" fillId="0" borderId="21" xfId="0" applyFont="1" applyFill="1" applyBorder="1" applyAlignment="1" applyProtection="1">
      <alignment horizontal="center" vertical="center" wrapText="1"/>
      <protection/>
    </xf>
    <xf numFmtId="0" fontId="3" fillId="0" borderId="0" xfId="0" applyFont="1" applyBorder="1" applyAlignment="1" applyProtection="1">
      <alignment wrapText="1"/>
      <protection/>
    </xf>
    <xf numFmtId="0" fontId="3" fillId="0" borderId="0" xfId="0" applyFont="1" applyFill="1" applyAlignment="1" applyProtection="1">
      <alignment wrapText="1"/>
      <protection/>
    </xf>
    <xf numFmtId="0" fontId="3" fillId="0" borderId="0" xfId="0" applyFont="1" applyAlignment="1" applyProtection="1">
      <alignment wrapText="1"/>
      <protection/>
    </xf>
    <xf numFmtId="0" fontId="4" fillId="33" borderId="9" xfId="0" applyFont="1" applyFill="1" applyBorder="1" applyAlignment="1">
      <alignment/>
    </xf>
    <xf numFmtId="0" fontId="4" fillId="33" borderId="13" xfId="0" applyFont="1" applyFill="1" applyBorder="1" applyAlignment="1">
      <alignment/>
    </xf>
    <xf numFmtId="0" fontId="4" fillId="33" borderId="17" xfId="0" applyFont="1" applyFill="1" applyBorder="1" applyAlignment="1">
      <alignment/>
    </xf>
    <xf numFmtId="0" fontId="4" fillId="33" borderId="9" xfId="0" applyFont="1" applyFill="1" applyBorder="1" applyAlignment="1">
      <alignment/>
    </xf>
    <xf numFmtId="0" fontId="3" fillId="0" borderId="9" xfId="0" applyFont="1" applyFill="1" applyBorder="1" applyAlignment="1">
      <alignment horizontal="center"/>
    </xf>
    <xf numFmtId="39" fontId="12" fillId="33" borderId="54" xfId="0" applyNumberFormat="1" applyFont="1" applyFill="1" applyBorder="1" applyAlignment="1" applyProtection="1">
      <alignment vertical="center"/>
      <protection/>
    </xf>
    <xf numFmtId="0" fontId="12" fillId="32" borderId="15" xfId="59" applyFont="1" applyFill="1" applyBorder="1" applyAlignment="1" applyProtection="1">
      <alignment wrapText="1"/>
      <protection locked="0"/>
    </xf>
    <xf numFmtId="0" fontId="12" fillId="32" borderId="21" xfId="59" applyFont="1" applyFill="1" applyBorder="1" applyAlignment="1" applyProtection="1">
      <alignment wrapText="1"/>
      <protection locked="0"/>
    </xf>
    <xf numFmtId="0" fontId="82" fillId="32" borderId="23" xfId="59" applyFont="1" applyFill="1" applyBorder="1" applyAlignment="1" applyProtection="1">
      <alignment horizontal="left" wrapText="1"/>
      <protection locked="0"/>
    </xf>
    <xf numFmtId="0" fontId="4" fillId="0" borderId="46" xfId="59" applyFont="1" applyFill="1" applyBorder="1" applyAlignment="1" applyProtection="1">
      <alignment wrapText="1"/>
      <protection/>
    </xf>
    <xf numFmtId="0" fontId="4" fillId="0" borderId="0" xfId="59" applyFont="1" applyFill="1" applyBorder="1" applyAlignment="1" applyProtection="1">
      <alignment wrapText="1"/>
      <protection/>
    </xf>
    <xf numFmtId="0" fontId="4" fillId="0" borderId="20" xfId="59" applyFont="1" applyBorder="1" applyAlignment="1" applyProtection="1">
      <alignment wrapText="1"/>
      <protection/>
    </xf>
    <xf numFmtId="0" fontId="4" fillId="0" borderId="26" xfId="59" applyFont="1" applyBorder="1" applyAlignment="1" applyProtection="1">
      <alignment wrapText="1"/>
      <protection/>
    </xf>
    <xf numFmtId="0" fontId="4" fillId="33" borderId="46" xfId="59" applyFont="1" applyFill="1" applyBorder="1" applyAlignment="1" applyProtection="1">
      <alignment wrapText="1"/>
      <protection/>
    </xf>
    <xf numFmtId="0" fontId="4" fillId="33" borderId="0" xfId="59" applyFont="1" applyFill="1" applyBorder="1" applyAlignment="1" applyProtection="1">
      <alignment wrapText="1"/>
      <protection/>
    </xf>
    <xf numFmtId="0" fontId="4" fillId="33" borderId="12" xfId="59" applyFont="1" applyFill="1" applyBorder="1" applyAlignment="1" applyProtection="1">
      <alignment wrapText="1"/>
      <protection/>
    </xf>
    <xf numFmtId="0" fontId="4" fillId="33" borderId="23" xfId="59" applyFont="1" applyFill="1" applyBorder="1" applyAlignment="1" applyProtection="1">
      <alignment wrapText="1"/>
      <protection/>
    </xf>
    <xf numFmtId="0" fontId="4" fillId="33" borderId="13" xfId="59" applyFont="1" applyFill="1" applyBorder="1" applyAlignment="1" applyProtection="1">
      <alignment vertical="center" wrapText="1"/>
      <protection/>
    </xf>
    <xf numFmtId="0" fontId="3" fillId="33" borderId="13" xfId="59" applyFont="1" applyFill="1" applyBorder="1" applyAlignment="1" applyProtection="1">
      <alignment vertical="center" wrapText="1"/>
      <protection/>
    </xf>
    <xf numFmtId="37" fontId="3" fillId="0" borderId="9" xfId="0" applyNumberFormat="1" applyFont="1" applyFill="1" applyBorder="1" applyAlignment="1" applyProtection="1">
      <alignment horizontal="center" vertical="center"/>
      <protection/>
    </xf>
    <xf numFmtId="37" fontId="3" fillId="0" borderId="13" xfId="0" applyNumberFormat="1" applyFont="1" applyFill="1" applyBorder="1" applyAlignment="1" applyProtection="1">
      <alignment horizontal="center" vertical="center"/>
      <protection/>
    </xf>
    <xf numFmtId="0" fontId="4" fillId="0" borderId="45" xfId="0" applyFont="1" applyBorder="1" applyAlignment="1" applyProtection="1">
      <alignment wrapText="1"/>
      <protection/>
    </xf>
    <xf numFmtId="0" fontId="4" fillId="0" borderId="65" xfId="0" applyFont="1" applyBorder="1" applyAlignment="1" applyProtection="1">
      <alignment wrapText="1"/>
      <protection/>
    </xf>
    <xf numFmtId="0" fontId="73" fillId="0" borderId="0" xfId="59" applyFont="1" applyAlignment="1" applyProtection="1">
      <alignment wrapText="1"/>
      <protection/>
    </xf>
    <xf numFmtId="0" fontId="4" fillId="0" borderId="20" xfId="59" applyFont="1" applyFill="1" applyBorder="1" applyAlignment="1" applyProtection="1">
      <alignment wrapText="1"/>
      <protection/>
    </xf>
    <xf numFmtId="0" fontId="4" fillId="0" borderId="20" xfId="59" applyFont="1" applyFill="1" applyBorder="1" applyProtection="1">
      <alignment/>
      <protection/>
    </xf>
    <xf numFmtId="0" fontId="12" fillId="32" borderId="21" xfId="59" applyFont="1" applyFill="1" applyBorder="1" applyAlignment="1" applyProtection="1">
      <alignment/>
      <protection locked="0"/>
    </xf>
    <xf numFmtId="0" fontId="4" fillId="0" borderId="9" xfId="0" applyFont="1" applyBorder="1" applyAlignment="1" applyProtection="1">
      <alignment/>
      <protection/>
    </xf>
    <xf numFmtId="0" fontId="4" fillId="0" borderId="13" xfId="0" applyFont="1" applyBorder="1" applyAlignment="1" applyProtection="1">
      <alignment/>
      <protection/>
    </xf>
    <xf numFmtId="0" fontId="3" fillId="33" borderId="22" xfId="59" applyFont="1" applyFill="1" applyBorder="1" applyAlignment="1" applyProtection="1">
      <alignment horizontal="center"/>
      <protection/>
    </xf>
    <xf numFmtId="0" fontId="4" fillId="0" borderId="15" xfId="0" applyFont="1" applyBorder="1" applyAlignment="1" applyProtection="1">
      <alignment wrapText="1"/>
      <protection/>
    </xf>
    <xf numFmtId="0" fontId="4" fillId="0" borderId="21" xfId="0" applyFont="1" applyBorder="1" applyAlignment="1" applyProtection="1">
      <alignment wrapText="1"/>
      <protection/>
    </xf>
    <xf numFmtId="0" fontId="12" fillId="32" borderId="18" xfId="59" applyFont="1" applyFill="1" applyBorder="1" applyAlignment="1" applyProtection="1">
      <alignment wrapText="1"/>
      <protection locked="0"/>
    </xf>
    <xf numFmtId="0" fontId="73" fillId="0" borderId="0" xfId="59" applyFont="1" applyBorder="1" applyAlignment="1" applyProtection="1">
      <alignment horizontal="center"/>
      <protection/>
    </xf>
    <xf numFmtId="0" fontId="4" fillId="0" borderId="9" xfId="0" applyFont="1" applyBorder="1" applyAlignment="1" applyProtection="1">
      <alignment wrapText="1"/>
      <protection/>
    </xf>
    <xf numFmtId="0" fontId="4" fillId="0" borderId="13" xfId="0" applyFont="1" applyBorder="1" applyAlignment="1" applyProtection="1">
      <alignment wrapText="1"/>
      <protection/>
    </xf>
    <xf numFmtId="0" fontId="12" fillId="32" borderId="15" xfId="59" applyFont="1" applyFill="1" applyBorder="1" applyAlignment="1" applyProtection="1">
      <alignment horizontal="left"/>
      <protection locked="0"/>
    </xf>
    <xf numFmtId="0" fontId="12" fillId="32" borderId="21" xfId="59" applyFont="1" applyFill="1" applyBorder="1" applyAlignment="1" applyProtection="1">
      <alignment horizontal="left"/>
      <protection locked="0"/>
    </xf>
    <xf numFmtId="0" fontId="12" fillId="32" borderId="18" xfId="59" applyFont="1" applyFill="1" applyBorder="1" applyAlignment="1" applyProtection="1">
      <alignment/>
      <protection locked="0"/>
    </xf>
    <xf numFmtId="0" fontId="12" fillId="32" borderId="23" xfId="59" applyFont="1" applyFill="1" applyBorder="1" applyAlignment="1" applyProtection="1">
      <alignment horizontal="left"/>
      <protection locked="0"/>
    </xf>
    <xf numFmtId="198" fontId="0" fillId="0" borderId="0" xfId="0" applyNumberFormat="1" applyFont="1" applyAlignment="1" applyProtection="1">
      <alignment horizontal="right"/>
      <protection/>
    </xf>
    <xf numFmtId="198" fontId="0" fillId="0" borderId="0" xfId="0" applyNumberFormat="1" applyFont="1" applyAlignment="1" applyProtection="1">
      <alignment horizontal="center"/>
      <protection/>
    </xf>
    <xf numFmtId="0" fontId="84" fillId="0" borderId="0" xfId="0" applyFont="1" applyBorder="1" applyAlignment="1" applyProtection="1">
      <alignment horizontal="center" wrapText="1"/>
      <protection/>
    </xf>
    <xf numFmtId="0" fontId="85" fillId="33" borderId="0" xfId="0" applyFont="1" applyFill="1" applyAlignment="1" applyProtection="1">
      <alignment horizontal="center"/>
      <protection/>
    </xf>
    <xf numFmtId="0" fontId="4" fillId="0" borderId="17" xfId="0" applyFont="1" applyBorder="1" applyAlignment="1" applyProtection="1">
      <alignment wrapText="1"/>
      <protection/>
    </xf>
    <xf numFmtId="198" fontId="4" fillId="0" borderId="0" xfId="0" applyNumberFormat="1" applyFont="1" applyBorder="1" applyAlignment="1" applyProtection="1">
      <alignment horizontal="right"/>
      <protection/>
    </xf>
    <xf numFmtId="198" fontId="4" fillId="0" borderId="0" xfId="0" applyNumberFormat="1" applyFont="1" applyBorder="1" applyAlignment="1" applyProtection="1">
      <alignment horizontal="center"/>
      <protection/>
    </xf>
    <xf numFmtId="0" fontId="4" fillId="33" borderId="0" xfId="0" applyFont="1" applyFill="1" applyBorder="1" applyAlignment="1" applyProtection="1">
      <alignment wrapText="1"/>
      <protection/>
    </xf>
    <xf numFmtId="0" fontId="86" fillId="33" borderId="0" xfId="0" applyFont="1" applyFill="1" applyBorder="1" applyAlignment="1" applyProtection="1">
      <alignment wrapText="1"/>
      <protection/>
    </xf>
    <xf numFmtId="0" fontId="3" fillId="0" borderId="21" xfId="0" applyFont="1" applyBorder="1" applyAlignment="1" applyProtection="1">
      <alignment horizontal="center" vertical="center" wrapText="1"/>
      <protection/>
    </xf>
    <xf numFmtId="0" fontId="86" fillId="0" borderId="65" xfId="0" applyFont="1" applyBorder="1" applyAlignment="1" applyProtection="1">
      <alignment wrapText="1"/>
      <protection/>
    </xf>
    <xf numFmtId="0" fontId="86" fillId="0" borderId="44" xfId="0" applyFont="1" applyBorder="1" applyAlignment="1" applyProtection="1">
      <alignment wrapText="1"/>
      <protection/>
    </xf>
    <xf numFmtId="0" fontId="4" fillId="0" borderId="44" xfId="0" applyFont="1" applyBorder="1" applyAlignment="1" applyProtection="1">
      <alignment wrapText="1"/>
      <protection/>
    </xf>
    <xf numFmtId="0" fontId="3" fillId="0" borderId="0" xfId="0" applyFont="1" applyAlignment="1" applyProtection="1">
      <alignment horizontal="center"/>
      <protection/>
    </xf>
    <xf numFmtId="0" fontId="3" fillId="0" borderId="0" xfId="0" applyFont="1" applyBorder="1" applyAlignment="1" applyProtection="1">
      <alignment horizontal="center"/>
      <protection/>
    </xf>
    <xf numFmtId="0" fontId="3" fillId="0" borderId="23" xfId="0" applyNumberFormat="1" applyFont="1" applyBorder="1" applyAlignment="1" applyProtection="1">
      <alignment horizontal="center"/>
      <protection/>
    </xf>
    <xf numFmtId="0" fontId="86" fillId="0" borderId="21" xfId="0" applyFont="1" applyBorder="1" applyAlignment="1" applyProtection="1">
      <alignment wrapText="1"/>
      <protection/>
    </xf>
    <xf numFmtId="0" fontId="86" fillId="0" borderId="18" xfId="0" applyFont="1" applyBorder="1" applyAlignment="1" applyProtection="1">
      <alignment wrapText="1"/>
      <protection/>
    </xf>
    <xf numFmtId="0" fontId="4" fillId="0" borderId="55" xfId="0" applyNumberFormat="1" applyFont="1" applyBorder="1" applyAlignment="1" applyProtection="1">
      <alignment horizontal="left" vertical="center" wrapText="1"/>
      <protection/>
    </xf>
    <xf numFmtId="0" fontId="3" fillId="0" borderId="22" xfId="0" applyFont="1" applyBorder="1" applyAlignment="1" applyProtection="1">
      <alignment horizontal="center" vertical="center" wrapText="1"/>
      <protection/>
    </xf>
    <xf numFmtId="0" fontId="4" fillId="33" borderId="9" xfId="0" applyFont="1" applyFill="1" applyBorder="1" applyAlignment="1" applyProtection="1">
      <alignment wrapText="1"/>
      <protection/>
    </xf>
    <xf numFmtId="0" fontId="4" fillId="33" borderId="13" xfId="0" applyFont="1" applyFill="1" applyBorder="1" applyAlignment="1" applyProtection="1">
      <alignment wrapText="1"/>
      <protection/>
    </xf>
    <xf numFmtId="0" fontId="4" fillId="33" borderId="17" xfId="0" applyFont="1" applyFill="1" applyBorder="1" applyAlignment="1" applyProtection="1">
      <alignment wrapText="1"/>
      <protection/>
    </xf>
    <xf numFmtId="14" fontId="12" fillId="36" borderId="9" xfId="0" applyNumberFormat="1" applyFont="1" applyFill="1" applyBorder="1" applyAlignment="1" applyProtection="1">
      <alignment horizontal="left" wrapText="1"/>
      <protection locked="0"/>
    </xf>
    <xf numFmtId="0" fontId="12" fillId="36" borderId="13" xfId="0" applyFont="1" applyFill="1" applyBorder="1" applyAlignment="1" applyProtection="1">
      <alignment horizontal="left" wrapText="1"/>
      <protection locked="0"/>
    </xf>
    <xf numFmtId="0" fontId="3" fillId="0" borderId="11" xfId="0" applyFont="1" applyFill="1" applyBorder="1" applyAlignment="1" applyProtection="1">
      <alignment horizontal="center" wrapText="1"/>
      <protection/>
    </xf>
    <xf numFmtId="0" fontId="4" fillId="0" borderId="13" xfId="0" applyFont="1" applyFill="1" applyBorder="1" applyAlignment="1" applyProtection="1">
      <alignment/>
      <protection/>
    </xf>
    <xf numFmtId="0" fontId="4" fillId="0" borderId="46" xfId="0" applyFont="1" applyBorder="1" applyAlignment="1" applyProtection="1">
      <alignment wrapText="1"/>
      <protection/>
    </xf>
    <xf numFmtId="0" fontId="4" fillId="0" borderId="0" xfId="0" applyFont="1" applyBorder="1" applyAlignment="1" applyProtection="1">
      <alignment wrapText="1"/>
      <protection/>
    </xf>
    <xf numFmtId="0" fontId="4" fillId="0" borderId="33" xfId="0" applyFont="1" applyBorder="1" applyAlignment="1" applyProtection="1">
      <alignment wrapText="1"/>
      <protection/>
    </xf>
    <xf numFmtId="0" fontId="4" fillId="0" borderId="18" xfId="0" applyFont="1" applyBorder="1" applyAlignment="1" applyProtection="1">
      <alignment wrapText="1"/>
      <protection/>
    </xf>
    <xf numFmtId="0" fontId="86" fillId="33" borderId="13" xfId="0" applyFont="1" applyFill="1" applyBorder="1" applyAlignment="1" applyProtection="1">
      <alignment wrapText="1"/>
      <protection/>
    </xf>
    <xf numFmtId="0" fontId="86" fillId="33" borderId="17" xfId="0" applyFont="1" applyFill="1" applyBorder="1" applyAlignment="1" applyProtection="1">
      <alignment wrapText="1"/>
      <protection/>
    </xf>
    <xf numFmtId="0" fontId="4" fillId="33" borderId="9" xfId="0" applyFont="1" applyFill="1" applyBorder="1" applyAlignment="1">
      <alignment wrapText="1"/>
    </xf>
    <xf numFmtId="0" fontId="4" fillId="33" borderId="13" xfId="0" applyFont="1" applyFill="1" applyBorder="1" applyAlignment="1">
      <alignment wrapText="1"/>
    </xf>
    <xf numFmtId="0" fontId="4" fillId="33" borderId="17" xfId="0" applyFont="1" applyFill="1" applyBorder="1" applyAlignment="1">
      <alignment wrapText="1"/>
    </xf>
    <xf numFmtId="0" fontId="3" fillId="33" borderId="9"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3" fillId="33" borderId="22" xfId="0" applyFont="1" applyFill="1" applyBorder="1" applyAlignment="1" applyProtection="1">
      <alignment horizontal="center" vertical="center" wrapText="1"/>
      <protection/>
    </xf>
    <xf numFmtId="0" fontId="4" fillId="33" borderId="45" xfId="0" applyFont="1" applyFill="1" applyBorder="1" applyAlignment="1">
      <alignment wrapText="1"/>
    </xf>
    <xf numFmtId="0" fontId="4" fillId="33" borderId="65" xfId="0" applyFont="1" applyFill="1" applyBorder="1" applyAlignment="1">
      <alignment wrapText="1"/>
    </xf>
    <xf numFmtId="0" fontId="4" fillId="33" borderId="44" xfId="0" applyFont="1" applyFill="1" applyBorder="1" applyAlignment="1">
      <alignment wrapText="1"/>
    </xf>
    <xf numFmtId="0" fontId="4" fillId="33" borderId="11" xfId="0" applyFont="1" applyFill="1" applyBorder="1" applyAlignment="1">
      <alignment/>
    </xf>
    <xf numFmtId="0" fontId="4" fillId="33" borderId="9" xfId="0" applyFont="1" applyFill="1" applyBorder="1" applyAlignment="1">
      <alignment/>
    </xf>
    <xf numFmtId="0" fontId="4" fillId="33" borderId="13" xfId="0" applyFont="1" applyFill="1" applyBorder="1" applyAlignment="1">
      <alignment/>
    </xf>
    <xf numFmtId="0" fontId="4" fillId="33" borderId="17" xfId="0" applyFont="1" applyFill="1" applyBorder="1" applyAlignment="1">
      <alignment/>
    </xf>
    <xf numFmtId="0" fontId="3" fillId="33" borderId="0" xfId="0" applyFont="1" applyFill="1" applyAlignment="1" applyProtection="1">
      <alignment horizontal="center"/>
      <protection/>
    </xf>
    <xf numFmtId="0" fontId="4" fillId="33" borderId="9" xfId="0" applyFont="1" applyFill="1" applyBorder="1" applyAlignment="1">
      <alignment/>
    </xf>
    <xf numFmtId="0" fontId="4" fillId="33" borderId="13" xfId="0" applyFont="1" applyFill="1" applyBorder="1" applyAlignment="1">
      <alignment/>
    </xf>
    <xf numFmtId="0" fontId="4" fillId="33" borderId="17" xfId="0" applyFont="1" applyFill="1" applyBorder="1" applyAlignment="1">
      <alignment/>
    </xf>
    <xf numFmtId="0" fontId="3" fillId="33" borderId="0" xfId="0" applyFont="1" applyFill="1" applyBorder="1" applyAlignment="1" applyProtection="1">
      <alignment horizontal="center"/>
      <protection/>
    </xf>
    <xf numFmtId="0" fontId="3" fillId="33" borderId="23" xfId="0" applyFont="1" applyFill="1" applyBorder="1" applyAlignment="1" applyProtection="1">
      <alignment horizontal="center"/>
      <protection/>
    </xf>
    <xf numFmtId="0" fontId="4" fillId="33" borderId="23" xfId="0" applyFont="1" applyFill="1" applyBorder="1" applyAlignment="1">
      <alignment horizontal="left" wrapText="1"/>
    </xf>
    <xf numFmtId="0" fontId="4" fillId="33" borderId="15" xfId="0" applyFont="1" applyFill="1" applyBorder="1" applyAlignment="1">
      <alignment wrapText="1"/>
    </xf>
    <xf numFmtId="0" fontId="4" fillId="33" borderId="21" xfId="0" applyFont="1" applyFill="1" applyBorder="1" applyAlignment="1">
      <alignment wrapText="1"/>
    </xf>
    <xf numFmtId="0" fontId="4" fillId="33" borderId="18" xfId="0" applyFont="1" applyFill="1" applyBorder="1" applyAlignment="1">
      <alignment wrapText="1"/>
    </xf>
    <xf numFmtId="0" fontId="4" fillId="33" borderId="13" xfId="0" applyFont="1" applyFill="1" applyBorder="1" applyAlignment="1" applyProtection="1">
      <alignment horizontal="left"/>
      <protection/>
    </xf>
    <xf numFmtId="0" fontId="4" fillId="33" borderId="45" xfId="0" applyFont="1" applyFill="1" applyBorder="1" applyAlignment="1">
      <alignment/>
    </xf>
    <xf numFmtId="0" fontId="4" fillId="33" borderId="65" xfId="0" applyFont="1" applyFill="1" applyBorder="1" applyAlignment="1">
      <alignment/>
    </xf>
    <xf numFmtId="0" fontId="4" fillId="33" borderId="44" xfId="0" applyFont="1" applyFill="1" applyBorder="1" applyAlignment="1">
      <alignment/>
    </xf>
    <xf numFmtId="0" fontId="3" fillId="0" borderId="21" xfId="0" applyFont="1" applyBorder="1" applyAlignment="1" applyProtection="1">
      <alignment horizontal="center" vertical="center"/>
      <protection/>
    </xf>
    <xf numFmtId="0" fontId="4" fillId="0" borderId="52" xfId="0" applyFont="1" applyFill="1" applyBorder="1" applyAlignment="1" applyProtection="1">
      <alignment wrapText="1"/>
      <protection/>
    </xf>
    <xf numFmtId="0" fontId="3" fillId="0" borderId="9" xfId="0" applyFont="1" applyBorder="1" applyAlignment="1" applyProtection="1">
      <alignment horizontal="center" wrapText="1"/>
      <protection/>
    </xf>
    <xf numFmtId="0" fontId="3" fillId="0" borderId="17" xfId="0" applyFont="1" applyBorder="1" applyAlignment="1" applyProtection="1">
      <alignment horizontal="center" wrapText="1"/>
      <protection/>
    </xf>
    <xf numFmtId="0" fontId="4" fillId="0" borderId="20" xfId="0" applyFont="1" applyBorder="1" applyAlignment="1" applyProtection="1">
      <alignment wrapText="1"/>
      <protection/>
    </xf>
    <xf numFmtId="0" fontId="4" fillId="33" borderId="21" xfId="0" applyFont="1" applyFill="1" applyBorder="1" applyAlignment="1" applyProtection="1">
      <alignment vertical="top" wrapText="1"/>
      <protection/>
    </xf>
    <xf numFmtId="0" fontId="12" fillId="36" borderId="36" xfId="0" applyFont="1" applyFill="1" applyBorder="1" applyAlignment="1" applyProtection="1">
      <alignment horizontal="center" vertical="center" wrapText="1"/>
      <protection locked="0"/>
    </xf>
    <xf numFmtId="0" fontId="12" fillId="36" borderId="20" xfId="0" applyFont="1" applyFill="1" applyBorder="1" applyAlignment="1" applyProtection="1">
      <alignment horizontal="center" vertical="center" wrapText="1"/>
      <protection locked="0"/>
    </xf>
    <xf numFmtId="0" fontId="12" fillId="36" borderId="15" xfId="0" applyFont="1" applyFill="1" applyBorder="1" applyAlignment="1" applyProtection="1">
      <alignment horizontal="center" vertical="center" wrapText="1"/>
      <protection locked="0"/>
    </xf>
    <xf numFmtId="0" fontId="12" fillId="36" borderId="21" xfId="0" applyFont="1" applyFill="1" applyBorder="1" applyAlignment="1" applyProtection="1">
      <alignment horizontal="center" vertical="center" wrapText="1"/>
      <protection locked="0"/>
    </xf>
    <xf numFmtId="3" fontId="12" fillId="35" borderId="9" xfId="0" applyNumberFormat="1" applyFont="1" applyFill="1" applyBorder="1" applyAlignment="1" applyProtection="1">
      <alignment/>
      <protection locked="0"/>
    </xf>
    <xf numFmtId="3" fontId="12" fillId="35" borderId="17" xfId="0" applyNumberFormat="1" applyFont="1" applyFill="1" applyBorder="1" applyAlignment="1" applyProtection="1">
      <alignment/>
      <protection locked="0"/>
    </xf>
    <xf numFmtId="3" fontId="12" fillId="35" borderId="45" xfId="0" applyNumberFormat="1" applyFont="1" applyFill="1" applyBorder="1" applyAlignment="1" applyProtection="1">
      <alignment/>
      <protection locked="0"/>
    </xf>
    <xf numFmtId="3" fontId="12" fillId="35" borderId="44" xfId="0" applyNumberFormat="1" applyFont="1" applyFill="1" applyBorder="1" applyAlignment="1" applyProtection="1">
      <alignment/>
      <protection locked="0"/>
    </xf>
    <xf numFmtId="0" fontId="12" fillId="36" borderId="13" xfId="0" applyFont="1" applyFill="1" applyBorder="1" applyAlignment="1" applyProtection="1">
      <alignment vertical="top" wrapText="1"/>
      <protection locked="0"/>
    </xf>
    <xf numFmtId="0" fontId="12" fillId="36" borderId="46" xfId="0" applyFont="1" applyFill="1" applyBorder="1" applyAlignment="1" applyProtection="1">
      <alignment horizontal="center" vertical="top" wrapText="1"/>
      <protection locked="0"/>
    </xf>
    <xf numFmtId="0" fontId="12" fillId="36" borderId="0" xfId="0" applyFont="1" applyFill="1" applyBorder="1" applyAlignment="1" applyProtection="1">
      <alignment horizontal="center" vertical="top" wrapText="1"/>
      <protection locked="0"/>
    </xf>
    <xf numFmtId="0" fontId="12" fillId="36" borderId="15" xfId="0" applyFont="1" applyFill="1" applyBorder="1" applyAlignment="1" applyProtection="1">
      <alignment horizontal="center" vertical="top" wrapText="1"/>
      <protection locked="0"/>
    </xf>
    <xf numFmtId="0" fontId="12" fillId="36" borderId="21" xfId="0" applyFont="1" applyFill="1" applyBorder="1" applyAlignment="1" applyProtection="1">
      <alignment horizontal="center" vertical="top" wrapText="1"/>
      <protection locked="0"/>
    </xf>
    <xf numFmtId="0" fontId="3" fillId="0" borderId="77" xfId="0" applyFont="1" applyBorder="1" applyAlignment="1" applyProtection="1">
      <alignment horizontal="center" vertical="center"/>
      <protection/>
    </xf>
    <xf numFmtId="0" fontId="3" fillId="0" borderId="78" xfId="0" applyFont="1" applyBorder="1" applyAlignment="1" applyProtection="1">
      <alignment horizontal="center" vertical="center"/>
      <protection/>
    </xf>
    <xf numFmtId="0" fontId="4" fillId="39" borderId="52" xfId="0" applyFont="1" applyFill="1" applyBorder="1" applyAlignment="1" applyProtection="1">
      <alignment wrapText="1"/>
      <protection/>
    </xf>
    <xf numFmtId="0" fontId="12" fillId="36" borderId="65" xfId="0" applyFont="1" applyFill="1" applyBorder="1" applyAlignment="1" applyProtection="1">
      <alignment vertical="top" wrapText="1"/>
      <protection locked="0"/>
    </xf>
    <xf numFmtId="0" fontId="4" fillId="0" borderId="13" xfId="0" applyFont="1" applyBorder="1" applyAlignment="1" applyProtection="1">
      <alignment vertical="center" wrapText="1"/>
      <protection/>
    </xf>
    <xf numFmtId="0" fontId="12" fillId="36" borderId="65" xfId="0" applyFont="1" applyFill="1" applyBorder="1" applyAlignment="1" applyProtection="1">
      <alignment horizontal="left" vertical="top" wrapText="1"/>
      <protection locked="0"/>
    </xf>
    <xf numFmtId="0" fontId="3" fillId="0" borderId="0" xfId="0" applyFont="1" applyAlignment="1" applyProtection="1">
      <alignment horizontal="center" vertical="center"/>
      <protection/>
    </xf>
    <xf numFmtId="0" fontId="3" fillId="0" borderId="23" xfId="0" applyFont="1" applyBorder="1" applyAlignment="1" applyProtection="1">
      <alignment horizontal="center"/>
      <protection/>
    </xf>
    <xf numFmtId="0" fontId="4" fillId="0" borderId="23" xfId="0" applyFont="1" applyBorder="1" applyAlignment="1" applyProtection="1">
      <alignment horizontal="left" wrapText="1"/>
      <protection/>
    </xf>
    <xf numFmtId="0" fontId="3" fillId="0" borderId="23" xfId="0" applyFont="1" applyBorder="1" applyAlignment="1" applyProtection="1">
      <alignment horizontal="left" wrapText="1"/>
      <protection/>
    </xf>
    <xf numFmtId="0" fontId="12" fillId="35" borderId="13" xfId="0" applyFont="1" applyFill="1" applyBorder="1" applyAlignment="1" applyProtection="1">
      <alignment vertical="top"/>
      <protection locked="0"/>
    </xf>
    <xf numFmtId="0" fontId="3" fillId="0" borderId="13" xfId="0" applyFont="1" applyBorder="1" applyAlignment="1" applyProtection="1">
      <alignment horizontal="center" wrapText="1"/>
      <protection/>
    </xf>
    <xf numFmtId="0" fontId="4" fillId="0" borderId="9" xfId="0" applyFont="1" applyBorder="1" applyAlignment="1" applyProtection="1">
      <alignment horizontal="left"/>
      <protection/>
    </xf>
    <xf numFmtId="0" fontId="4" fillId="0" borderId="13" xfId="0" applyFont="1" applyBorder="1" applyAlignment="1" applyProtection="1">
      <alignment horizontal="left"/>
      <protection/>
    </xf>
    <xf numFmtId="0" fontId="4" fillId="0" borderId="45" xfId="0" applyFont="1" applyBorder="1" applyAlignment="1" applyProtection="1">
      <alignment horizontal="left"/>
      <protection/>
    </xf>
    <xf numFmtId="0" fontId="4" fillId="0" borderId="65" xfId="0" applyFont="1" applyBorder="1" applyAlignment="1" applyProtection="1">
      <alignment horizontal="left"/>
      <protection/>
    </xf>
    <xf numFmtId="0" fontId="4" fillId="0" borderId="9" xfId="0" applyFont="1" applyBorder="1" applyAlignment="1" applyProtection="1">
      <alignment vertical="center"/>
      <protection/>
    </xf>
    <xf numFmtId="0" fontId="4" fillId="0" borderId="17" xfId="0" applyFont="1" applyBorder="1" applyAlignment="1" applyProtection="1">
      <alignment vertical="center"/>
      <protection/>
    </xf>
    <xf numFmtId="0" fontId="3" fillId="0" borderId="49" xfId="0" applyFont="1" applyBorder="1" applyAlignment="1" applyProtection="1">
      <alignment vertical="center"/>
      <protection/>
    </xf>
    <xf numFmtId="0" fontId="3" fillId="0" borderId="31" xfId="0" applyFont="1" applyBorder="1" applyAlignment="1" applyProtection="1">
      <alignment vertical="center"/>
      <protection/>
    </xf>
    <xf numFmtId="0" fontId="4" fillId="0" borderId="49" xfId="0" applyFont="1" applyBorder="1" applyAlignment="1" applyProtection="1">
      <alignment vertical="center"/>
      <protection/>
    </xf>
    <xf numFmtId="0" fontId="4" fillId="0" borderId="31" xfId="0" applyFont="1" applyBorder="1" applyAlignment="1" applyProtection="1">
      <alignment vertical="center"/>
      <protection/>
    </xf>
    <xf numFmtId="0" fontId="3" fillId="0" borderId="42" xfId="0" applyFont="1" applyBorder="1" applyAlignment="1" applyProtection="1">
      <alignment vertical="center"/>
      <protection/>
    </xf>
    <xf numFmtId="0" fontId="3" fillId="0" borderId="27" xfId="0" applyFont="1" applyBorder="1" applyAlignment="1" applyProtection="1">
      <alignment vertical="center"/>
      <protection/>
    </xf>
    <xf numFmtId="0" fontId="3" fillId="0" borderId="17" xfId="0" applyFont="1" applyBorder="1" applyAlignment="1" applyProtection="1">
      <alignment horizontal="center"/>
      <protection/>
    </xf>
    <xf numFmtId="0" fontId="4" fillId="0" borderId="55" xfId="0" applyFont="1" applyFill="1" applyBorder="1" applyAlignment="1" applyProtection="1">
      <alignment horizontal="left" vertical="center" wrapText="1"/>
      <protection/>
    </xf>
    <xf numFmtId="0" fontId="4" fillId="0" borderId="55" xfId="0" applyFont="1" applyFill="1" applyBorder="1" applyAlignment="1" applyProtection="1">
      <alignment horizontal="left" vertical="center"/>
      <protection/>
    </xf>
    <xf numFmtId="0" fontId="4" fillId="0" borderId="29"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45" xfId="0" applyFont="1" applyBorder="1" applyAlignment="1" applyProtection="1">
      <alignment vertical="center"/>
      <protection/>
    </xf>
    <xf numFmtId="0" fontId="4" fillId="0" borderId="44" xfId="0" applyFont="1" applyBorder="1" applyAlignment="1" applyProtection="1">
      <alignment vertical="center"/>
      <protection/>
    </xf>
    <xf numFmtId="0" fontId="3" fillId="0" borderId="46" xfId="0" applyFont="1" applyBorder="1" applyAlignment="1" applyProtection="1">
      <alignment horizontal="center" wrapText="1"/>
      <protection/>
    </xf>
    <xf numFmtId="0" fontId="3" fillId="0" borderId="0" xfId="0" applyFont="1" applyBorder="1" applyAlignment="1" applyProtection="1">
      <alignment horizontal="center" wrapText="1"/>
      <protection/>
    </xf>
    <xf numFmtId="41" fontId="12" fillId="0" borderId="45" xfId="0" applyNumberFormat="1" applyFont="1" applyBorder="1" applyAlignment="1" applyProtection="1">
      <alignment vertical="center"/>
      <protection/>
    </xf>
    <xf numFmtId="41" fontId="12" fillId="0" borderId="65" xfId="0" applyNumberFormat="1" applyFont="1" applyBorder="1" applyAlignment="1" applyProtection="1">
      <alignment vertical="center"/>
      <protection/>
    </xf>
    <xf numFmtId="0" fontId="3" fillId="0" borderId="12" xfId="0" applyFont="1" applyBorder="1" applyAlignment="1" applyProtection="1">
      <alignment vertical="center"/>
      <protection/>
    </xf>
    <xf numFmtId="0" fontId="3" fillId="0" borderId="25" xfId="0" applyFont="1" applyBorder="1" applyAlignment="1" applyProtection="1">
      <alignment vertical="center"/>
      <protection/>
    </xf>
    <xf numFmtId="0" fontId="3" fillId="0" borderId="47" xfId="0" applyFont="1" applyBorder="1" applyAlignment="1" applyProtection="1">
      <alignment vertical="center"/>
      <protection/>
    </xf>
    <xf numFmtId="0" fontId="3" fillId="0" borderId="37" xfId="0" applyFont="1" applyBorder="1" applyAlignment="1" applyProtection="1">
      <alignment vertical="center"/>
      <protection/>
    </xf>
    <xf numFmtId="0" fontId="4" fillId="33" borderId="13" xfId="0" applyFont="1" applyFill="1" applyBorder="1" applyAlignment="1" applyProtection="1">
      <alignment horizontal="left" vertical="center" wrapText="1"/>
      <protection/>
    </xf>
    <xf numFmtId="41" fontId="12" fillId="36" borderId="9" xfId="0" applyNumberFormat="1" applyFont="1" applyFill="1" applyBorder="1" applyAlignment="1" applyProtection="1">
      <alignment vertical="center"/>
      <protection locked="0"/>
    </xf>
    <xf numFmtId="41" fontId="12" fillId="36" borderId="17" xfId="0" applyNumberFormat="1" applyFont="1" applyFill="1" applyBorder="1" applyAlignment="1" applyProtection="1">
      <alignment vertical="center"/>
      <protection locked="0"/>
    </xf>
    <xf numFmtId="41" fontId="13" fillId="34" borderId="48" xfId="0" applyNumberFormat="1" applyFont="1" applyFill="1" applyBorder="1" applyAlignment="1" applyProtection="1">
      <alignment horizontal="center" wrapText="1"/>
      <protection/>
    </xf>
    <xf numFmtId="41" fontId="13" fillId="34" borderId="37" xfId="0" applyNumberFormat="1" applyFont="1" applyFill="1" applyBorder="1" applyAlignment="1" applyProtection="1">
      <alignment horizontal="center" wrapText="1"/>
      <protection/>
    </xf>
    <xf numFmtId="41" fontId="12" fillId="33" borderId="47" xfId="0" applyNumberFormat="1" applyFont="1" applyFill="1" applyBorder="1" applyAlignment="1" applyProtection="1">
      <alignment vertical="center"/>
      <protection/>
    </xf>
    <xf numFmtId="41" fontId="12" fillId="33" borderId="37" xfId="0" applyNumberFormat="1" applyFont="1" applyFill="1" applyBorder="1" applyAlignment="1" applyProtection="1">
      <alignment vertical="center"/>
      <protection/>
    </xf>
    <xf numFmtId="41" fontId="12" fillId="35" borderId="56" xfId="0" applyNumberFormat="1" applyFont="1" applyFill="1" applyBorder="1" applyAlignment="1" applyProtection="1">
      <alignment vertical="center"/>
      <protection locked="0"/>
    </xf>
    <xf numFmtId="41" fontId="12" fillId="35" borderId="51" xfId="0" applyNumberFormat="1" applyFont="1" applyFill="1" applyBorder="1" applyAlignment="1" applyProtection="1">
      <alignment vertical="center"/>
      <protection locked="0"/>
    </xf>
    <xf numFmtId="37" fontId="12" fillId="33" borderId="45" xfId="0" applyNumberFormat="1" applyFont="1" applyFill="1" applyBorder="1" applyAlignment="1" applyProtection="1">
      <alignment vertical="center"/>
      <protection/>
    </xf>
    <xf numFmtId="37" fontId="12" fillId="33" borderId="88" xfId="0" applyNumberFormat="1" applyFont="1" applyFill="1" applyBorder="1" applyAlignment="1" applyProtection="1">
      <alignment vertical="center"/>
      <protection/>
    </xf>
    <xf numFmtId="41" fontId="12" fillId="36" borderId="29" xfId="0" applyNumberFormat="1" applyFont="1" applyFill="1" applyBorder="1" applyAlignment="1" applyProtection="1">
      <alignment vertical="center"/>
      <protection locked="0"/>
    </xf>
    <xf numFmtId="41" fontId="12" fillId="35" borderId="24" xfId="0" applyNumberFormat="1" applyFont="1" applyFill="1" applyBorder="1" applyAlignment="1" applyProtection="1">
      <alignment vertical="center"/>
      <protection locked="0"/>
    </xf>
    <xf numFmtId="41" fontId="12" fillId="0" borderId="47" xfId="0" applyNumberFormat="1" applyFont="1" applyBorder="1" applyAlignment="1" applyProtection="1">
      <alignment vertical="center"/>
      <protection/>
    </xf>
    <xf numFmtId="41" fontId="12" fillId="0" borderId="37" xfId="0" applyNumberFormat="1" applyFont="1" applyBorder="1" applyAlignment="1" applyProtection="1">
      <alignment vertical="center"/>
      <protection/>
    </xf>
    <xf numFmtId="41" fontId="12" fillId="0" borderId="42" xfId="0" applyNumberFormat="1" applyFont="1" applyBorder="1" applyAlignment="1" applyProtection="1">
      <alignment/>
      <protection/>
    </xf>
    <xf numFmtId="41" fontId="12" fillId="0" borderId="27" xfId="0" applyNumberFormat="1" applyFont="1" applyBorder="1" applyAlignment="1" applyProtection="1">
      <alignment/>
      <protection/>
    </xf>
    <xf numFmtId="0" fontId="3" fillId="33" borderId="53" xfId="0" applyFont="1" applyFill="1" applyBorder="1" applyAlignment="1" applyProtection="1">
      <alignment horizontal="center" vertical="center" wrapText="1"/>
      <protection/>
    </xf>
    <xf numFmtId="0" fontId="3" fillId="33" borderId="89" xfId="0" applyFont="1" applyFill="1" applyBorder="1" applyAlignment="1" applyProtection="1">
      <alignment horizontal="center" vertical="center" wrapText="1"/>
      <protection/>
    </xf>
    <xf numFmtId="0" fontId="4" fillId="0" borderId="13" xfId="0" applyFont="1" applyBorder="1" applyAlignment="1" applyProtection="1">
      <alignment horizontal="left" vertical="center" wrapText="1"/>
      <protection/>
    </xf>
    <xf numFmtId="0" fontId="3" fillId="0" borderId="15" xfId="0" applyFont="1" applyBorder="1" applyAlignment="1" applyProtection="1">
      <alignment horizontal="center" wrapText="1"/>
      <protection/>
    </xf>
    <xf numFmtId="0" fontId="3" fillId="0" borderId="18" xfId="0" applyFont="1" applyBorder="1" applyAlignment="1" applyProtection="1">
      <alignment horizontal="center" wrapText="1"/>
      <protection/>
    </xf>
    <xf numFmtId="41" fontId="12" fillId="33" borderId="56" xfId="0" applyNumberFormat="1" applyFont="1" applyFill="1" applyBorder="1" applyAlignment="1" applyProtection="1">
      <alignment vertical="center"/>
      <protection/>
    </xf>
    <xf numFmtId="41" fontId="12" fillId="33" borderId="51" xfId="0" applyNumberFormat="1" applyFont="1" applyFill="1" applyBorder="1" applyAlignment="1" applyProtection="1">
      <alignment vertical="center"/>
      <protection/>
    </xf>
    <xf numFmtId="41" fontId="12" fillId="36" borderId="49" xfId="0" applyNumberFormat="1" applyFont="1" applyFill="1" applyBorder="1" applyAlignment="1" applyProtection="1">
      <alignment vertical="center"/>
      <protection locked="0"/>
    </xf>
    <xf numFmtId="41" fontId="12" fillId="35" borderId="31" xfId="0" applyNumberFormat="1" applyFont="1" applyFill="1" applyBorder="1" applyAlignment="1" applyProtection="1">
      <alignment vertical="center"/>
      <protection locked="0"/>
    </xf>
    <xf numFmtId="0" fontId="4" fillId="0" borderId="0" xfId="0" applyFont="1" applyAlignment="1" applyProtection="1">
      <alignment wrapText="1"/>
      <protection/>
    </xf>
    <xf numFmtId="39" fontId="12" fillId="35" borderId="45" xfId="0" applyNumberFormat="1" applyFont="1" applyFill="1" applyBorder="1" applyAlignment="1" applyProtection="1">
      <alignment vertical="center" wrapText="1"/>
      <protection locked="0"/>
    </xf>
    <xf numFmtId="39" fontId="12" fillId="35" borderId="65" xfId="0" applyNumberFormat="1" applyFont="1" applyFill="1" applyBorder="1" applyAlignment="1" applyProtection="1">
      <alignment vertical="center" wrapText="1"/>
      <protection locked="0"/>
    </xf>
    <xf numFmtId="0" fontId="4" fillId="0" borderId="50" xfId="0" applyFont="1" applyBorder="1" applyAlignment="1" applyProtection="1">
      <alignment vertical="center" wrapText="1"/>
      <protection/>
    </xf>
    <xf numFmtId="0" fontId="3" fillId="0" borderId="22" xfId="0" applyFont="1" applyBorder="1" applyAlignment="1" applyProtection="1">
      <alignment horizontal="center" vertical="center"/>
      <protection/>
    </xf>
    <xf numFmtId="41" fontId="12" fillId="36" borderId="13" xfId="0" applyNumberFormat="1" applyFont="1" applyFill="1" applyBorder="1" applyAlignment="1" applyProtection="1">
      <alignment vertical="center"/>
      <protection locked="0"/>
    </xf>
    <xf numFmtId="41" fontId="12" fillId="36" borderId="36" xfId="0" applyNumberFormat="1" applyFont="1" applyFill="1" applyBorder="1" applyAlignment="1" applyProtection="1">
      <alignment vertical="center"/>
      <protection locked="0"/>
    </xf>
    <xf numFmtId="41" fontId="12" fillId="36" borderId="20" xfId="0" applyNumberFormat="1" applyFont="1" applyFill="1" applyBorder="1" applyAlignment="1" applyProtection="1">
      <alignment vertical="center"/>
      <protection locked="0"/>
    </xf>
    <xf numFmtId="41" fontId="12" fillId="36" borderId="15" xfId="0" applyNumberFormat="1" applyFont="1" applyFill="1" applyBorder="1" applyAlignment="1" applyProtection="1">
      <alignment vertical="center"/>
      <protection locked="0"/>
    </xf>
    <xf numFmtId="41" fontId="12" fillId="36" borderId="21" xfId="0" applyNumberFormat="1" applyFont="1" applyFill="1" applyBorder="1" applyAlignment="1" applyProtection="1">
      <alignment vertical="center"/>
      <protection locked="0"/>
    </xf>
    <xf numFmtId="41" fontId="12" fillId="34" borderId="46" xfId="0" applyNumberFormat="1" applyFont="1" applyFill="1" applyBorder="1" applyAlignment="1" applyProtection="1">
      <alignment vertical="center"/>
      <protection/>
    </xf>
    <xf numFmtId="41" fontId="12" fillId="34" borderId="0" xfId="0" applyNumberFormat="1" applyFont="1" applyFill="1" applyBorder="1" applyAlignment="1" applyProtection="1">
      <alignment vertical="center"/>
      <protection/>
    </xf>
    <xf numFmtId="0" fontId="4" fillId="0" borderId="13" xfId="0" applyFont="1" applyBorder="1" applyAlignment="1" applyProtection="1">
      <alignment horizontal="center"/>
      <protection/>
    </xf>
    <xf numFmtId="0" fontId="4" fillId="0" borderId="0" xfId="0" applyFont="1" applyBorder="1" applyAlignment="1" applyProtection="1">
      <alignment horizontal="left" vertical="center" wrapText="1"/>
      <protection/>
    </xf>
    <xf numFmtId="0" fontId="4" fillId="0" borderId="20" xfId="0" applyFont="1" applyBorder="1" applyAlignment="1" applyProtection="1">
      <alignment vertical="center" wrapText="1"/>
      <protection/>
    </xf>
    <xf numFmtId="0" fontId="3" fillId="0" borderId="23" xfId="0" applyFont="1" applyBorder="1" applyAlignment="1" applyProtection="1">
      <alignment horizontal="center" vertical="center"/>
      <protection/>
    </xf>
    <xf numFmtId="0" fontId="3" fillId="0" borderId="47" xfId="0" applyFont="1" applyBorder="1" applyAlignment="1" applyProtection="1">
      <alignment horizontal="left" vertical="center"/>
      <protection/>
    </xf>
    <xf numFmtId="0" fontId="3" fillId="0" borderId="48" xfId="0" applyFont="1" applyBorder="1" applyAlignment="1" applyProtection="1">
      <alignment horizontal="left" vertical="center"/>
      <protection/>
    </xf>
    <xf numFmtId="41" fontId="12" fillId="36" borderId="50" xfId="0" applyNumberFormat="1" applyFont="1" applyFill="1" applyBorder="1" applyAlignment="1" applyProtection="1">
      <alignment vertical="center"/>
      <protection locked="0"/>
    </xf>
    <xf numFmtId="0" fontId="4" fillId="0" borderId="0" xfId="0" applyFont="1" applyBorder="1" applyAlignment="1" applyProtection="1">
      <alignment vertical="center" wrapText="1"/>
      <protection/>
    </xf>
    <xf numFmtId="0" fontId="4" fillId="0" borderId="55" xfId="0" applyFont="1" applyBorder="1" applyAlignment="1" applyProtection="1">
      <alignment horizontal="left" vertical="center" wrapText="1"/>
      <protection/>
    </xf>
    <xf numFmtId="0" fontId="3" fillId="0" borderId="55" xfId="0" applyFont="1" applyBorder="1" applyAlignment="1" applyProtection="1">
      <alignment horizontal="left" vertical="center" wrapText="1"/>
      <protection/>
    </xf>
    <xf numFmtId="41" fontId="12" fillId="36" borderId="9" xfId="0" applyNumberFormat="1" applyFont="1" applyFill="1" applyBorder="1" applyAlignment="1" applyProtection="1">
      <alignment horizontal="left" vertical="center"/>
      <protection locked="0"/>
    </xf>
    <xf numFmtId="41" fontId="12" fillId="36" borderId="17" xfId="0" applyNumberFormat="1" applyFont="1" applyFill="1" applyBorder="1" applyAlignment="1" applyProtection="1">
      <alignment horizontal="left" vertical="center"/>
      <protection locked="0"/>
    </xf>
    <xf numFmtId="0" fontId="4" fillId="0" borderId="41" xfId="0" applyFont="1" applyBorder="1" applyAlignment="1" applyProtection="1">
      <alignment vertical="center" wrapText="1"/>
      <protection/>
    </xf>
    <xf numFmtId="0" fontId="3" fillId="0" borderId="11" xfId="0" applyFont="1" applyBorder="1" applyAlignment="1" applyProtection="1">
      <alignment horizontal="center" wrapText="1"/>
      <protection/>
    </xf>
    <xf numFmtId="0" fontId="4" fillId="0" borderId="11" xfId="0" applyFont="1" applyBorder="1" applyAlignment="1" applyProtection="1">
      <alignment/>
      <protection/>
    </xf>
    <xf numFmtId="0" fontId="3" fillId="33" borderId="22" xfId="0" applyFont="1" applyFill="1" applyBorder="1" applyAlignment="1" applyProtection="1">
      <alignment horizontal="center" vertical="center"/>
      <protection/>
    </xf>
    <xf numFmtId="0" fontId="3" fillId="33" borderId="36" xfId="0" applyFont="1" applyFill="1" applyBorder="1" applyAlignment="1" applyProtection="1">
      <alignment horizontal="center" wrapText="1"/>
      <protection/>
    </xf>
    <xf numFmtId="0" fontId="3" fillId="33" borderId="26" xfId="0" applyFont="1" applyFill="1" applyBorder="1" applyAlignment="1" applyProtection="1">
      <alignment horizontal="center" wrapText="1"/>
      <protection/>
    </xf>
    <xf numFmtId="0" fontId="3" fillId="33" borderId="15" xfId="0" applyFont="1" applyFill="1" applyBorder="1" applyAlignment="1" applyProtection="1">
      <alignment horizontal="center" wrapText="1"/>
      <protection/>
    </xf>
    <xf numFmtId="0" fontId="3" fillId="33" borderId="18" xfId="0" applyFont="1" applyFill="1" applyBorder="1" applyAlignment="1" applyProtection="1">
      <alignment horizontal="center" wrapText="1"/>
      <protection/>
    </xf>
    <xf numFmtId="0" fontId="3" fillId="0" borderId="12" xfId="0" applyFont="1" applyBorder="1" applyAlignment="1" applyProtection="1">
      <alignment horizontal="left" vertical="center"/>
      <protection/>
    </xf>
    <xf numFmtId="0" fontId="4" fillId="0" borderId="23" xfId="0" applyFont="1" applyBorder="1" applyAlignment="1" applyProtection="1">
      <alignment/>
      <protection/>
    </xf>
    <xf numFmtId="41" fontId="12" fillId="36" borderId="29" xfId="0" applyNumberFormat="1" applyFont="1" applyFill="1" applyBorder="1" applyAlignment="1" applyProtection="1">
      <alignment horizontal="left" vertical="center"/>
      <protection locked="0"/>
    </xf>
    <xf numFmtId="41" fontId="12" fillId="36" borderId="24" xfId="0" applyNumberFormat="1" applyFont="1" applyFill="1" applyBorder="1" applyAlignment="1" applyProtection="1">
      <alignment horizontal="left" vertical="center"/>
      <protection locked="0"/>
    </xf>
    <xf numFmtId="0" fontId="4" fillId="0" borderId="11" xfId="0" applyNumberFormat="1" applyFont="1" applyBorder="1" applyAlignment="1" applyProtection="1">
      <alignment vertical="center"/>
      <protection/>
    </xf>
    <xf numFmtId="0" fontId="4" fillId="0" borderId="23" xfId="0" applyFont="1" applyBorder="1" applyAlignment="1" applyProtection="1">
      <alignment vertical="center" wrapText="1"/>
      <protection/>
    </xf>
    <xf numFmtId="0" fontId="4" fillId="0" borderId="11" xfId="0" applyFont="1" applyBorder="1" applyAlignment="1" applyProtection="1">
      <alignment/>
      <protection/>
    </xf>
    <xf numFmtId="0" fontId="4" fillId="0" borderId="32" xfId="0" applyFont="1" applyBorder="1" applyAlignment="1" applyProtection="1">
      <alignment/>
      <protection/>
    </xf>
    <xf numFmtId="0" fontId="3" fillId="0" borderId="16" xfId="0" applyFont="1" applyBorder="1" applyAlignment="1" applyProtection="1">
      <alignment/>
      <protection/>
    </xf>
    <xf numFmtId="0" fontId="4" fillId="0" borderId="14" xfId="0" applyNumberFormat="1" applyFont="1" applyBorder="1" applyAlignment="1" applyProtection="1">
      <alignment vertical="center"/>
      <protection/>
    </xf>
    <xf numFmtId="0" fontId="3" fillId="0" borderId="43" xfId="0" applyFont="1" applyBorder="1" applyAlignment="1" applyProtection="1">
      <alignment/>
      <protection/>
    </xf>
    <xf numFmtId="0" fontId="4" fillId="0" borderId="32" xfId="0" applyNumberFormat="1" applyFont="1" applyBorder="1" applyAlignment="1" applyProtection="1">
      <alignment vertical="center"/>
      <protection/>
    </xf>
    <xf numFmtId="0" fontId="3" fillId="0" borderId="16" xfId="0" applyFont="1" applyBorder="1" applyAlignment="1" applyProtection="1">
      <alignment vertical="center"/>
      <protection/>
    </xf>
    <xf numFmtId="0" fontId="4" fillId="0" borderId="28" xfId="0" applyFont="1" applyBorder="1" applyAlignment="1" applyProtection="1">
      <alignment/>
      <protection/>
    </xf>
    <xf numFmtId="0" fontId="4" fillId="0" borderId="23" xfId="0" applyFont="1" applyBorder="1" applyAlignment="1" applyProtection="1">
      <alignment horizontal="left" vertical="center" wrapText="1"/>
      <protection/>
    </xf>
    <xf numFmtId="0" fontId="3" fillId="0" borderId="49" xfId="0" applyFont="1" applyBorder="1" applyAlignment="1" applyProtection="1">
      <alignment horizontal="left" vertical="center"/>
      <protection/>
    </xf>
    <xf numFmtId="0" fontId="4" fillId="0" borderId="40" xfId="0" applyFont="1" applyBorder="1" applyAlignment="1" applyProtection="1">
      <alignment/>
      <protection/>
    </xf>
    <xf numFmtId="0" fontId="3" fillId="33" borderId="21" xfId="0" applyFont="1" applyFill="1" applyBorder="1" applyAlignment="1" applyProtection="1">
      <alignment horizontal="center" vertical="center"/>
      <protection/>
    </xf>
    <xf numFmtId="0" fontId="12" fillId="36" borderId="9" xfId="0" applyFont="1" applyFill="1" applyBorder="1" applyAlignment="1" applyProtection="1">
      <alignment vertical="top" wrapText="1"/>
      <protection locked="0"/>
    </xf>
    <xf numFmtId="0" fontId="12" fillId="36" borderId="17" xfId="0" applyFont="1" applyFill="1" applyBorder="1" applyAlignment="1" applyProtection="1">
      <alignment vertical="top" wrapText="1"/>
      <protection locked="0"/>
    </xf>
    <xf numFmtId="0" fontId="12" fillId="36" borderId="45" xfId="0" applyFont="1" applyFill="1" applyBorder="1" applyAlignment="1" applyProtection="1">
      <alignment vertical="top" wrapText="1"/>
      <protection locked="0"/>
    </xf>
    <xf numFmtId="0" fontId="12" fillId="36" borderId="44" xfId="0" applyFont="1" applyFill="1" applyBorder="1" applyAlignment="1" applyProtection="1">
      <alignment vertical="top" wrapText="1"/>
      <protection locked="0"/>
    </xf>
    <xf numFmtId="0" fontId="3" fillId="0" borderId="26" xfId="0" applyFont="1" applyBorder="1" applyAlignment="1" applyProtection="1">
      <alignment horizontal="center" textRotation="90"/>
      <protection/>
    </xf>
    <xf numFmtId="0" fontId="3" fillId="0" borderId="18" xfId="0" applyFont="1" applyBorder="1" applyAlignment="1" applyProtection="1">
      <alignment horizontal="center" textRotation="90"/>
      <protection/>
    </xf>
    <xf numFmtId="0" fontId="4" fillId="33" borderId="13" xfId="0" applyFont="1" applyFill="1" applyBorder="1" applyAlignment="1" applyProtection="1">
      <alignment vertical="center" wrapText="1"/>
      <protection/>
    </xf>
    <xf numFmtId="0" fontId="4" fillId="0" borderId="21" xfId="0" applyFont="1" applyBorder="1" applyAlignment="1" applyProtection="1">
      <alignment horizontal="left" vertical="center" wrapText="1"/>
      <protection/>
    </xf>
    <xf numFmtId="0" fontId="3" fillId="0" borderId="22" xfId="0" applyFont="1" applyBorder="1" applyAlignment="1" applyProtection="1">
      <alignment horizontal="center"/>
      <protection/>
    </xf>
    <xf numFmtId="0" fontId="3" fillId="0" borderId="13" xfId="0" applyFont="1" applyBorder="1" applyAlignment="1" applyProtection="1">
      <alignment wrapText="1"/>
      <protection/>
    </xf>
    <xf numFmtId="0" fontId="4" fillId="0" borderId="36" xfId="0" applyFont="1" applyBorder="1" applyAlignment="1" applyProtection="1">
      <alignment horizontal="center" vertical="center" textRotation="90" wrapText="1"/>
      <protection/>
    </xf>
    <xf numFmtId="0" fontId="4" fillId="0" borderId="12" xfId="0" applyFont="1" applyBorder="1" applyAlignment="1" applyProtection="1">
      <alignment horizontal="center" vertical="center" textRotation="90" wrapText="1"/>
      <protection/>
    </xf>
    <xf numFmtId="0" fontId="4" fillId="0" borderId="15" xfId="0" applyFont="1" applyBorder="1" applyAlignment="1" applyProtection="1">
      <alignment horizontal="center" vertical="center" textRotation="90" wrapText="1"/>
      <protection/>
    </xf>
    <xf numFmtId="0" fontId="3" fillId="0" borderId="40" xfId="0" applyFont="1" applyBorder="1" applyAlignment="1" applyProtection="1">
      <alignment horizontal="center"/>
      <protection/>
    </xf>
    <xf numFmtId="0" fontId="4" fillId="0" borderId="21" xfId="0" applyFont="1" applyBorder="1" applyAlignment="1" applyProtection="1">
      <alignment vertical="center" wrapText="1"/>
      <protection/>
    </xf>
    <xf numFmtId="41" fontId="12" fillId="33" borderId="48" xfId="0" applyNumberFormat="1" applyFont="1" applyFill="1" applyBorder="1" applyAlignment="1" applyProtection="1">
      <alignment vertical="center"/>
      <protection/>
    </xf>
    <xf numFmtId="41" fontId="12" fillId="33" borderId="9" xfId="0" applyNumberFormat="1" applyFont="1" applyFill="1" applyBorder="1" applyAlignment="1" applyProtection="1">
      <alignment vertical="center"/>
      <protection/>
    </xf>
    <xf numFmtId="41" fontId="12" fillId="33" borderId="13" xfId="0" applyNumberFormat="1" applyFont="1" applyFill="1" applyBorder="1" applyAlignment="1" applyProtection="1">
      <alignment vertical="center"/>
      <protection/>
    </xf>
    <xf numFmtId="41" fontId="12" fillId="36" borderId="45" xfId="0" applyNumberFormat="1" applyFont="1" applyFill="1" applyBorder="1" applyAlignment="1" applyProtection="1">
      <alignment horizontal="center" vertical="center"/>
      <protection locked="0"/>
    </xf>
    <xf numFmtId="41" fontId="12" fillId="36" borderId="65" xfId="0" applyNumberFormat="1" applyFont="1" applyFill="1" applyBorder="1" applyAlignment="1" applyProtection="1">
      <alignment horizontal="center" vertical="center"/>
      <protection locked="0"/>
    </xf>
    <xf numFmtId="0" fontId="4" fillId="0" borderId="15" xfId="0" applyNumberFormat="1" applyFont="1" applyBorder="1" applyAlignment="1" applyProtection="1">
      <alignment vertical="center" wrapText="1"/>
      <protection/>
    </xf>
    <xf numFmtId="0" fontId="4" fillId="0" borderId="18" xfId="0" applyNumberFormat="1" applyFont="1" applyBorder="1" applyAlignment="1" applyProtection="1">
      <alignment vertical="center" wrapText="1"/>
      <protection/>
    </xf>
    <xf numFmtId="0" fontId="3" fillId="0" borderId="36" xfId="0" applyFont="1" applyBorder="1" applyAlignment="1" applyProtection="1">
      <alignment horizontal="center" wrapText="1"/>
      <protection/>
    </xf>
    <xf numFmtId="0" fontId="4" fillId="0" borderId="20" xfId="0" applyFont="1" applyBorder="1" applyAlignment="1" applyProtection="1">
      <alignment/>
      <protection/>
    </xf>
    <xf numFmtId="0" fontId="4" fillId="0" borderId="9" xfId="0" applyNumberFormat="1" applyFont="1" applyBorder="1" applyAlignment="1" applyProtection="1">
      <alignment vertical="center" wrapText="1"/>
      <protection/>
    </xf>
    <xf numFmtId="0" fontId="4" fillId="0" borderId="17" xfId="0" applyNumberFormat="1" applyFont="1" applyBorder="1" applyAlignment="1" applyProtection="1">
      <alignment vertical="center" wrapText="1"/>
      <protection/>
    </xf>
    <xf numFmtId="41" fontId="12" fillId="36" borderId="9" xfId="0" applyNumberFormat="1" applyFont="1" applyFill="1" applyBorder="1" applyAlignment="1" applyProtection="1">
      <alignment horizontal="center" vertical="center"/>
      <protection locked="0"/>
    </xf>
    <xf numFmtId="41" fontId="12" fillId="36" borderId="13" xfId="0" applyNumberFormat="1" applyFont="1" applyFill="1" applyBorder="1" applyAlignment="1" applyProtection="1">
      <alignment horizontal="center" vertical="center"/>
      <protection locked="0"/>
    </xf>
    <xf numFmtId="41" fontId="12" fillId="0" borderId="42" xfId="0" applyNumberFormat="1" applyFont="1" applyBorder="1" applyAlignment="1" applyProtection="1">
      <alignment vertical="center"/>
      <protection/>
    </xf>
    <xf numFmtId="41" fontId="12" fillId="0" borderId="39" xfId="0" applyNumberFormat="1" applyFont="1" applyBorder="1" applyAlignment="1" applyProtection="1">
      <alignment vertical="center"/>
      <protection/>
    </xf>
    <xf numFmtId="0" fontId="3" fillId="0" borderId="47" xfId="0" applyNumberFormat="1" applyFont="1" applyBorder="1" applyAlignment="1" applyProtection="1">
      <alignment vertical="center" wrapText="1"/>
      <protection/>
    </xf>
    <xf numFmtId="0" fontId="3" fillId="0" borderId="37" xfId="0" applyNumberFormat="1" applyFont="1" applyBorder="1" applyAlignment="1" applyProtection="1">
      <alignment vertical="center" wrapText="1"/>
      <protection/>
    </xf>
    <xf numFmtId="0" fontId="4" fillId="0" borderId="36" xfId="0" applyNumberFormat="1" applyFont="1" applyBorder="1" applyAlignment="1" applyProtection="1">
      <alignment vertical="center" wrapText="1"/>
      <protection/>
    </xf>
    <xf numFmtId="0" fontId="4" fillId="0" borderId="26" xfId="0" applyNumberFormat="1" applyFont="1" applyBorder="1" applyAlignment="1" applyProtection="1">
      <alignment vertical="center" wrapText="1"/>
      <protection/>
    </xf>
    <xf numFmtId="41" fontId="12" fillId="33" borderId="15" xfId="0" applyNumberFormat="1" applyFont="1" applyFill="1" applyBorder="1" applyAlignment="1" applyProtection="1">
      <alignment vertical="center"/>
      <protection/>
    </xf>
    <xf numFmtId="41" fontId="12" fillId="33" borderId="21" xfId="0" applyNumberFormat="1" applyFont="1" applyFill="1" applyBorder="1" applyAlignment="1" applyProtection="1">
      <alignment vertical="center"/>
      <protection/>
    </xf>
    <xf numFmtId="42" fontId="12" fillId="35" borderId="9" xfId="0" applyNumberFormat="1" applyFont="1" applyFill="1" applyBorder="1" applyAlignment="1" applyProtection="1">
      <alignment horizontal="center" vertical="center"/>
      <protection locked="0"/>
    </xf>
    <xf numFmtId="42" fontId="12" fillId="35" borderId="13" xfId="0" applyNumberFormat="1" applyFont="1" applyFill="1" applyBorder="1" applyAlignment="1" applyProtection="1">
      <alignment horizontal="center" vertical="center"/>
      <protection locked="0"/>
    </xf>
    <xf numFmtId="0" fontId="4" fillId="0" borderId="12" xfId="59" applyFont="1" applyBorder="1" applyAlignment="1" applyProtection="1">
      <alignment horizontal="left"/>
      <protection/>
    </xf>
    <xf numFmtId="0" fontId="4" fillId="0" borderId="23" xfId="59" applyFont="1" applyBorder="1" applyAlignment="1" applyProtection="1">
      <alignment horizontal="left"/>
      <protection/>
    </xf>
    <xf numFmtId="0" fontId="4" fillId="0" borderId="25" xfId="59" applyFont="1" applyBorder="1" applyAlignment="1" applyProtection="1">
      <alignment horizontal="left"/>
      <protection/>
    </xf>
    <xf numFmtId="0" fontId="3" fillId="0" borderId="0" xfId="0" applyFont="1" applyBorder="1" applyAlignment="1" applyProtection="1">
      <alignment horizontal="center" vertical="center"/>
      <protection/>
    </xf>
    <xf numFmtId="0" fontId="4" fillId="0" borderId="9" xfId="59" applyFont="1" applyBorder="1" applyAlignment="1" applyProtection="1">
      <alignment vertical="center"/>
      <protection/>
    </xf>
    <xf numFmtId="0" fontId="4" fillId="0" borderId="13" xfId="59" applyFont="1" applyBorder="1" applyAlignment="1" applyProtection="1">
      <alignment vertical="center"/>
      <protection/>
    </xf>
    <xf numFmtId="0" fontId="4" fillId="0" borderId="17" xfId="59" applyFont="1" applyBorder="1" applyAlignment="1" applyProtection="1">
      <alignment vertical="center"/>
      <protection/>
    </xf>
    <xf numFmtId="0" fontId="3" fillId="0" borderId="12" xfId="0" applyFont="1" applyFill="1" applyBorder="1" applyAlignment="1" applyProtection="1">
      <alignment horizontal="left" vertical="center"/>
      <protection/>
    </xf>
    <xf numFmtId="0" fontId="3" fillId="0" borderId="23" xfId="0" applyFont="1" applyFill="1" applyBorder="1" applyAlignment="1" applyProtection="1">
      <alignment horizontal="left" vertical="center"/>
      <protection/>
    </xf>
    <xf numFmtId="0" fontId="12" fillId="35" borderId="11" xfId="0" applyFont="1" applyFill="1" applyBorder="1" applyAlignment="1" applyProtection="1">
      <alignment vertical="center" wrapText="1"/>
      <protection locked="0"/>
    </xf>
    <xf numFmtId="0" fontId="12" fillId="35" borderId="30" xfId="0" applyFont="1" applyFill="1" applyBorder="1" applyAlignment="1" applyProtection="1">
      <alignment vertical="center" wrapText="1"/>
      <protection locked="0"/>
    </xf>
    <xf numFmtId="0" fontId="12" fillId="35" borderId="9" xfId="0" applyFont="1" applyFill="1" applyBorder="1" applyAlignment="1" applyProtection="1">
      <alignment vertical="center" wrapText="1"/>
      <protection locked="0"/>
    </xf>
    <xf numFmtId="0" fontId="12" fillId="35" borderId="13" xfId="0" applyFont="1" applyFill="1" applyBorder="1" applyAlignment="1" applyProtection="1">
      <alignment vertical="center" wrapText="1"/>
      <protection locked="0"/>
    </xf>
    <xf numFmtId="0" fontId="12" fillId="35" borderId="17" xfId="0" applyFont="1" applyFill="1" applyBorder="1" applyAlignment="1" applyProtection="1">
      <alignment vertical="center" wrapText="1"/>
      <protection locked="0"/>
    </xf>
    <xf numFmtId="0" fontId="3" fillId="0" borderId="11" xfId="0" applyFont="1" applyBorder="1" applyAlignment="1" applyProtection="1">
      <alignment horizontal="center"/>
      <protection/>
    </xf>
    <xf numFmtId="0" fontId="12" fillId="35" borderId="9" xfId="0" applyFont="1" applyFill="1" applyBorder="1" applyAlignment="1" applyProtection="1">
      <alignment horizontal="left" vertical="center" wrapText="1"/>
      <protection locked="0"/>
    </xf>
    <xf numFmtId="0" fontId="12" fillId="35" borderId="13" xfId="0" applyFont="1" applyFill="1" applyBorder="1" applyAlignment="1" applyProtection="1">
      <alignment horizontal="left" vertical="center" wrapText="1"/>
      <protection locked="0"/>
    </xf>
    <xf numFmtId="0" fontId="12" fillId="35" borderId="17" xfId="0" applyFont="1" applyFill="1" applyBorder="1" applyAlignment="1" applyProtection="1">
      <alignment horizontal="left" vertical="center" wrapText="1"/>
      <protection locked="0"/>
    </xf>
    <xf numFmtId="0" fontId="12" fillId="35" borderId="9" xfId="0" applyFont="1" applyFill="1" applyBorder="1" applyAlignment="1" applyProtection="1">
      <alignment horizontal="center" vertical="center"/>
      <protection locked="0"/>
    </xf>
    <xf numFmtId="0" fontId="12" fillId="35" borderId="13" xfId="0" applyFont="1" applyFill="1" applyBorder="1" applyAlignment="1" applyProtection="1">
      <alignment horizontal="center" vertical="center"/>
      <protection locked="0"/>
    </xf>
    <xf numFmtId="0" fontId="12" fillId="35" borderId="17" xfId="0" applyFont="1" applyFill="1" applyBorder="1" applyAlignment="1" applyProtection="1">
      <alignment horizontal="center" vertical="center"/>
      <protection locked="0"/>
    </xf>
    <xf numFmtId="0" fontId="12" fillId="35" borderId="9" xfId="0" applyFont="1" applyFill="1" applyBorder="1" applyAlignment="1" applyProtection="1">
      <alignment vertical="center"/>
      <protection locked="0"/>
    </xf>
    <xf numFmtId="0" fontId="12" fillId="35" borderId="17" xfId="0" applyFont="1" applyFill="1" applyBorder="1" applyAlignment="1" applyProtection="1">
      <alignment vertical="center"/>
      <protection locked="0"/>
    </xf>
    <xf numFmtId="0" fontId="4" fillId="34" borderId="21" xfId="0" applyFont="1" applyFill="1" applyBorder="1" applyAlignment="1" applyProtection="1">
      <alignment vertical="center"/>
      <protection/>
    </xf>
    <xf numFmtId="0" fontId="4" fillId="34" borderId="57" xfId="0" applyFont="1" applyFill="1" applyBorder="1" applyAlignment="1" applyProtection="1">
      <alignment vertical="center"/>
      <protection/>
    </xf>
    <xf numFmtId="0" fontId="3" fillId="0" borderId="57" xfId="0" applyFont="1" applyBorder="1" applyAlignment="1" applyProtection="1">
      <alignment horizontal="center" vertical="center"/>
      <protection/>
    </xf>
    <xf numFmtId="0" fontId="3" fillId="0" borderId="47" xfId="0" applyFont="1" applyBorder="1" applyAlignment="1" applyProtection="1">
      <alignment horizontal="left"/>
      <protection/>
    </xf>
    <xf numFmtId="0" fontId="3" fillId="0" borderId="48" xfId="0" applyFont="1" applyBorder="1" applyAlignment="1" applyProtection="1">
      <alignment horizontal="left"/>
      <protection/>
    </xf>
    <xf numFmtId="0" fontId="4" fillId="0" borderId="9" xfId="0" applyFont="1" applyBorder="1" applyAlignment="1" applyProtection="1">
      <alignment/>
      <protection/>
    </xf>
    <xf numFmtId="0" fontId="4" fillId="0" borderId="17" xfId="0" applyFont="1" applyBorder="1" applyAlignment="1" applyProtection="1">
      <alignment/>
      <protection/>
    </xf>
    <xf numFmtId="0" fontId="3" fillId="0" borderId="49" xfId="0" applyFont="1" applyBorder="1" applyAlignment="1" applyProtection="1">
      <alignment horizontal="left"/>
      <protection/>
    </xf>
    <xf numFmtId="0" fontId="3" fillId="0" borderId="40" xfId="0" applyFont="1" applyBorder="1" applyAlignment="1" applyProtection="1">
      <alignment horizontal="left"/>
      <protection/>
    </xf>
    <xf numFmtId="0" fontId="3" fillId="0" borderId="13" xfId="0" applyFont="1" applyBorder="1" applyAlignment="1" applyProtection="1">
      <alignment horizontal="center"/>
      <protection/>
    </xf>
    <xf numFmtId="0" fontId="4" fillId="0" borderId="15" xfId="0" applyFont="1" applyBorder="1" applyAlignment="1" applyProtection="1">
      <alignment/>
      <protection/>
    </xf>
    <xf numFmtId="0" fontId="4" fillId="0" borderId="18" xfId="0" applyFont="1" applyBorder="1" applyAlignment="1" applyProtection="1">
      <alignment/>
      <protection/>
    </xf>
    <xf numFmtId="0" fontId="4" fillId="0" borderId="46" xfId="0" applyFont="1" applyBorder="1" applyAlignment="1" applyProtection="1">
      <alignment horizontal="left"/>
      <protection/>
    </xf>
    <xf numFmtId="0" fontId="4" fillId="0" borderId="0" xfId="0" applyFont="1" applyBorder="1" applyAlignment="1" applyProtection="1">
      <alignment horizontal="left"/>
      <protection/>
    </xf>
    <xf numFmtId="0" fontId="3" fillId="0" borderId="29" xfId="0" applyFont="1" applyBorder="1" applyAlignment="1" applyProtection="1">
      <alignment horizontal="left"/>
      <protection/>
    </xf>
    <xf numFmtId="0" fontId="3" fillId="0" borderId="50" xfId="0" applyFont="1" applyBorder="1" applyAlignment="1" applyProtection="1">
      <alignment horizontal="left"/>
      <protection/>
    </xf>
    <xf numFmtId="0" fontId="4" fillId="0" borderId="29" xfId="0" applyFont="1" applyBorder="1" applyAlignment="1" applyProtection="1">
      <alignment/>
      <protection/>
    </xf>
    <xf numFmtId="0" fontId="4" fillId="0" borderId="24" xfId="0" applyFont="1" applyBorder="1" applyAlignment="1" applyProtection="1">
      <alignment/>
      <protection/>
    </xf>
    <xf numFmtId="0" fontId="3" fillId="33" borderId="12" xfId="0" applyFont="1" applyFill="1" applyBorder="1" applyAlignment="1" applyProtection="1">
      <alignment/>
      <protection/>
    </xf>
    <xf numFmtId="0" fontId="3" fillId="33" borderId="23" xfId="0" applyFont="1" applyFill="1" applyBorder="1" applyAlignment="1" applyProtection="1">
      <alignment/>
      <protection/>
    </xf>
    <xf numFmtId="0" fontId="4" fillId="0" borderId="56" xfId="0" applyFont="1" applyBorder="1" applyAlignment="1" applyProtection="1">
      <alignment horizontal="left"/>
      <protection/>
    </xf>
    <xf numFmtId="0" fontId="4" fillId="0" borderId="57" xfId="0" applyFont="1" applyBorder="1" applyAlignment="1" applyProtection="1">
      <alignment horizontal="left"/>
      <protection/>
    </xf>
    <xf numFmtId="0" fontId="87" fillId="0" borderId="68" xfId="61" applyFont="1" applyBorder="1" applyAlignment="1" applyProtection="1">
      <alignment horizontal="center" wrapText="1"/>
      <protection/>
    </xf>
    <xf numFmtId="0" fontId="87" fillId="0" borderId="48" xfId="61" applyFont="1" applyBorder="1" applyAlignment="1" applyProtection="1">
      <alignment horizontal="center" wrapText="1"/>
      <protection/>
    </xf>
    <xf numFmtId="0" fontId="87" fillId="0" borderId="69" xfId="61" applyFont="1" applyBorder="1" applyAlignment="1" applyProtection="1">
      <alignment horizontal="center" wrapText="1"/>
      <protection/>
    </xf>
    <xf numFmtId="175" fontId="12" fillId="36" borderId="21" xfId="44" applyNumberFormat="1" applyFont="1" applyFill="1" applyBorder="1" applyAlignment="1" applyProtection="1">
      <alignment vertical="top" wrapText="1"/>
      <protection locked="0"/>
    </xf>
    <xf numFmtId="0" fontId="4" fillId="33" borderId="13" xfId="0" applyFont="1" applyFill="1" applyBorder="1" applyAlignment="1" applyProtection="1">
      <alignment horizontal="justify" vertical="top" wrapText="1"/>
      <protection/>
    </xf>
    <xf numFmtId="0" fontId="4" fillId="33" borderId="17" xfId="0" applyFont="1" applyFill="1" applyBorder="1" applyAlignment="1" applyProtection="1">
      <alignment horizontal="justify" vertical="top" wrapText="1"/>
      <protection/>
    </xf>
    <xf numFmtId="0" fontId="4" fillId="0" borderId="17" xfId="0" applyFont="1" applyBorder="1" applyAlignment="1" applyProtection="1">
      <alignment/>
      <protection/>
    </xf>
    <xf numFmtId="0" fontId="12" fillId="36" borderId="13" xfId="0" applyFont="1" applyFill="1" applyBorder="1" applyAlignment="1" applyProtection="1">
      <alignment horizontal="left" vertical="top" wrapText="1"/>
      <protection locked="0"/>
    </xf>
    <xf numFmtId="0" fontId="12" fillId="35" borderId="17" xfId="0" applyFont="1" applyFill="1" applyBorder="1" applyAlignment="1" applyProtection="1">
      <alignment horizontal="left" vertical="top" wrapText="1"/>
      <protection locked="0"/>
    </xf>
    <xf numFmtId="0" fontId="4" fillId="0" borderId="46" xfId="0" applyFont="1" applyBorder="1" applyAlignment="1" applyProtection="1">
      <alignment horizontal="center" vertical="center" textRotation="90" wrapText="1"/>
      <protection/>
    </xf>
    <xf numFmtId="175" fontId="12" fillId="36" borderId="13" xfId="44" applyNumberFormat="1" applyFont="1" applyFill="1" applyBorder="1" applyAlignment="1" applyProtection="1">
      <alignment vertical="top" wrapText="1"/>
      <protection locked="0"/>
    </xf>
    <xf numFmtId="175" fontId="12" fillId="36" borderId="17" xfId="44" applyNumberFormat="1" applyFont="1" applyFill="1" applyBorder="1" applyAlignment="1" applyProtection="1">
      <alignment vertical="top" wrapText="1"/>
      <protection locked="0"/>
    </xf>
    <xf numFmtId="0" fontId="3" fillId="33" borderId="28" xfId="0" applyFont="1" applyFill="1" applyBorder="1" applyAlignment="1" applyProtection="1">
      <alignment horizontal="center" vertical="center" wrapText="1"/>
      <protection/>
    </xf>
    <xf numFmtId="0" fontId="3" fillId="33" borderId="46" xfId="0" applyFont="1" applyFill="1" applyBorder="1" applyAlignment="1" applyProtection="1">
      <alignment horizontal="center" vertical="center" wrapText="1"/>
      <protection/>
    </xf>
    <xf numFmtId="0" fontId="4" fillId="0" borderId="13" xfId="0" applyFont="1" applyBorder="1" applyAlignment="1" applyProtection="1">
      <alignment vertical="center"/>
      <protection/>
    </xf>
    <xf numFmtId="0" fontId="3" fillId="0" borderId="15"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4" fillId="0" borderId="50" xfId="0" applyFont="1" applyBorder="1" applyAlignment="1" applyProtection="1">
      <alignment vertical="center"/>
      <protection/>
    </xf>
    <xf numFmtId="0" fontId="3" fillId="0" borderId="14" xfId="0" applyFont="1" applyBorder="1" applyAlignment="1" applyProtection="1">
      <alignment horizontal="center" vertical="center" wrapText="1"/>
      <protection/>
    </xf>
    <xf numFmtId="0" fontId="3" fillId="33" borderId="36"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41" fontId="12" fillId="36" borderId="9" xfId="42" applyNumberFormat="1" applyFont="1" applyFill="1" applyBorder="1" applyAlignment="1" applyProtection="1">
      <alignment horizontal="center" vertical="top" wrapText="1"/>
      <protection locked="0"/>
    </xf>
    <xf numFmtId="41" fontId="12" fillId="36" borderId="13" xfId="42" applyNumberFormat="1" applyFont="1" applyFill="1" applyBorder="1" applyAlignment="1" applyProtection="1">
      <alignment horizontal="center" vertical="top" wrapText="1"/>
      <protection locked="0"/>
    </xf>
    <xf numFmtId="0" fontId="12" fillId="36" borderId="29" xfId="0" applyFont="1" applyFill="1" applyBorder="1" applyAlignment="1" applyProtection="1">
      <alignment horizontal="center" vertical="top" wrapText="1"/>
      <protection locked="0"/>
    </xf>
    <xf numFmtId="0" fontId="12" fillId="36" borderId="50" xfId="0" applyFont="1" applyFill="1" applyBorder="1" applyAlignment="1" applyProtection="1">
      <alignment horizontal="center" vertical="top" wrapText="1"/>
      <protection locked="0"/>
    </xf>
    <xf numFmtId="0" fontId="12" fillId="36" borderId="24" xfId="0" applyFont="1" applyFill="1" applyBorder="1" applyAlignment="1" applyProtection="1">
      <alignment horizontal="center" vertical="top" wrapText="1"/>
      <protection locked="0"/>
    </xf>
    <xf numFmtId="0" fontId="12" fillId="36" borderId="9" xfId="0" applyFont="1" applyFill="1" applyBorder="1" applyAlignment="1" applyProtection="1">
      <alignment horizontal="center" vertical="top" wrapText="1"/>
      <protection locked="0"/>
    </xf>
    <xf numFmtId="0" fontId="12" fillId="36" borderId="13" xfId="0" applyFont="1" applyFill="1" applyBorder="1" applyAlignment="1" applyProtection="1">
      <alignment horizontal="center" vertical="top" wrapText="1"/>
      <protection locked="0"/>
    </xf>
    <xf numFmtId="0" fontId="12" fillId="36" borderId="17" xfId="0" applyFont="1" applyFill="1" applyBorder="1" applyAlignment="1" applyProtection="1">
      <alignment horizontal="center" vertical="top" wrapText="1"/>
      <protection locked="0"/>
    </xf>
    <xf numFmtId="0" fontId="3" fillId="0" borderId="0" xfId="0" applyFont="1" applyAlignment="1" applyProtection="1">
      <alignment horizontal="center" wrapText="1"/>
      <protection/>
    </xf>
    <xf numFmtId="0" fontId="12" fillId="36" borderId="29" xfId="0" applyFont="1" applyFill="1" applyBorder="1" applyAlignment="1" applyProtection="1">
      <alignment vertical="top" wrapText="1"/>
      <protection locked="0"/>
    </xf>
    <xf numFmtId="0" fontId="12" fillId="36" borderId="50" xfId="0" applyFont="1" applyFill="1" applyBorder="1" applyAlignment="1" applyProtection="1">
      <alignment vertical="top" wrapText="1"/>
      <protection locked="0"/>
    </xf>
    <xf numFmtId="0" fontId="12" fillId="36" borderId="24" xfId="0" applyFont="1" applyFill="1" applyBorder="1" applyAlignment="1" applyProtection="1">
      <alignment vertical="top" wrapText="1"/>
      <protection locked="0"/>
    </xf>
    <xf numFmtId="0" fontId="3" fillId="0" borderId="21" xfId="0" applyFont="1" applyBorder="1" applyAlignment="1" applyProtection="1">
      <alignment horizontal="center" wrapText="1"/>
      <protection/>
    </xf>
    <xf numFmtId="0" fontId="4" fillId="0" borderId="21" xfId="0" applyFont="1" applyBorder="1" applyAlignment="1" applyProtection="1">
      <alignment/>
      <protection/>
    </xf>
    <xf numFmtId="0" fontId="4" fillId="0" borderId="18" xfId="0" applyFont="1" applyBorder="1" applyAlignment="1" applyProtection="1">
      <alignment/>
      <protection/>
    </xf>
    <xf numFmtId="0" fontId="3" fillId="0" borderId="26" xfId="0" applyFont="1" applyBorder="1" applyAlignment="1" applyProtection="1">
      <alignment horizontal="center" vertical="center" textRotation="90"/>
      <protection/>
    </xf>
    <xf numFmtId="0" fontId="3" fillId="0" borderId="33" xfId="0" applyFont="1" applyBorder="1" applyAlignment="1" applyProtection="1">
      <alignment horizontal="center" vertical="center" textRotation="90"/>
      <protection/>
    </xf>
    <xf numFmtId="0" fontId="3" fillId="0" borderId="18" xfId="0" applyFont="1" applyBorder="1" applyAlignment="1" applyProtection="1">
      <alignment horizontal="center" vertical="center" textRotation="90"/>
      <protection/>
    </xf>
    <xf numFmtId="37" fontId="3" fillId="33" borderId="11" xfId="0" applyNumberFormat="1" applyFont="1" applyFill="1" applyBorder="1" applyAlignment="1" applyProtection="1">
      <alignment horizontal="center" vertical="center" wrapText="1"/>
      <protection/>
    </xf>
    <xf numFmtId="37" fontId="3" fillId="33" borderId="9" xfId="0" applyNumberFormat="1" applyFont="1" applyFill="1" applyBorder="1" applyAlignment="1" applyProtection="1">
      <alignment horizontal="center" vertical="center" wrapText="1"/>
      <protection/>
    </xf>
    <xf numFmtId="41" fontId="4" fillId="0" borderId="42" xfId="0" applyNumberFormat="1" applyFont="1" applyBorder="1" applyAlignment="1" applyProtection="1">
      <alignment/>
      <protection/>
    </xf>
    <xf numFmtId="41" fontId="4" fillId="0" borderId="39" xfId="0" applyNumberFormat="1" applyFont="1" applyBorder="1" applyAlignment="1" applyProtection="1">
      <alignment/>
      <protection/>
    </xf>
    <xf numFmtId="0" fontId="3" fillId="0" borderId="21" xfId="0" applyFont="1" applyBorder="1" applyAlignment="1" applyProtection="1">
      <alignment horizontal="center"/>
      <protection/>
    </xf>
    <xf numFmtId="41" fontId="12" fillId="35" borderId="12" xfId="0" applyNumberFormat="1" applyFont="1" applyFill="1" applyBorder="1" applyAlignment="1" applyProtection="1">
      <alignment vertical="center"/>
      <protection locked="0"/>
    </xf>
    <xf numFmtId="41" fontId="12" fillId="35" borderId="25" xfId="0" applyNumberFormat="1" applyFont="1" applyFill="1" applyBorder="1" applyAlignment="1" applyProtection="1">
      <alignment vertical="center"/>
      <protection locked="0"/>
    </xf>
    <xf numFmtId="41" fontId="12" fillId="36" borderId="29" xfId="42" applyNumberFormat="1" applyFont="1" applyFill="1" applyBorder="1" applyAlignment="1" applyProtection="1">
      <alignment horizontal="center" vertical="top" wrapText="1"/>
      <protection locked="0"/>
    </xf>
    <xf numFmtId="41" fontId="12" fillId="36" borderId="50" xfId="42" applyNumberFormat="1" applyFont="1" applyFill="1" applyBorder="1" applyAlignment="1" applyProtection="1">
      <alignment horizontal="center" vertical="top" wrapText="1"/>
      <protection locked="0"/>
    </xf>
    <xf numFmtId="0" fontId="3" fillId="33" borderId="90"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33" borderId="9"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37" fontId="3" fillId="33" borderId="11" xfId="0" applyNumberFormat="1" applyFont="1" applyFill="1" applyBorder="1" applyAlignment="1" applyProtection="1" quotePrefix="1">
      <alignment horizontal="center" vertical="center" wrapText="1"/>
      <protection/>
    </xf>
    <xf numFmtId="0" fontId="4" fillId="0" borderId="13" xfId="0" applyFont="1" applyFill="1" applyBorder="1" applyAlignment="1" applyProtection="1">
      <alignment wrapText="1"/>
      <protection/>
    </xf>
    <xf numFmtId="0" fontId="3" fillId="0" borderId="14" xfId="0" applyFont="1" applyBorder="1" applyAlignment="1" applyProtection="1">
      <alignment horizontal="center" wrapText="1"/>
      <protection/>
    </xf>
    <xf numFmtId="41" fontId="12" fillId="35" borderId="23" xfId="0" applyNumberFormat="1" applyFont="1" applyFill="1" applyBorder="1" applyAlignment="1" applyProtection="1">
      <alignment vertical="center"/>
      <protection locked="0"/>
    </xf>
    <xf numFmtId="0" fontId="3" fillId="0" borderId="49" xfId="0" applyFont="1" applyBorder="1" applyAlignment="1" applyProtection="1">
      <alignment vertical="center" wrapText="1"/>
      <protection/>
    </xf>
    <xf numFmtId="0" fontId="3" fillId="0" borderId="40" xfId="0" applyFont="1" applyBorder="1" applyAlignment="1" applyProtection="1">
      <alignment vertical="center" wrapText="1"/>
      <protection/>
    </xf>
    <xf numFmtId="0" fontId="3" fillId="0" borderId="47" xfId="0" applyFont="1" applyBorder="1" applyAlignment="1" applyProtection="1">
      <alignment vertical="center" wrapText="1"/>
      <protection/>
    </xf>
    <xf numFmtId="0" fontId="3" fillId="0" borderId="48" xfId="0" applyFont="1" applyBorder="1" applyAlignment="1" applyProtection="1">
      <alignment vertical="center" wrapText="1"/>
      <protection/>
    </xf>
    <xf numFmtId="0" fontId="4" fillId="0" borderId="11" xfId="0" applyFont="1" applyBorder="1" applyAlignment="1" applyProtection="1">
      <alignment vertical="center" wrapText="1"/>
      <protection/>
    </xf>
    <xf numFmtId="0" fontId="4" fillId="0" borderId="49" xfId="0" applyFont="1" applyBorder="1" applyAlignment="1" applyProtection="1">
      <alignment vertical="center" wrapText="1"/>
      <protection/>
    </xf>
    <xf numFmtId="0" fontId="4" fillId="0" borderId="31" xfId="0" applyFont="1" applyBorder="1" applyAlignment="1" applyProtection="1">
      <alignment vertical="center" wrapText="1"/>
      <protection/>
    </xf>
    <xf numFmtId="0" fontId="4" fillId="0" borderId="29" xfId="0" applyFont="1" applyBorder="1" applyAlignment="1" applyProtection="1">
      <alignment vertical="center" wrapText="1"/>
      <protection/>
    </xf>
    <xf numFmtId="0" fontId="4" fillId="0" borderId="24" xfId="0" applyFont="1" applyBorder="1" applyAlignment="1" applyProtection="1">
      <alignment vertical="center" wrapText="1"/>
      <protection/>
    </xf>
    <xf numFmtId="0" fontId="4" fillId="0" borderId="9" xfId="0" applyFont="1" applyBorder="1" applyAlignment="1" applyProtection="1">
      <alignment vertical="center" wrapText="1"/>
      <protection/>
    </xf>
    <xf numFmtId="0" fontId="4" fillId="0" borderId="17" xfId="0" applyFont="1" applyBorder="1" applyAlignment="1" applyProtection="1">
      <alignment vertical="center" wrapText="1"/>
      <protection/>
    </xf>
    <xf numFmtId="37" fontId="12" fillId="35" borderId="36" xfId="0" applyNumberFormat="1" applyFont="1" applyFill="1" applyBorder="1" applyAlignment="1" applyProtection="1">
      <alignment vertical="center" wrapText="1"/>
      <protection locked="0"/>
    </xf>
    <xf numFmtId="37" fontId="12" fillId="35" borderId="46" xfId="0" applyNumberFormat="1" applyFont="1" applyFill="1" applyBorder="1" applyAlignment="1" applyProtection="1">
      <alignment vertical="center" wrapText="1"/>
      <protection locked="0"/>
    </xf>
    <xf numFmtId="37" fontId="12" fillId="35" borderId="49" xfId="0" applyNumberFormat="1" applyFont="1" applyFill="1" applyBorder="1" applyAlignment="1" applyProtection="1">
      <alignment vertical="center" wrapText="1"/>
      <protection locked="0"/>
    </xf>
    <xf numFmtId="37" fontId="12" fillId="35" borderId="15" xfId="0" applyNumberFormat="1" applyFont="1" applyFill="1" applyBorder="1" applyAlignment="1" applyProtection="1">
      <alignment vertical="center" wrapText="1"/>
      <protection locked="0"/>
    </xf>
    <xf numFmtId="0" fontId="3" fillId="0" borderId="32" xfId="0" applyFont="1" applyBorder="1" applyAlignment="1" applyProtection="1">
      <alignment horizont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Percent 2" xfId="66"/>
    <cellStyle name="Percent 3" xfId="67"/>
    <cellStyle name="Style 1" xfId="68"/>
    <cellStyle name="Title" xfId="69"/>
    <cellStyle name="Total" xfId="70"/>
    <cellStyle name="Warning Text" xfId="71"/>
  </cellStyles>
  <dxfs count="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fill>
        <patternFill>
          <bgColor indexed="9"/>
        </patternFill>
      </fill>
    </dxf>
    <dxf>
      <font>
        <color indexed="9"/>
      </font>
      <fill>
        <patternFill>
          <bgColor indexed="9"/>
        </patternFill>
      </fill>
    </dxf>
    <dxf>
      <font>
        <color rgb="FF9C0006"/>
      </font>
      <fill>
        <patternFill>
          <bgColor rgb="FFFFC7CE"/>
        </patternFill>
      </fill>
    </dxf>
    <dxf>
      <font>
        <color indexed="9"/>
      </font>
      <fill>
        <patternFill>
          <bgColor indexed="9"/>
        </patternFill>
      </fill>
    </dxf>
    <dxf>
      <font>
        <color rgb="FF9C0006"/>
      </font>
      <fill>
        <patternFill>
          <bgColor rgb="FFFFC7CE"/>
        </patternFill>
      </fill>
    </dxf>
    <dxf>
      <font>
        <color rgb="FF9C0006"/>
      </font>
      <fill>
        <patternFill>
          <bgColor rgb="FFFFC7CE"/>
        </patternFill>
      </fill>
    </dxf>
    <dxf>
      <font>
        <color indexed="9"/>
      </font>
      <fill>
        <patternFill>
          <bgColor indexed="9"/>
        </patternFill>
      </fill>
    </dxf>
    <dxf>
      <font>
        <color rgb="FF9C0006"/>
      </font>
      <fill>
        <patternFill>
          <bgColor rgb="FFFFC7CE"/>
        </patternFill>
      </fill>
    </dxf>
    <dxf>
      <font>
        <color indexed="9"/>
      </font>
    </dxf>
    <dxf>
      <font>
        <color auto="1"/>
      </font>
      <fill>
        <patternFill>
          <bgColor indexed="9"/>
        </patternFill>
      </fill>
    </dxf>
    <dxf>
      <font>
        <color indexed="9"/>
      </font>
      <fill>
        <patternFill>
          <bgColor indexed="9"/>
        </patternFill>
      </fill>
    </dxf>
    <dxf>
      <font>
        <color rgb="FF9C0006"/>
      </font>
      <fill>
        <patternFill>
          <bgColor rgb="FFFFC7CE"/>
        </patternFill>
      </fill>
    </dxf>
    <dxf>
      <font>
        <color rgb="FF9C0006"/>
      </font>
      <fill>
        <patternFill>
          <bgColor rgb="FFFFC7CE"/>
        </patternFill>
      </fill>
    </dxf>
    <dxf>
      <font>
        <color indexed="9"/>
      </font>
      <fill>
        <patternFill>
          <bgColor indexe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800100</xdr:colOff>
      <xdr:row>4</xdr:row>
      <xdr:rowOff>85725</xdr:rowOff>
    </xdr:to>
    <xdr:pic>
      <xdr:nvPicPr>
        <xdr:cNvPr id="1" name="Picture 1" descr="logo_forms.tif"/>
        <xdr:cNvPicPr preferRelativeResize="1">
          <a:picLocks noChangeAspect="1"/>
        </xdr:cNvPicPr>
      </xdr:nvPicPr>
      <xdr:blipFill>
        <a:blip r:embed="rId1"/>
        <a:stretch>
          <a:fillRect/>
        </a:stretch>
      </xdr:blipFill>
      <xdr:spPr>
        <a:xfrm>
          <a:off x="0" y="0"/>
          <a:ext cx="800100" cy="733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828675</xdr:colOff>
      <xdr:row>21</xdr:row>
      <xdr:rowOff>0</xdr:rowOff>
    </xdr:from>
    <xdr:ext cx="228600" cy="266700"/>
    <xdr:sp>
      <xdr:nvSpPr>
        <xdr:cNvPr id="1" name="Rectangle 27"/>
        <xdr:cNvSpPr>
          <a:spLocks/>
        </xdr:cNvSpPr>
      </xdr:nvSpPr>
      <xdr:spPr>
        <a:xfrm>
          <a:off x="1162050" y="4800600"/>
          <a:ext cx="2286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21</xdr:row>
      <xdr:rowOff>0</xdr:rowOff>
    </xdr:from>
    <xdr:ext cx="228600" cy="266700"/>
    <xdr:sp>
      <xdr:nvSpPr>
        <xdr:cNvPr id="2" name="Rectangle 2"/>
        <xdr:cNvSpPr>
          <a:spLocks/>
        </xdr:cNvSpPr>
      </xdr:nvSpPr>
      <xdr:spPr>
        <a:xfrm>
          <a:off x="1162050" y="4800600"/>
          <a:ext cx="2286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21</xdr:row>
      <xdr:rowOff>0</xdr:rowOff>
    </xdr:from>
    <xdr:ext cx="228600" cy="266700"/>
    <xdr:sp>
      <xdr:nvSpPr>
        <xdr:cNvPr id="3" name="Rectangle 2"/>
        <xdr:cNvSpPr>
          <a:spLocks/>
        </xdr:cNvSpPr>
      </xdr:nvSpPr>
      <xdr:spPr>
        <a:xfrm>
          <a:off x="1162050" y="4800600"/>
          <a:ext cx="2286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21</xdr:row>
      <xdr:rowOff>0</xdr:rowOff>
    </xdr:from>
    <xdr:ext cx="228600" cy="266700"/>
    <xdr:sp>
      <xdr:nvSpPr>
        <xdr:cNvPr id="4" name="Rectangle 2"/>
        <xdr:cNvSpPr>
          <a:spLocks/>
        </xdr:cNvSpPr>
      </xdr:nvSpPr>
      <xdr:spPr>
        <a:xfrm>
          <a:off x="1162050" y="4800600"/>
          <a:ext cx="2286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21</xdr:row>
      <xdr:rowOff>0</xdr:rowOff>
    </xdr:from>
    <xdr:ext cx="228600" cy="266700"/>
    <xdr:sp>
      <xdr:nvSpPr>
        <xdr:cNvPr id="5" name="Rectangle 2"/>
        <xdr:cNvSpPr>
          <a:spLocks/>
        </xdr:cNvSpPr>
      </xdr:nvSpPr>
      <xdr:spPr>
        <a:xfrm>
          <a:off x="1162050" y="4800600"/>
          <a:ext cx="2286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228600" cy="38100"/>
    <xdr:sp>
      <xdr:nvSpPr>
        <xdr:cNvPr id="6" name="Rectangle 4"/>
        <xdr:cNvSpPr>
          <a:spLocks/>
        </xdr:cNvSpPr>
      </xdr:nvSpPr>
      <xdr:spPr>
        <a:xfrm>
          <a:off x="333375" y="6057900"/>
          <a:ext cx="2286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228600" cy="38100"/>
    <xdr:sp>
      <xdr:nvSpPr>
        <xdr:cNvPr id="7" name="Rectangle 1"/>
        <xdr:cNvSpPr>
          <a:spLocks/>
        </xdr:cNvSpPr>
      </xdr:nvSpPr>
      <xdr:spPr>
        <a:xfrm>
          <a:off x="333375" y="6057900"/>
          <a:ext cx="2286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228600" cy="38100"/>
    <xdr:sp>
      <xdr:nvSpPr>
        <xdr:cNvPr id="8" name="Rectangle 1"/>
        <xdr:cNvSpPr>
          <a:spLocks/>
        </xdr:cNvSpPr>
      </xdr:nvSpPr>
      <xdr:spPr>
        <a:xfrm>
          <a:off x="333375" y="6057900"/>
          <a:ext cx="2286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228600" cy="142875"/>
    <xdr:sp>
      <xdr:nvSpPr>
        <xdr:cNvPr id="9" name="Rectangle 4"/>
        <xdr:cNvSpPr>
          <a:spLocks/>
        </xdr:cNvSpPr>
      </xdr:nvSpPr>
      <xdr:spPr>
        <a:xfrm>
          <a:off x="333375" y="6057900"/>
          <a:ext cx="2286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228600" cy="38100"/>
    <xdr:sp>
      <xdr:nvSpPr>
        <xdr:cNvPr id="10" name="Rectangle 4"/>
        <xdr:cNvSpPr>
          <a:spLocks/>
        </xdr:cNvSpPr>
      </xdr:nvSpPr>
      <xdr:spPr>
        <a:xfrm>
          <a:off x="333375" y="6057900"/>
          <a:ext cx="2286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228600" cy="142875"/>
    <xdr:sp>
      <xdr:nvSpPr>
        <xdr:cNvPr id="11" name="Rectangle 4"/>
        <xdr:cNvSpPr>
          <a:spLocks/>
        </xdr:cNvSpPr>
      </xdr:nvSpPr>
      <xdr:spPr>
        <a:xfrm>
          <a:off x="333375" y="6057900"/>
          <a:ext cx="2286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228600" cy="190500"/>
    <xdr:sp>
      <xdr:nvSpPr>
        <xdr:cNvPr id="12" name="Rectangle 4"/>
        <xdr:cNvSpPr>
          <a:spLocks/>
        </xdr:cNvSpPr>
      </xdr:nvSpPr>
      <xdr:spPr>
        <a:xfrm>
          <a:off x="333375" y="6057900"/>
          <a:ext cx="2286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228600" cy="38100"/>
    <xdr:sp>
      <xdr:nvSpPr>
        <xdr:cNvPr id="13" name="Rectangle 4"/>
        <xdr:cNvSpPr>
          <a:spLocks/>
        </xdr:cNvSpPr>
      </xdr:nvSpPr>
      <xdr:spPr>
        <a:xfrm>
          <a:off x="333375" y="6057900"/>
          <a:ext cx="2286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228600" cy="38100"/>
    <xdr:sp>
      <xdr:nvSpPr>
        <xdr:cNvPr id="14" name="Rectangle 1"/>
        <xdr:cNvSpPr>
          <a:spLocks/>
        </xdr:cNvSpPr>
      </xdr:nvSpPr>
      <xdr:spPr>
        <a:xfrm>
          <a:off x="333375" y="6057900"/>
          <a:ext cx="2286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228600" cy="38100"/>
    <xdr:sp>
      <xdr:nvSpPr>
        <xdr:cNvPr id="15" name="Rectangle 1"/>
        <xdr:cNvSpPr>
          <a:spLocks/>
        </xdr:cNvSpPr>
      </xdr:nvSpPr>
      <xdr:spPr>
        <a:xfrm>
          <a:off x="333375" y="6057900"/>
          <a:ext cx="2286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228600" cy="38100"/>
    <xdr:sp>
      <xdr:nvSpPr>
        <xdr:cNvPr id="16" name="Rectangle 4"/>
        <xdr:cNvSpPr>
          <a:spLocks/>
        </xdr:cNvSpPr>
      </xdr:nvSpPr>
      <xdr:spPr>
        <a:xfrm>
          <a:off x="333375" y="6057900"/>
          <a:ext cx="2286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1000125</xdr:colOff>
      <xdr:row>22</xdr:row>
      <xdr:rowOff>0</xdr:rowOff>
    </xdr:from>
    <xdr:ext cx="647700" cy="390525"/>
    <xdr:sp>
      <xdr:nvSpPr>
        <xdr:cNvPr id="17" name="Rectangle 2"/>
        <xdr:cNvSpPr>
          <a:spLocks/>
        </xdr:cNvSpPr>
      </xdr:nvSpPr>
      <xdr:spPr>
        <a:xfrm>
          <a:off x="2162175" y="4991100"/>
          <a:ext cx="6477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1000125</xdr:colOff>
      <xdr:row>22</xdr:row>
      <xdr:rowOff>0</xdr:rowOff>
    </xdr:from>
    <xdr:ext cx="647700" cy="390525"/>
    <xdr:sp>
      <xdr:nvSpPr>
        <xdr:cNvPr id="18" name="Rectangle 2"/>
        <xdr:cNvSpPr>
          <a:spLocks/>
        </xdr:cNvSpPr>
      </xdr:nvSpPr>
      <xdr:spPr>
        <a:xfrm>
          <a:off x="2162175" y="4991100"/>
          <a:ext cx="6477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24</xdr:row>
      <xdr:rowOff>0</xdr:rowOff>
    </xdr:from>
    <xdr:ext cx="228600" cy="276225"/>
    <xdr:sp>
      <xdr:nvSpPr>
        <xdr:cNvPr id="19" name="Rectangle 27"/>
        <xdr:cNvSpPr>
          <a:spLocks/>
        </xdr:cNvSpPr>
      </xdr:nvSpPr>
      <xdr:spPr>
        <a:xfrm>
          <a:off x="1162050" y="6057900"/>
          <a:ext cx="2286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24</xdr:row>
      <xdr:rowOff>0</xdr:rowOff>
    </xdr:from>
    <xdr:ext cx="228600" cy="276225"/>
    <xdr:sp>
      <xdr:nvSpPr>
        <xdr:cNvPr id="20" name="Rectangle 2"/>
        <xdr:cNvSpPr>
          <a:spLocks/>
        </xdr:cNvSpPr>
      </xdr:nvSpPr>
      <xdr:spPr>
        <a:xfrm>
          <a:off x="1162050" y="6057900"/>
          <a:ext cx="2286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24</xdr:row>
      <xdr:rowOff>0</xdr:rowOff>
    </xdr:from>
    <xdr:ext cx="228600" cy="276225"/>
    <xdr:sp>
      <xdr:nvSpPr>
        <xdr:cNvPr id="21" name="Rectangle 2"/>
        <xdr:cNvSpPr>
          <a:spLocks/>
        </xdr:cNvSpPr>
      </xdr:nvSpPr>
      <xdr:spPr>
        <a:xfrm>
          <a:off x="1162050" y="6057900"/>
          <a:ext cx="2286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24</xdr:row>
      <xdr:rowOff>0</xdr:rowOff>
    </xdr:from>
    <xdr:ext cx="228600" cy="276225"/>
    <xdr:sp>
      <xdr:nvSpPr>
        <xdr:cNvPr id="22" name="Rectangle 2"/>
        <xdr:cNvSpPr>
          <a:spLocks/>
        </xdr:cNvSpPr>
      </xdr:nvSpPr>
      <xdr:spPr>
        <a:xfrm>
          <a:off x="1162050" y="6057900"/>
          <a:ext cx="2286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24</xdr:row>
      <xdr:rowOff>0</xdr:rowOff>
    </xdr:from>
    <xdr:ext cx="228600" cy="276225"/>
    <xdr:sp>
      <xdr:nvSpPr>
        <xdr:cNvPr id="23" name="Rectangle 2"/>
        <xdr:cNvSpPr>
          <a:spLocks/>
        </xdr:cNvSpPr>
      </xdr:nvSpPr>
      <xdr:spPr>
        <a:xfrm>
          <a:off x="1162050" y="6057900"/>
          <a:ext cx="2286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1000125</xdr:colOff>
      <xdr:row>36</xdr:row>
      <xdr:rowOff>0</xdr:rowOff>
    </xdr:from>
    <xdr:ext cx="1228725" cy="85725"/>
    <xdr:sp>
      <xdr:nvSpPr>
        <xdr:cNvPr id="1" name="Rectangle 2"/>
        <xdr:cNvSpPr>
          <a:spLocks/>
        </xdr:cNvSpPr>
      </xdr:nvSpPr>
      <xdr:spPr>
        <a:xfrm>
          <a:off x="1190625" y="10382250"/>
          <a:ext cx="12287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1000125</xdr:colOff>
      <xdr:row>36</xdr:row>
      <xdr:rowOff>0</xdr:rowOff>
    </xdr:from>
    <xdr:ext cx="1228725" cy="85725"/>
    <xdr:sp>
      <xdr:nvSpPr>
        <xdr:cNvPr id="2" name="Rectangle 2"/>
        <xdr:cNvSpPr>
          <a:spLocks/>
        </xdr:cNvSpPr>
      </xdr:nvSpPr>
      <xdr:spPr>
        <a:xfrm>
          <a:off x="1190625" y="10382250"/>
          <a:ext cx="12287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26</xdr:row>
      <xdr:rowOff>0</xdr:rowOff>
    </xdr:from>
    <xdr:ext cx="752475" cy="409575"/>
    <xdr:sp>
      <xdr:nvSpPr>
        <xdr:cNvPr id="3" name="Rectangle 2"/>
        <xdr:cNvSpPr>
          <a:spLocks/>
        </xdr:cNvSpPr>
      </xdr:nvSpPr>
      <xdr:spPr>
        <a:xfrm>
          <a:off x="2152650" y="6134100"/>
          <a:ext cx="752475"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26</xdr:row>
      <xdr:rowOff>0</xdr:rowOff>
    </xdr:from>
    <xdr:ext cx="752475" cy="409575"/>
    <xdr:sp>
      <xdr:nvSpPr>
        <xdr:cNvPr id="4" name="Rectangle 2"/>
        <xdr:cNvSpPr>
          <a:spLocks/>
        </xdr:cNvSpPr>
      </xdr:nvSpPr>
      <xdr:spPr>
        <a:xfrm>
          <a:off x="2152650" y="6134100"/>
          <a:ext cx="752475"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1000125</xdr:colOff>
      <xdr:row>22</xdr:row>
      <xdr:rowOff>0</xdr:rowOff>
    </xdr:from>
    <xdr:ext cx="228600" cy="266700"/>
    <xdr:sp>
      <xdr:nvSpPr>
        <xdr:cNvPr id="5" name="Rectangle 2"/>
        <xdr:cNvSpPr>
          <a:spLocks/>
        </xdr:cNvSpPr>
      </xdr:nvSpPr>
      <xdr:spPr>
        <a:xfrm>
          <a:off x="1190625" y="5114925"/>
          <a:ext cx="2286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1000125</xdr:colOff>
      <xdr:row>22</xdr:row>
      <xdr:rowOff>0</xdr:rowOff>
    </xdr:from>
    <xdr:ext cx="228600" cy="266700"/>
    <xdr:sp>
      <xdr:nvSpPr>
        <xdr:cNvPr id="6" name="Rectangle 2"/>
        <xdr:cNvSpPr>
          <a:spLocks/>
        </xdr:cNvSpPr>
      </xdr:nvSpPr>
      <xdr:spPr>
        <a:xfrm>
          <a:off x="1190625" y="5114925"/>
          <a:ext cx="2286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1000125</xdr:colOff>
      <xdr:row>22</xdr:row>
      <xdr:rowOff>0</xdr:rowOff>
    </xdr:from>
    <xdr:ext cx="228600" cy="266700"/>
    <xdr:sp>
      <xdr:nvSpPr>
        <xdr:cNvPr id="7" name="Rectangle 2"/>
        <xdr:cNvSpPr>
          <a:spLocks/>
        </xdr:cNvSpPr>
      </xdr:nvSpPr>
      <xdr:spPr>
        <a:xfrm>
          <a:off x="1190625" y="5114925"/>
          <a:ext cx="2286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1000125</xdr:colOff>
      <xdr:row>22</xdr:row>
      <xdr:rowOff>0</xdr:rowOff>
    </xdr:from>
    <xdr:ext cx="228600" cy="266700"/>
    <xdr:sp>
      <xdr:nvSpPr>
        <xdr:cNvPr id="8" name="Rectangle 2"/>
        <xdr:cNvSpPr>
          <a:spLocks/>
        </xdr:cNvSpPr>
      </xdr:nvSpPr>
      <xdr:spPr>
        <a:xfrm>
          <a:off x="1190625" y="5114925"/>
          <a:ext cx="2286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219075" cy="38100"/>
    <xdr:sp>
      <xdr:nvSpPr>
        <xdr:cNvPr id="9" name="Rectangle 4"/>
        <xdr:cNvSpPr>
          <a:spLocks/>
        </xdr:cNvSpPr>
      </xdr:nvSpPr>
      <xdr:spPr>
        <a:xfrm>
          <a:off x="190500" y="6905625"/>
          <a:ext cx="2190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219075" cy="38100"/>
    <xdr:sp>
      <xdr:nvSpPr>
        <xdr:cNvPr id="10" name="Rectangle 1"/>
        <xdr:cNvSpPr>
          <a:spLocks/>
        </xdr:cNvSpPr>
      </xdr:nvSpPr>
      <xdr:spPr>
        <a:xfrm>
          <a:off x="190500" y="6905625"/>
          <a:ext cx="2190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219075" cy="38100"/>
    <xdr:sp>
      <xdr:nvSpPr>
        <xdr:cNvPr id="11" name="Rectangle 1"/>
        <xdr:cNvSpPr>
          <a:spLocks/>
        </xdr:cNvSpPr>
      </xdr:nvSpPr>
      <xdr:spPr>
        <a:xfrm>
          <a:off x="190500" y="6905625"/>
          <a:ext cx="2190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219075" cy="133350"/>
    <xdr:sp>
      <xdr:nvSpPr>
        <xdr:cNvPr id="12" name="Rectangle 4"/>
        <xdr:cNvSpPr>
          <a:spLocks/>
        </xdr:cNvSpPr>
      </xdr:nvSpPr>
      <xdr:spPr>
        <a:xfrm>
          <a:off x="190500" y="6905625"/>
          <a:ext cx="21907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219075" cy="38100"/>
    <xdr:sp>
      <xdr:nvSpPr>
        <xdr:cNvPr id="13" name="Rectangle 4"/>
        <xdr:cNvSpPr>
          <a:spLocks/>
        </xdr:cNvSpPr>
      </xdr:nvSpPr>
      <xdr:spPr>
        <a:xfrm>
          <a:off x="190500" y="6905625"/>
          <a:ext cx="2190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219075" cy="133350"/>
    <xdr:sp>
      <xdr:nvSpPr>
        <xdr:cNvPr id="14" name="Rectangle 4"/>
        <xdr:cNvSpPr>
          <a:spLocks/>
        </xdr:cNvSpPr>
      </xdr:nvSpPr>
      <xdr:spPr>
        <a:xfrm>
          <a:off x="190500" y="6905625"/>
          <a:ext cx="21907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219075" cy="209550"/>
    <xdr:sp>
      <xdr:nvSpPr>
        <xdr:cNvPr id="15" name="Rectangle 4"/>
        <xdr:cNvSpPr>
          <a:spLocks/>
        </xdr:cNvSpPr>
      </xdr:nvSpPr>
      <xdr:spPr>
        <a:xfrm>
          <a:off x="190500" y="7153275"/>
          <a:ext cx="2190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219075" cy="38100"/>
    <xdr:sp>
      <xdr:nvSpPr>
        <xdr:cNvPr id="16" name="Rectangle 4"/>
        <xdr:cNvSpPr>
          <a:spLocks/>
        </xdr:cNvSpPr>
      </xdr:nvSpPr>
      <xdr:spPr>
        <a:xfrm>
          <a:off x="190500" y="6905625"/>
          <a:ext cx="2190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219075" cy="38100"/>
    <xdr:sp>
      <xdr:nvSpPr>
        <xdr:cNvPr id="17" name="Rectangle 1"/>
        <xdr:cNvSpPr>
          <a:spLocks/>
        </xdr:cNvSpPr>
      </xdr:nvSpPr>
      <xdr:spPr>
        <a:xfrm>
          <a:off x="190500" y="6905625"/>
          <a:ext cx="2190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219075" cy="38100"/>
    <xdr:sp>
      <xdr:nvSpPr>
        <xdr:cNvPr id="18" name="Rectangle 1"/>
        <xdr:cNvSpPr>
          <a:spLocks/>
        </xdr:cNvSpPr>
      </xdr:nvSpPr>
      <xdr:spPr>
        <a:xfrm>
          <a:off x="190500" y="6905625"/>
          <a:ext cx="2190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219075" cy="38100"/>
    <xdr:sp>
      <xdr:nvSpPr>
        <xdr:cNvPr id="19" name="Rectangle 4"/>
        <xdr:cNvSpPr>
          <a:spLocks/>
        </xdr:cNvSpPr>
      </xdr:nvSpPr>
      <xdr:spPr>
        <a:xfrm>
          <a:off x="190500" y="6905625"/>
          <a:ext cx="2190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26</xdr:row>
      <xdr:rowOff>0</xdr:rowOff>
    </xdr:from>
    <xdr:ext cx="752475" cy="409575"/>
    <xdr:sp>
      <xdr:nvSpPr>
        <xdr:cNvPr id="20" name="Rectangle 2"/>
        <xdr:cNvSpPr>
          <a:spLocks/>
        </xdr:cNvSpPr>
      </xdr:nvSpPr>
      <xdr:spPr>
        <a:xfrm>
          <a:off x="2152650" y="6134100"/>
          <a:ext cx="752475"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26</xdr:row>
      <xdr:rowOff>0</xdr:rowOff>
    </xdr:from>
    <xdr:ext cx="752475" cy="409575"/>
    <xdr:sp>
      <xdr:nvSpPr>
        <xdr:cNvPr id="21" name="Rectangle 2"/>
        <xdr:cNvSpPr>
          <a:spLocks/>
        </xdr:cNvSpPr>
      </xdr:nvSpPr>
      <xdr:spPr>
        <a:xfrm>
          <a:off x="2152650" y="6134100"/>
          <a:ext cx="752475"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1000125</xdr:colOff>
      <xdr:row>25</xdr:row>
      <xdr:rowOff>0</xdr:rowOff>
    </xdr:from>
    <xdr:ext cx="47625" cy="276225"/>
    <xdr:sp>
      <xdr:nvSpPr>
        <xdr:cNvPr id="22" name="Rectangle 2"/>
        <xdr:cNvSpPr>
          <a:spLocks/>
        </xdr:cNvSpPr>
      </xdr:nvSpPr>
      <xdr:spPr>
        <a:xfrm>
          <a:off x="1190625" y="5676900"/>
          <a:ext cx="476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1000125</xdr:colOff>
      <xdr:row>25</xdr:row>
      <xdr:rowOff>0</xdr:rowOff>
    </xdr:from>
    <xdr:ext cx="47625" cy="276225"/>
    <xdr:sp>
      <xdr:nvSpPr>
        <xdr:cNvPr id="23" name="Rectangle 2"/>
        <xdr:cNvSpPr>
          <a:spLocks/>
        </xdr:cNvSpPr>
      </xdr:nvSpPr>
      <xdr:spPr>
        <a:xfrm>
          <a:off x="1190625" y="5676900"/>
          <a:ext cx="476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1000125</xdr:colOff>
      <xdr:row>25</xdr:row>
      <xdr:rowOff>0</xdr:rowOff>
    </xdr:from>
    <xdr:ext cx="47625" cy="276225"/>
    <xdr:sp>
      <xdr:nvSpPr>
        <xdr:cNvPr id="24" name="Rectangle 2"/>
        <xdr:cNvSpPr>
          <a:spLocks/>
        </xdr:cNvSpPr>
      </xdr:nvSpPr>
      <xdr:spPr>
        <a:xfrm>
          <a:off x="1190625" y="5676900"/>
          <a:ext cx="476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1000125</xdr:colOff>
      <xdr:row>23</xdr:row>
      <xdr:rowOff>0</xdr:rowOff>
    </xdr:from>
    <xdr:ext cx="228600" cy="257175"/>
    <xdr:sp>
      <xdr:nvSpPr>
        <xdr:cNvPr id="25" name="Rectangle 27"/>
        <xdr:cNvSpPr>
          <a:spLocks/>
        </xdr:cNvSpPr>
      </xdr:nvSpPr>
      <xdr:spPr>
        <a:xfrm>
          <a:off x="1190625" y="5305425"/>
          <a:ext cx="2286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1000125</xdr:colOff>
      <xdr:row>23</xdr:row>
      <xdr:rowOff>0</xdr:rowOff>
    </xdr:from>
    <xdr:ext cx="228600" cy="257175"/>
    <xdr:sp>
      <xdr:nvSpPr>
        <xdr:cNvPr id="26" name="Rectangle 2"/>
        <xdr:cNvSpPr>
          <a:spLocks/>
        </xdr:cNvSpPr>
      </xdr:nvSpPr>
      <xdr:spPr>
        <a:xfrm>
          <a:off x="1190625" y="5305425"/>
          <a:ext cx="2286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1000125</xdr:colOff>
      <xdr:row>23</xdr:row>
      <xdr:rowOff>0</xdr:rowOff>
    </xdr:from>
    <xdr:ext cx="228600" cy="257175"/>
    <xdr:sp>
      <xdr:nvSpPr>
        <xdr:cNvPr id="27" name="Rectangle 2"/>
        <xdr:cNvSpPr>
          <a:spLocks/>
        </xdr:cNvSpPr>
      </xdr:nvSpPr>
      <xdr:spPr>
        <a:xfrm>
          <a:off x="1190625" y="5305425"/>
          <a:ext cx="2286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1000125</xdr:colOff>
      <xdr:row>23</xdr:row>
      <xdr:rowOff>0</xdr:rowOff>
    </xdr:from>
    <xdr:ext cx="228600" cy="257175"/>
    <xdr:sp>
      <xdr:nvSpPr>
        <xdr:cNvPr id="28" name="Rectangle 2"/>
        <xdr:cNvSpPr>
          <a:spLocks/>
        </xdr:cNvSpPr>
      </xdr:nvSpPr>
      <xdr:spPr>
        <a:xfrm>
          <a:off x="1190625" y="5305425"/>
          <a:ext cx="2286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1000125</xdr:colOff>
      <xdr:row>23</xdr:row>
      <xdr:rowOff>0</xdr:rowOff>
    </xdr:from>
    <xdr:ext cx="228600" cy="257175"/>
    <xdr:sp>
      <xdr:nvSpPr>
        <xdr:cNvPr id="29" name="Rectangle 2"/>
        <xdr:cNvSpPr>
          <a:spLocks/>
        </xdr:cNvSpPr>
      </xdr:nvSpPr>
      <xdr:spPr>
        <a:xfrm>
          <a:off x="1190625" y="5305425"/>
          <a:ext cx="2286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828675</xdr:colOff>
      <xdr:row>4</xdr:row>
      <xdr:rowOff>0</xdr:rowOff>
    </xdr:from>
    <xdr:ext cx="276225" cy="38100"/>
    <xdr:sp>
      <xdr:nvSpPr>
        <xdr:cNvPr id="1" name="Rectangle 2"/>
        <xdr:cNvSpPr>
          <a:spLocks/>
        </xdr:cNvSpPr>
      </xdr:nvSpPr>
      <xdr:spPr>
        <a:xfrm>
          <a:off x="1038225" y="952500"/>
          <a:ext cx="2762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16</xdr:row>
      <xdr:rowOff>0</xdr:rowOff>
    </xdr:from>
    <xdr:ext cx="276225" cy="38100"/>
    <xdr:sp>
      <xdr:nvSpPr>
        <xdr:cNvPr id="2" name="Rectangle 2"/>
        <xdr:cNvSpPr>
          <a:spLocks/>
        </xdr:cNvSpPr>
      </xdr:nvSpPr>
      <xdr:spPr>
        <a:xfrm>
          <a:off x="1038225" y="4105275"/>
          <a:ext cx="2762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16</xdr:row>
      <xdr:rowOff>0</xdr:rowOff>
    </xdr:from>
    <xdr:ext cx="276225" cy="38100"/>
    <xdr:sp>
      <xdr:nvSpPr>
        <xdr:cNvPr id="3" name="Rectangle 2"/>
        <xdr:cNvSpPr>
          <a:spLocks/>
        </xdr:cNvSpPr>
      </xdr:nvSpPr>
      <xdr:spPr>
        <a:xfrm>
          <a:off x="1038225" y="4105275"/>
          <a:ext cx="2762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16</xdr:row>
      <xdr:rowOff>0</xdr:rowOff>
    </xdr:from>
    <xdr:ext cx="276225" cy="38100"/>
    <xdr:sp>
      <xdr:nvSpPr>
        <xdr:cNvPr id="4" name="Rectangle 2"/>
        <xdr:cNvSpPr>
          <a:spLocks/>
        </xdr:cNvSpPr>
      </xdr:nvSpPr>
      <xdr:spPr>
        <a:xfrm>
          <a:off x="1038225" y="4105275"/>
          <a:ext cx="2762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1009650</xdr:colOff>
      <xdr:row>16</xdr:row>
      <xdr:rowOff>0</xdr:rowOff>
    </xdr:from>
    <xdr:ext cx="314325" cy="38100"/>
    <xdr:sp>
      <xdr:nvSpPr>
        <xdr:cNvPr id="5" name="Rectangle 2"/>
        <xdr:cNvSpPr>
          <a:spLocks/>
        </xdr:cNvSpPr>
      </xdr:nvSpPr>
      <xdr:spPr>
        <a:xfrm>
          <a:off x="2047875" y="4105275"/>
          <a:ext cx="3143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25</xdr:row>
      <xdr:rowOff>0</xdr:rowOff>
    </xdr:from>
    <xdr:ext cx="276225" cy="38100"/>
    <xdr:sp>
      <xdr:nvSpPr>
        <xdr:cNvPr id="6" name="Rectangle 2"/>
        <xdr:cNvSpPr>
          <a:spLocks/>
        </xdr:cNvSpPr>
      </xdr:nvSpPr>
      <xdr:spPr>
        <a:xfrm>
          <a:off x="1038225" y="6343650"/>
          <a:ext cx="2762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25</xdr:row>
      <xdr:rowOff>0</xdr:rowOff>
    </xdr:from>
    <xdr:ext cx="276225" cy="38100"/>
    <xdr:sp>
      <xdr:nvSpPr>
        <xdr:cNvPr id="7" name="Rectangle 2"/>
        <xdr:cNvSpPr>
          <a:spLocks/>
        </xdr:cNvSpPr>
      </xdr:nvSpPr>
      <xdr:spPr>
        <a:xfrm>
          <a:off x="1038225" y="6343650"/>
          <a:ext cx="2762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25</xdr:row>
      <xdr:rowOff>0</xdr:rowOff>
    </xdr:from>
    <xdr:ext cx="276225" cy="38100"/>
    <xdr:sp>
      <xdr:nvSpPr>
        <xdr:cNvPr id="8" name="Rectangle 2"/>
        <xdr:cNvSpPr>
          <a:spLocks/>
        </xdr:cNvSpPr>
      </xdr:nvSpPr>
      <xdr:spPr>
        <a:xfrm>
          <a:off x="1038225" y="6343650"/>
          <a:ext cx="2762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1009650</xdr:colOff>
      <xdr:row>25</xdr:row>
      <xdr:rowOff>0</xdr:rowOff>
    </xdr:from>
    <xdr:ext cx="314325" cy="38100"/>
    <xdr:sp>
      <xdr:nvSpPr>
        <xdr:cNvPr id="9" name="Rectangle 2"/>
        <xdr:cNvSpPr>
          <a:spLocks/>
        </xdr:cNvSpPr>
      </xdr:nvSpPr>
      <xdr:spPr>
        <a:xfrm>
          <a:off x="2047875" y="6343650"/>
          <a:ext cx="3143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1009650</xdr:colOff>
      <xdr:row>25</xdr:row>
      <xdr:rowOff>0</xdr:rowOff>
    </xdr:from>
    <xdr:ext cx="228600" cy="228600"/>
    <xdr:sp>
      <xdr:nvSpPr>
        <xdr:cNvPr id="10" name="Rectangle 2"/>
        <xdr:cNvSpPr>
          <a:spLocks/>
        </xdr:cNvSpPr>
      </xdr:nvSpPr>
      <xdr:spPr>
        <a:xfrm>
          <a:off x="2047875" y="6343650"/>
          <a:ext cx="2286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1</xdr:col>
      <xdr:colOff>628650</xdr:colOff>
      <xdr:row>5</xdr:row>
      <xdr:rowOff>0</xdr:rowOff>
    </xdr:to>
    <xdr:pic>
      <xdr:nvPicPr>
        <xdr:cNvPr id="1" name="Picture 1" descr="logo_forms.tif"/>
        <xdr:cNvPicPr preferRelativeResize="1">
          <a:picLocks noChangeAspect="1"/>
        </xdr:cNvPicPr>
      </xdr:nvPicPr>
      <xdr:blipFill>
        <a:blip r:embed="rId1"/>
        <a:stretch>
          <a:fillRect/>
        </a:stretch>
      </xdr:blipFill>
      <xdr:spPr>
        <a:xfrm>
          <a:off x="9525" y="85725"/>
          <a:ext cx="781050" cy="723900"/>
        </a:xfrm>
        <a:prstGeom prst="rect">
          <a:avLst/>
        </a:prstGeom>
        <a:noFill/>
        <a:ln w="9525" cmpd="sng">
          <a:noFill/>
        </a:ln>
      </xdr:spPr>
    </xdr:pic>
    <xdr:clientData/>
  </xdr:twoCellAnchor>
  <xdr:oneCellAnchor>
    <xdr:from>
      <xdr:col>1</xdr:col>
      <xdr:colOff>800100</xdr:colOff>
      <xdr:row>30</xdr:row>
      <xdr:rowOff>0</xdr:rowOff>
    </xdr:from>
    <xdr:ext cx="238125" cy="342900"/>
    <xdr:sp>
      <xdr:nvSpPr>
        <xdr:cNvPr id="2" name="Rectangle 2"/>
        <xdr:cNvSpPr>
          <a:spLocks/>
        </xdr:cNvSpPr>
      </xdr:nvSpPr>
      <xdr:spPr>
        <a:xfrm>
          <a:off x="962025" y="6943725"/>
          <a:ext cx="238125"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30</xdr:row>
      <xdr:rowOff>0</xdr:rowOff>
    </xdr:from>
    <xdr:ext cx="200025" cy="342900"/>
    <xdr:sp>
      <xdr:nvSpPr>
        <xdr:cNvPr id="3" name="Rectangle 2"/>
        <xdr:cNvSpPr>
          <a:spLocks/>
        </xdr:cNvSpPr>
      </xdr:nvSpPr>
      <xdr:spPr>
        <a:xfrm>
          <a:off x="962025" y="6943725"/>
          <a:ext cx="200025"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30</xdr:row>
      <xdr:rowOff>0</xdr:rowOff>
    </xdr:from>
    <xdr:ext cx="200025" cy="342900"/>
    <xdr:sp>
      <xdr:nvSpPr>
        <xdr:cNvPr id="4" name="Rectangle 2"/>
        <xdr:cNvSpPr>
          <a:spLocks/>
        </xdr:cNvSpPr>
      </xdr:nvSpPr>
      <xdr:spPr>
        <a:xfrm>
          <a:off x="962025" y="6943725"/>
          <a:ext cx="200025"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30</xdr:row>
      <xdr:rowOff>0</xdr:rowOff>
    </xdr:from>
    <xdr:ext cx="200025" cy="342900"/>
    <xdr:sp>
      <xdr:nvSpPr>
        <xdr:cNvPr id="5" name="Rectangle 2"/>
        <xdr:cNvSpPr>
          <a:spLocks/>
        </xdr:cNvSpPr>
      </xdr:nvSpPr>
      <xdr:spPr>
        <a:xfrm>
          <a:off x="962025" y="6943725"/>
          <a:ext cx="200025"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24</xdr:row>
      <xdr:rowOff>0</xdr:rowOff>
    </xdr:from>
    <xdr:ext cx="238125" cy="161925"/>
    <xdr:sp>
      <xdr:nvSpPr>
        <xdr:cNvPr id="6" name="Rectangle 2"/>
        <xdr:cNvSpPr>
          <a:spLocks/>
        </xdr:cNvSpPr>
      </xdr:nvSpPr>
      <xdr:spPr>
        <a:xfrm>
          <a:off x="161925" y="5762625"/>
          <a:ext cx="2381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22</xdr:row>
      <xdr:rowOff>0</xdr:rowOff>
    </xdr:from>
    <xdr:ext cx="200025" cy="323850"/>
    <xdr:sp>
      <xdr:nvSpPr>
        <xdr:cNvPr id="7" name="Rectangle 2"/>
        <xdr:cNvSpPr>
          <a:spLocks/>
        </xdr:cNvSpPr>
      </xdr:nvSpPr>
      <xdr:spPr>
        <a:xfrm>
          <a:off x="962025" y="4962525"/>
          <a:ext cx="2000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22</xdr:row>
      <xdr:rowOff>0</xdr:rowOff>
    </xdr:from>
    <xdr:ext cx="200025" cy="323850"/>
    <xdr:sp>
      <xdr:nvSpPr>
        <xdr:cNvPr id="8" name="Rectangle 2"/>
        <xdr:cNvSpPr>
          <a:spLocks/>
        </xdr:cNvSpPr>
      </xdr:nvSpPr>
      <xdr:spPr>
        <a:xfrm>
          <a:off x="962025" y="4962525"/>
          <a:ext cx="2000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22</xdr:row>
      <xdr:rowOff>0</xdr:rowOff>
    </xdr:from>
    <xdr:ext cx="200025" cy="323850"/>
    <xdr:sp>
      <xdr:nvSpPr>
        <xdr:cNvPr id="9" name="Rectangle 2"/>
        <xdr:cNvSpPr>
          <a:spLocks/>
        </xdr:cNvSpPr>
      </xdr:nvSpPr>
      <xdr:spPr>
        <a:xfrm>
          <a:off x="962025" y="4962525"/>
          <a:ext cx="2000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990600</xdr:colOff>
      <xdr:row>22</xdr:row>
      <xdr:rowOff>0</xdr:rowOff>
    </xdr:from>
    <xdr:ext cx="238125" cy="323850"/>
    <xdr:sp>
      <xdr:nvSpPr>
        <xdr:cNvPr id="10" name="Rectangle 2"/>
        <xdr:cNvSpPr>
          <a:spLocks/>
        </xdr:cNvSpPr>
      </xdr:nvSpPr>
      <xdr:spPr>
        <a:xfrm>
          <a:off x="5400675" y="4962525"/>
          <a:ext cx="2381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1009650</xdr:colOff>
      <xdr:row>5</xdr:row>
      <xdr:rowOff>0</xdr:rowOff>
    </xdr:from>
    <xdr:ext cx="238125" cy="247650"/>
    <xdr:sp>
      <xdr:nvSpPr>
        <xdr:cNvPr id="1" name="Rectangle 2"/>
        <xdr:cNvSpPr>
          <a:spLocks/>
        </xdr:cNvSpPr>
      </xdr:nvSpPr>
      <xdr:spPr>
        <a:xfrm>
          <a:off x="1247775" y="1571625"/>
          <a:ext cx="2381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514350</xdr:colOff>
      <xdr:row>13</xdr:row>
      <xdr:rowOff>0</xdr:rowOff>
    </xdr:from>
    <xdr:ext cx="47625" cy="161925"/>
    <xdr:sp fLocksText="0">
      <xdr:nvSpPr>
        <xdr:cNvPr id="2" name="Text Box 19"/>
        <xdr:cNvSpPr txBox="1">
          <a:spLocks noChangeArrowheads="1"/>
        </xdr:cNvSpPr>
      </xdr:nvSpPr>
      <xdr:spPr>
        <a:xfrm>
          <a:off x="6648450" y="4210050"/>
          <a:ext cx="476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1009650</xdr:colOff>
      <xdr:row>5</xdr:row>
      <xdr:rowOff>0</xdr:rowOff>
    </xdr:from>
    <xdr:ext cx="200025" cy="247650"/>
    <xdr:sp>
      <xdr:nvSpPr>
        <xdr:cNvPr id="3" name="Rectangle 2"/>
        <xdr:cNvSpPr>
          <a:spLocks/>
        </xdr:cNvSpPr>
      </xdr:nvSpPr>
      <xdr:spPr>
        <a:xfrm>
          <a:off x="1247775" y="1571625"/>
          <a:ext cx="2000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1009650</xdr:colOff>
      <xdr:row>5</xdr:row>
      <xdr:rowOff>0</xdr:rowOff>
    </xdr:from>
    <xdr:ext cx="200025" cy="247650"/>
    <xdr:sp>
      <xdr:nvSpPr>
        <xdr:cNvPr id="4" name="Rectangle 2"/>
        <xdr:cNvSpPr>
          <a:spLocks/>
        </xdr:cNvSpPr>
      </xdr:nvSpPr>
      <xdr:spPr>
        <a:xfrm>
          <a:off x="1247775" y="1571625"/>
          <a:ext cx="2000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1009650</xdr:colOff>
      <xdr:row>5</xdr:row>
      <xdr:rowOff>0</xdr:rowOff>
    </xdr:from>
    <xdr:ext cx="190500" cy="190500"/>
    <xdr:sp>
      <xdr:nvSpPr>
        <xdr:cNvPr id="5" name="Rectangle 2"/>
        <xdr:cNvSpPr>
          <a:spLocks/>
        </xdr:cNvSpPr>
      </xdr:nvSpPr>
      <xdr:spPr>
        <a:xfrm>
          <a:off x="1247775" y="1571625"/>
          <a:ext cx="1905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1009650</xdr:colOff>
      <xdr:row>5</xdr:row>
      <xdr:rowOff>0</xdr:rowOff>
    </xdr:from>
    <xdr:ext cx="238125" cy="190500"/>
    <xdr:sp>
      <xdr:nvSpPr>
        <xdr:cNvPr id="6" name="Rectangle 2"/>
        <xdr:cNvSpPr>
          <a:spLocks/>
        </xdr:cNvSpPr>
      </xdr:nvSpPr>
      <xdr:spPr>
        <a:xfrm>
          <a:off x="1247775" y="1571625"/>
          <a:ext cx="2381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1009650</xdr:colOff>
      <xdr:row>7</xdr:row>
      <xdr:rowOff>0</xdr:rowOff>
    </xdr:from>
    <xdr:ext cx="200025" cy="247650"/>
    <xdr:sp>
      <xdr:nvSpPr>
        <xdr:cNvPr id="7" name="Rectangle 2"/>
        <xdr:cNvSpPr>
          <a:spLocks/>
        </xdr:cNvSpPr>
      </xdr:nvSpPr>
      <xdr:spPr>
        <a:xfrm>
          <a:off x="1247775" y="2219325"/>
          <a:ext cx="2000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1009650</xdr:colOff>
      <xdr:row>7</xdr:row>
      <xdr:rowOff>0</xdr:rowOff>
    </xdr:from>
    <xdr:ext cx="200025" cy="247650"/>
    <xdr:sp>
      <xdr:nvSpPr>
        <xdr:cNvPr id="8" name="Rectangle 2"/>
        <xdr:cNvSpPr>
          <a:spLocks/>
        </xdr:cNvSpPr>
      </xdr:nvSpPr>
      <xdr:spPr>
        <a:xfrm>
          <a:off x="1247775" y="2219325"/>
          <a:ext cx="2000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828675</xdr:colOff>
      <xdr:row>31</xdr:row>
      <xdr:rowOff>0</xdr:rowOff>
    </xdr:from>
    <xdr:ext cx="228600" cy="276225"/>
    <xdr:sp>
      <xdr:nvSpPr>
        <xdr:cNvPr id="1" name="Rectangle 2"/>
        <xdr:cNvSpPr>
          <a:spLocks/>
        </xdr:cNvSpPr>
      </xdr:nvSpPr>
      <xdr:spPr>
        <a:xfrm>
          <a:off x="1162050" y="8105775"/>
          <a:ext cx="2286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828675</xdr:colOff>
      <xdr:row>4</xdr:row>
      <xdr:rowOff>0</xdr:rowOff>
    </xdr:from>
    <xdr:ext cx="228600" cy="276225"/>
    <xdr:sp>
      <xdr:nvSpPr>
        <xdr:cNvPr id="1" name="Rectangle 2"/>
        <xdr:cNvSpPr>
          <a:spLocks/>
        </xdr:cNvSpPr>
      </xdr:nvSpPr>
      <xdr:spPr>
        <a:xfrm>
          <a:off x="1162050" y="2828925"/>
          <a:ext cx="2286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28</xdr:row>
      <xdr:rowOff>0</xdr:rowOff>
    </xdr:from>
    <xdr:ext cx="228600" cy="276225"/>
    <xdr:sp>
      <xdr:nvSpPr>
        <xdr:cNvPr id="2" name="Rectangle 2"/>
        <xdr:cNvSpPr>
          <a:spLocks/>
        </xdr:cNvSpPr>
      </xdr:nvSpPr>
      <xdr:spPr>
        <a:xfrm>
          <a:off x="1162050" y="7953375"/>
          <a:ext cx="2286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16</xdr:row>
      <xdr:rowOff>0</xdr:rowOff>
    </xdr:from>
    <xdr:ext cx="228600" cy="276225"/>
    <xdr:sp>
      <xdr:nvSpPr>
        <xdr:cNvPr id="3" name="Rectangle 2"/>
        <xdr:cNvSpPr>
          <a:spLocks/>
        </xdr:cNvSpPr>
      </xdr:nvSpPr>
      <xdr:spPr>
        <a:xfrm>
          <a:off x="1162050" y="5400675"/>
          <a:ext cx="2286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828675</xdr:colOff>
      <xdr:row>28</xdr:row>
      <xdr:rowOff>0</xdr:rowOff>
    </xdr:from>
    <xdr:ext cx="228600" cy="276225"/>
    <xdr:sp>
      <xdr:nvSpPr>
        <xdr:cNvPr id="4" name="Rectangle 2"/>
        <xdr:cNvSpPr>
          <a:spLocks/>
        </xdr:cNvSpPr>
      </xdr:nvSpPr>
      <xdr:spPr>
        <a:xfrm>
          <a:off x="1162050" y="7953375"/>
          <a:ext cx="2286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933450</xdr:colOff>
      <xdr:row>6</xdr:row>
      <xdr:rowOff>0</xdr:rowOff>
    </xdr:from>
    <xdr:ext cx="85725" cy="238125"/>
    <xdr:sp fLocksText="0">
      <xdr:nvSpPr>
        <xdr:cNvPr id="1" name="Text Box 3"/>
        <xdr:cNvSpPr txBox="1">
          <a:spLocks noChangeArrowheads="1"/>
        </xdr:cNvSpPr>
      </xdr:nvSpPr>
      <xdr:spPr>
        <a:xfrm>
          <a:off x="1143000" y="1343025"/>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xdr:row>
      <xdr:rowOff>0</xdr:rowOff>
    </xdr:from>
    <xdr:ext cx="85725" cy="209550"/>
    <xdr:sp fLocksText="0">
      <xdr:nvSpPr>
        <xdr:cNvPr id="2" name="Text Box 9"/>
        <xdr:cNvSpPr txBox="1">
          <a:spLocks noChangeArrowheads="1"/>
        </xdr:cNvSpPr>
      </xdr:nvSpPr>
      <xdr:spPr>
        <a:xfrm>
          <a:off x="9096375" y="1619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xdr:row>
      <xdr:rowOff>0</xdr:rowOff>
    </xdr:from>
    <xdr:ext cx="228600" cy="0"/>
    <xdr:sp>
      <xdr:nvSpPr>
        <xdr:cNvPr id="3" name="Rectangle 5"/>
        <xdr:cNvSpPr>
          <a:spLocks/>
        </xdr:cNvSpPr>
      </xdr:nvSpPr>
      <xdr:spPr>
        <a:xfrm>
          <a:off x="209550" y="6877050"/>
          <a:ext cx="2286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17</xdr:row>
      <xdr:rowOff>0</xdr:rowOff>
    </xdr:from>
    <xdr:ext cx="228600" cy="257175"/>
    <xdr:sp>
      <xdr:nvSpPr>
        <xdr:cNvPr id="1" name="Rectangle 1"/>
        <xdr:cNvSpPr>
          <a:spLocks/>
        </xdr:cNvSpPr>
      </xdr:nvSpPr>
      <xdr:spPr>
        <a:xfrm>
          <a:off x="1895475" y="4238625"/>
          <a:ext cx="2286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31</xdr:row>
      <xdr:rowOff>0</xdr:rowOff>
    </xdr:from>
    <xdr:ext cx="228600" cy="304800"/>
    <xdr:sp>
      <xdr:nvSpPr>
        <xdr:cNvPr id="2" name="Rectangle 1"/>
        <xdr:cNvSpPr>
          <a:spLocks/>
        </xdr:cNvSpPr>
      </xdr:nvSpPr>
      <xdr:spPr>
        <a:xfrm>
          <a:off x="1895475" y="7620000"/>
          <a:ext cx="2286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31</xdr:row>
      <xdr:rowOff>0</xdr:rowOff>
    </xdr:from>
    <xdr:ext cx="228600" cy="304800"/>
    <xdr:sp>
      <xdr:nvSpPr>
        <xdr:cNvPr id="3" name="Rectangle 1"/>
        <xdr:cNvSpPr>
          <a:spLocks/>
        </xdr:cNvSpPr>
      </xdr:nvSpPr>
      <xdr:spPr>
        <a:xfrm>
          <a:off x="1895475" y="7620000"/>
          <a:ext cx="2286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390525</xdr:colOff>
      <xdr:row>9</xdr:row>
      <xdr:rowOff>0</xdr:rowOff>
    </xdr:from>
    <xdr:ext cx="228600" cy="276225"/>
    <xdr:sp>
      <xdr:nvSpPr>
        <xdr:cNvPr id="1" name="Rectangle 2"/>
        <xdr:cNvSpPr>
          <a:spLocks/>
        </xdr:cNvSpPr>
      </xdr:nvSpPr>
      <xdr:spPr>
        <a:xfrm>
          <a:off x="5838825" y="1390650"/>
          <a:ext cx="2286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16</xdr:row>
      <xdr:rowOff>0</xdr:rowOff>
    </xdr:from>
    <xdr:ext cx="219075" cy="28575"/>
    <xdr:sp>
      <xdr:nvSpPr>
        <xdr:cNvPr id="1" name="Rectangle 1"/>
        <xdr:cNvSpPr>
          <a:spLocks/>
        </xdr:cNvSpPr>
      </xdr:nvSpPr>
      <xdr:spPr>
        <a:xfrm>
          <a:off x="2171700" y="5724525"/>
          <a:ext cx="2190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19075" cy="28575"/>
    <xdr:sp>
      <xdr:nvSpPr>
        <xdr:cNvPr id="2" name="Rectangle 1"/>
        <xdr:cNvSpPr>
          <a:spLocks/>
        </xdr:cNvSpPr>
      </xdr:nvSpPr>
      <xdr:spPr>
        <a:xfrm>
          <a:off x="2171700" y="5724525"/>
          <a:ext cx="2190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19075" cy="28575"/>
    <xdr:sp>
      <xdr:nvSpPr>
        <xdr:cNvPr id="3" name="Rectangle 4"/>
        <xdr:cNvSpPr>
          <a:spLocks/>
        </xdr:cNvSpPr>
      </xdr:nvSpPr>
      <xdr:spPr>
        <a:xfrm>
          <a:off x="2171700" y="5724525"/>
          <a:ext cx="2190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19075" cy="28575"/>
    <xdr:sp>
      <xdr:nvSpPr>
        <xdr:cNvPr id="4" name="Rectangle 1"/>
        <xdr:cNvSpPr>
          <a:spLocks/>
        </xdr:cNvSpPr>
      </xdr:nvSpPr>
      <xdr:spPr>
        <a:xfrm>
          <a:off x="2171700" y="5724525"/>
          <a:ext cx="2190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19075" cy="28575"/>
    <xdr:sp>
      <xdr:nvSpPr>
        <xdr:cNvPr id="5" name="Rectangle 1"/>
        <xdr:cNvSpPr>
          <a:spLocks/>
        </xdr:cNvSpPr>
      </xdr:nvSpPr>
      <xdr:spPr>
        <a:xfrm>
          <a:off x="2171700" y="5724525"/>
          <a:ext cx="2190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19075" cy="38100"/>
    <xdr:sp>
      <xdr:nvSpPr>
        <xdr:cNvPr id="6" name="Rectangle 4"/>
        <xdr:cNvSpPr>
          <a:spLocks/>
        </xdr:cNvSpPr>
      </xdr:nvSpPr>
      <xdr:spPr>
        <a:xfrm>
          <a:off x="2171700" y="5724525"/>
          <a:ext cx="2190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19075" cy="28575"/>
    <xdr:sp>
      <xdr:nvSpPr>
        <xdr:cNvPr id="7" name="Rectangle 4"/>
        <xdr:cNvSpPr>
          <a:spLocks/>
        </xdr:cNvSpPr>
      </xdr:nvSpPr>
      <xdr:spPr>
        <a:xfrm>
          <a:off x="2171700" y="5724525"/>
          <a:ext cx="2190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xdr:row>
      <xdr:rowOff>0</xdr:rowOff>
    </xdr:from>
    <xdr:ext cx="219075" cy="123825"/>
    <xdr:sp>
      <xdr:nvSpPr>
        <xdr:cNvPr id="8" name="Rectangle 5"/>
        <xdr:cNvSpPr>
          <a:spLocks/>
        </xdr:cNvSpPr>
      </xdr:nvSpPr>
      <xdr:spPr>
        <a:xfrm>
          <a:off x="2171700" y="5915025"/>
          <a:ext cx="219075"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219075" cy="38100"/>
    <xdr:sp>
      <xdr:nvSpPr>
        <xdr:cNvPr id="9" name="Rectangle 1"/>
        <xdr:cNvSpPr>
          <a:spLocks/>
        </xdr:cNvSpPr>
      </xdr:nvSpPr>
      <xdr:spPr>
        <a:xfrm>
          <a:off x="2171700" y="1057275"/>
          <a:ext cx="2190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219075" cy="38100"/>
    <xdr:sp>
      <xdr:nvSpPr>
        <xdr:cNvPr id="10" name="Rectangle 1"/>
        <xdr:cNvSpPr>
          <a:spLocks/>
        </xdr:cNvSpPr>
      </xdr:nvSpPr>
      <xdr:spPr>
        <a:xfrm>
          <a:off x="2171700" y="1057275"/>
          <a:ext cx="2190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219075" cy="38100"/>
    <xdr:sp>
      <xdr:nvSpPr>
        <xdr:cNvPr id="11" name="Rectangle 1"/>
        <xdr:cNvSpPr>
          <a:spLocks/>
        </xdr:cNvSpPr>
      </xdr:nvSpPr>
      <xdr:spPr>
        <a:xfrm>
          <a:off x="2171700" y="1057275"/>
          <a:ext cx="2190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219075" cy="38100"/>
    <xdr:sp>
      <xdr:nvSpPr>
        <xdr:cNvPr id="12" name="Rectangle 5"/>
        <xdr:cNvSpPr>
          <a:spLocks/>
        </xdr:cNvSpPr>
      </xdr:nvSpPr>
      <xdr:spPr>
        <a:xfrm>
          <a:off x="2171700" y="1057275"/>
          <a:ext cx="2190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219075" cy="38100"/>
    <xdr:sp>
      <xdr:nvSpPr>
        <xdr:cNvPr id="13" name="Rectangle 1"/>
        <xdr:cNvSpPr>
          <a:spLocks/>
        </xdr:cNvSpPr>
      </xdr:nvSpPr>
      <xdr:spPr>
        <a:xfrm>
          <a:off x="2171700" y="1057275"/>
          <a:ext cx="2190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219075" cy="38100"/>
    <xdr:sp>
      <xdr:nvSpPr>
        <xdr:cNvPr id="14" name="Rectangle 1"/>
        <xdr:cNvSpPr>
          <a:spLocks/>
        </xdr:cNvSpPr>
      </xdr:nvSpPr>
      <xdr:spPr>
        <a:xfrm>
          <a:off x="2171700" y="5562600"/>
          <a:ext cx="2190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219075" cy="38100"/>
    <xdr:sp>
      <xdr:nvSpPr>
        <xdr:cNvPr id="15" name="Rectangle 1"/>
        <xdr:cNvSpPr>
          <a:spLocks/>
        </xdr:cNvSpPr>
      </xdr:nvSpPr>
      <xdr:spPr>
        <a:xfrm>
          <a:off x="2171700" y="5562600"/>
          <a:ext cx="2190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219075" cy="38100"/>
    <xdr:sp>
      <xdr:nvSpPr>
        <xdr:cNvPr id="16" name="Rectangle 1"/>
        <xdr:cNvSpPr>
          <a:spLocks/>
        </xdr:cNvSpPr>
      </xdr:nvSpPr>
      <xdr:spPr>
        <a:xfrm>
          <a:off x="2171700" y="5562600"/>
          <a:ext cx="2190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219075" cy="38100"/>
    <xdr:sp>
      <xdr:nvSpPr>
        <xdr:cNvPr id="17" name="Rectangle 5"/>
        <xdr:cNvSpPr>
          <a:spLocks/>
        </xdr:cNvSpPr>
      </xdr:nvSpPr>
      <xdr:spPr>
        <a:xfrm>
          <a:off x="2171700" y="5562600"/>
          <a:ext cx="2190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219075" cy="38100"/>
    <xdr:sp>
      <xdr:nvSpPr>
        <xdr:cNvPr id="18" name="Rectangle 1"/>
        <xdr:cNvSpPr>
          <a:spLocks/>
        </xdr:cNvSpPr>
      </xdr:nvSpPr>
      <xdr:spPr>
        <a:xfrm>
          <a:off x="2171700" y="5562600"/>
          <a:ext cx="2190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xdr:row>
      <xdr:rowOff>0</xdr:rowOff>
    </xdr:from>
    <xdr:ext cx="219075" cy="38100"/>
    <xdr:sp>
      <xdr:nvSpPr>
        <xdr:cNvPr id="19" name="Rectangle 1"/>
        <xdr:cNvSpPr>
          <a:spLocks/>
        </xdr:cNvSpPr>
      </xdr:nvSpPr>
      <xdr:spPr>
        <a:xfrm>
          <a:off x="2171700" y="7943850"/>
          <a:ext cx="2190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xdr:row>
      <xdr:rowOff>0</xdr:rowOff>
    </xdr:from>
    <xdr:ext cx="219075" cy="38100"/>
    <xdr:sp>
      <xdr:nvSpPr>
        <xdr:cNvPr id="20" name="Rectangle 1"/>
        <xdr:cNvSpPr>
          <a:spLocks/>
        </xdr:cNvSpPr>
      </xdr:nvSpPr>
      <xdr:spPr>
        <a:xfrm>
          <a:off x="2171700" y="7943850"/>
          <a:ext cx="2190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xdr:row>
      <xdr:rowOff>0</xdr:rowOff>
    </xdr:from>
    <xdr:ext cx="219075" cy="38100"/>
    <xdr:sp>
      <xdr:nvSpPr>
        <xdr:cNvPr id="21" name="Rectangle 1"/>
        <xdr:cNvSpPr>
          <a:spLocks/>
        </xdr:cNvSpPr>
      </xdr:nvSpPr>
      <xdr:spPr>
        <a:xfrm>
          <a:off x="2171700" y="7943850"/>
          <a:ext cx="2190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xdr:row>
      <xdr:rowOff>0</xdr:rowOff>
    </xdr:from>
    <xdr:ext cx="219075" cy="38100"/>
    <xdr:sp>
      <xdr:nvSpPr>
        <xdr:cNvPr id="22" name="Rectangle 5"/>
        <xdr:cNvSpPr>
          <a:spLocks/>
        </xdr:cNvSpPr>
      </xdr:nvSpPr>
      <xdr:spPr>
        <a:xfrm>
          <a:off x="2171700" y="7943850"/>
          <a:ext cx="2190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xdr:row>
      <xdr:rowOff>0</xdr:rowOff>
    </xdr:from>
    <xdr:ext cx="219075" cy="38100"/>
    <xdr:sp>
      <xdr:nvSpPr>
        <xdr:cNvPr id="23" name="Rectangle 1"/>
        <xdr:cNvSpPr>
          <a:spLocks/>
        </xdr:cNvSpPr>
      </xdr:nvSpPr>
      <xdr:spPr>
        <a:xfrm>
          <a:off x="2171700" y="7943850"/>
          <a:ext cx="2190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219075" cy="161925"/>
    <xdr:sp>
      <xdr:nvSpPr>
        <xdr:cNvPr id="24" name="Rectangle 5"/>
        <xdr:cNvSpPr>
          <a:spLocks/>
        </xdr:cNvSpPr>
      </xdr:nvSpPr>
      <xdr:spPr>
        <a:xfrm>
          <a:off x="2171700" y="5562600"/>
          <a:ext cx="2190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udg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definedNames>
      <definedName name="Header_Ro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3.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24"/>
  <sheetViews>
    <sheetView showGridLines="0" tabSelected="1" workbookViewId="0" topLeftCell="A1">
      <selection activeCell="A18" sqref="A18"/>
    </sheetView>
  </sheetViews>
  <sheetFormatPr defaultColWidth="9.140625" defaultRowHeight="12.75"/>
  <cols>
    <col min="1" max="1" width="97.8515625" style="3" customWidth="1"/>
    <col min="2" max="16384" width="9.140625" style="185" customWidth="1"/>
  </cols>
  <sheetData>
    <row r="1" ht="12.75"/>
    <row r="2" ht="12.75">
      <c r="A2" s="47" t="s">
        <v>49</v>
      </c>
    </row>
    <row r="3" ht="12.75">
      <c r="A3" s="47" t="str">
        <f>"BUDGET REPORT AND ANTICIPATED CASH FLOW FOR YEAR ENDING "&amp;Months!C5</f>
        <v>BUDGET REPORT AND ANTICIPATED CASH FLOW FOR YEAR ENDING JUNE 30, 2023</v>
      </c>
    </row>
    <row r="4" ht="12.75">
      <c r="A4" s="47" t="s">
        <v>61</v>
      </c>
    </row>
    <row r="5" ht="12.75"/>
    <row r="6" ht="12">
      <c r="A6" s="3" t="s">
        <v>31</v>
      </c>
    </row>
    <row r="7" ht="12">
      <c r="A7" s="114"/>
    </row>
    <row r="8" ht="30" customHeight="1">
      <c r="A8" s="111" t="s">
        <v>670</v>
      </c>
    </row>
    <row r="9" ht="32.25" customHeight="1">
      <c r="A9" s="111" t="str">
        <f>"1) The budget required by Wisconsin Statute 118.60 and Wisconsin Statute 119.23 for certain new Choice schools (generally those considered to be start ups), which is due to the department by August 1, "&amp;Months!B28&amp;"."</f>
        <v>1) The budget required by Wisconsin Statute 118.60 and Wisconsin Statute 119.23 for certain new Choice schools (generally those considered to be start ups), which is due to the department by August 1, 2021.</v>
      </c>
    </row>
    <row r="10" ht="48" customHeight="1">
      <c r="A10" s="111" t="str">
        <f>"2) Wisconsin Statute 118.60 and Wisconsin Statute 119.23 requires schools new to the Choice program to either provide a surety bond or a budget.  Schools that choose the budget option"&amp;" are required to provide a complete budget and all required attachments to the department by May 1, "&amp;Months!B29&amp;"."</f>
        <v>2) Wisconsin Statute 118.60 and Wisconsin Statute 119.23 requires schools new to the Choice program to either provide a surety bond or a budget.  Schools that choose the budget option are required to provide a complete budget and all required attachments to the department by May 1, 2022.</v>
      </c>
    </row>
    <row r="11" ht="42" customHeight="1">
      <c r="A11" s="111" t="s">
        <v>799</v>
      </c>
    </row>
    <row r="12" ht="42.75" customHeight="1">
      <c r="A12" s="111" t="str">
        <f>"4) Determining whether a participant in the Special Needs Scholarship Program (SNSP) meets the requirements of Wis. Stat. 115.7915 (6) (f) 2 and Wis. Admin. Code PI 49.04. "&amp;"SNSP schools must submit the budget and all required attachments to the department by March 1, "&amp;Months!B29&amp;"."</f>
        <v>4) Determining whether a participant in the Special Needs Scholarship Program (SNSP) meets the requirements of Wis. Stat. 115.7915 (6) (f) 2 and Wis. Admin. Code PI 49.04. SNSP schools must submit the budget and all required attachments to the department by March 1, 2022.</v>
      </c>
    </row>
    <row r="13" ht="12">
      <c r="A13" s="114"/>
    </row>
    <row r="14" ht="49.5">
      <c r="A14" s="3" t="s">
        <v>562</v>
      </c>
    </row>
    <row r="15" ht="12">
      <c r="A15" s="114"/>
    </row>
    <row r="16" ht="62.25">
      <c r="A16" s="3" t="s">
        <v>463</v>
      </c>
    </row>
    <row r="17" ht="12">
      <c r="A17" s="114"/>
    </row>
    <row r="18" ht="129.75" customHeight="1">
      <c r="A18" s="3" t="s">
        <v>820</v>
      </c>
    </row>
    <row r="19" ht="12">
      <c r="A19" s="185"/>
    </row>
    <row r="20" ht="12">
      <c r="A20" s="185"/>
    </row>
    <row r="21" ht="12">
      <c r="A21" s="185"/>
    </row>
    <row r="22" ht="12">
      <c r="A22" s="185"/>
    </row>
    <row r="23" ht="12">
      <c r="A23" s="185"/>
    </row>
    <row r="24" ht="12">
      <c r="A24" s="185"/>
    </row>
  </sheetData>
  <sheetProtection password="EBD1" sheet="1"/>
  <printOptions/>
  <pageMargins left="0.39" right="0.35" top="0.6" bottom="0.82" header="0.39" footer="0.5"/>
  <pageSetup fitToHeight="1" fitToWidth="1" horizontalDpi="600" verticalDpi="600" orientation="portrait" scale="97" r:id="rId2"/>
  <drawing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M32"/>
  <sheetViews>
    <sheetView showGridLines="0" showOutlineSymbols="0" workbookViewId="0" topLeftCell="A1">
      <pane ySplit="3" topLeftCell="A4" activePane="bottomLeft" state="frozen"/>
      <selection pane="topLeft" activeCell="B11" sqref="B11"/>
      <selection pane="bottomLeft" activeCell="A4" sqref="A4:H4"/>
    </sheetView>
  </sheetViews>
  <sheetFormatPr defaultColWidth="9.140625" defaultRowHeight="12.75"/>
  <cols>
    <col min="1" max="1" width="5.00390625" style="8" customWidth="1"/>
    <col min="2" max="2" width="12.421875" style="8" customWidth="1"/>
    <col min="3" max="3" width="20.421875" style="8" customWidth="1"/>
    <col min="4" max="8" width="12.421875" style="8" customWidth="1"/>
    <col min="9" max="9" width="3.421875" style="10" bestFit="1" customWidth="1"/>
    <col min="10" max="16384" width="9.140625" style="8" customWidth="1"/>
  </cols>
  <sheetData>
    <row r="1" spans="1:8" ht="12.75" customHeight="1">
      <c r="A1" s="1035">
        <f>'Cover Page'!A9</f>
        <v>0</v>
      </c>
      <c r="B1" s="1035"/>
      <c r="C1" s="1035"/>
      <c r="D1" s="1035"/>
      <c r="E1" s="1035"/>
      <c r="F1" s="1035"/>
      <c r="G1" s="1035"/>
      <c r="H1" s="1035"/>
    </row>
    <row r="2" spans="1:8" ht="10.5">
      <c r="A2" s="1036" t="s">
        <v>573</v>
      </c>
      <c r="B2" s="1036"/>
      <c r="C2" s="1036"/>
      <c r="D2" s="1036"/>
      <c r="E2" s="1036"/>
      <c r="F2" s="1036"/>
      <c r="G2" s="1036"/>
      <c r="H2" s="1036"/>
    </row>
    <row r="3" spans="1:8" ht="10.5" thickBot="1">
      <c r="A3" s="1035" t="str">
        <f>'Required Attachments'!A3</f>
        <v>Budget for the period from July 1, 2022 to June 30, 2023</v>
      </c>
      <c r="B3" s="1035"/>
      <c r="C3" s="1035"/>
      <c r="D3" s="1035"/>
      <c r="E3" s="1035"/>
      <c r="F3" s="1035"/>
      <c r="G3" s="1035"/>
      <c r="H3" s="1035"/>
    </row>
    <row r="4" spans="1:9" ht="189" customHeight="1" thickBot="1" thickTop="1">
      <c r="A4" s="1127" t="s">
        <v>781</v>
      </c>
      <c r="B4" s="1128"/>
      <c r="C4" s="1128"/>
      <c r="D4" s="1128"/>
      <c r="E4" s="1128"/>
      <c r="F4" s="1128"/>
      <c r="G4" s="1128"/>
      <c r="H4" s="1128"/>
      <c r="I4" s="146"/>
    </row>
    <row r="5" spans="1:12" ht="15" customHeight="1" thickTop="1">
      <c r="A5" s="812"/>
      <c r="B5" s="404"/>
      <c r="C5" s="1041" t="s">
        <v>503</v>
      </c>
      <c r="D5" s="1041"/>
      <c r="E5" s="1041"/>
      <c r="F5" s="1041"/>
      <c r="G5" s="1041"/>
      <c r="H5" s="404"/>
      <c r="J5" s="10"/>
      <c r="K5" s="63" t="s">
        <v>509</v>
      </c>
      <c r="L5" s="10"/>
    </row>
    <row r="6" spans="1:12" ht="37.5" customHeight="1">
      <c r="A6" s="28" t="s">
        <v>5</v>
      </c>
      <c r="B6" s="1085" t="s">
        <v>173</v>
      </c>
      <c r="C6" s="1126"/>
      <c r="D6" s="137" t="s">
        <v>701</v>
      </c>
      <c r="E6" s="117" t="s">
        <v>369</v>
      </c>
      <c r="F6" s="117" t="s">
        <v>174</v>
      </c>
      <c r="G6" s="117" t="s">
        <v>175</v>
      </c>
      <c r="H6" s="191" t="s">
        <v>176</v>
      </c>
      <c r="J6" s="913" t="s">
        <v>709</v>
      </c>
      <c r="K6" s="637" t="s">
        <v>35</v>
      </c>
      <c r="L6" s="638" t="s">
        <v>34</v>
      </c>
    </row>
    <row r="7" spans="1:12" ht="15" customHeight="1">
      <c r="A7" s="54">
        <v>1</v>
      </c>
      <c r="B7" s="1118" t="s">
        <v>0</v>
      </c>
      <c r="C7" s="1119"/>
      <c r="D7" s="69"/>
      <c r="E7" s="69"/>
      <c r="F7" s="69"/>
      <c r="G7" s="658">
        <v>0.5</v>
      </c>
      <c r="H7" s="661">
        <f aca="true" t="shared" si="0" ref="H7:H13">ROUND((E7+F7)/2*G7,2)</f>
        <v>0</v>
      </c>
      <c r="J7" s="665">
        <f aca="true" t="shared" si="1" ref="J7:L13">D7*$G7</f>
        <v>0</v>
      </c>
      <c r="K7" s="666">
        <f t="shared" si="1"/>
        <v>0</v>
      </c>
      <c r="L7" s="667">
        <f t="shared" si="1"/>
        <v>0</v>
      </c>
    </row>
    <row r="8" spans="1:12" ht="15" customHeight="1">
      <c r="A8" s="54">
        <v>2</v>
      </c>
      <c r="B8" s="1118" t="s">
        <v>101</v>
      </c>
      <c r="C8" s="1119"/>
      <c r="D8" s="69"/>
      <c r="E8" s="69"/>
      <c r="F8" s="69"/>
      <c r="G8" s="658">
        <v>0.6</v>
      </c>
      <c r="H8" s="661">
        <f t="shared" si="0"/>
        <v>0</v>
      </c>
      <c r="J8" s="665">
        <f t="shared" si="1"/>
        <v>0</v>
      </c>
      <c r="K8" s="666">
        <f t="shared" si="1"/>
        <v>0</v>
      </c>
      <c r="L8" s="667">
        <f t="shared" si="1"/>
        <v>0</v>
      </c>
    </row>
    <row r="9" spans="1:12" ht="15" customHeight="1">
      <c r="A9" s="54">
        <v>3</v>
      </c>
      <c r="B9" s="1118" t="s">
        <v>1</v>
      </c>
      <c r="C9" s="1119"/>
      <c r="D9" s="69"/>
      <c r="E9" s="69"/>
      <c r="F9" s="69"/>
      <c r="G9" s="658">
        <v>0.5</v>
      </c>
      <c r="H9" s="661">
        <f t="shared" si="0"/>
        <v>0</v>
      </c>
      <c r="J9" s="665">
        <f t="shared" si="1"/>
        <v>0</v>
      </c>
      <c r="K9" s="666">
        <f t="shared" si="1"/>
        <v>0</v>
      </c>
      <c r="L9" s="667">
        <f t="shared" si="1"/>
        <v>0</v>
      </c>
    </row>
    <row r="10" spans="1:12" ht="15" customHeight="1">
      <c r="A10" s="54">
        <v>4</v>
      </c>
      <c r="B10" s="1118" t="s">
        <v>2</v>
      </c>
      <c r="C10" s="1119"/>
      <c r="D10" s="69"/>
      <c r="E10" s="69"/>
      <c r="F10" s="69"/>
      <c r="G10" s="658">
        <v>0.6</v>
      </c>
      <c r="H10" s="661">
        <f t="shared" si="0"/>
        <v>0</v>
      </c>
      <c r="J10" s="665">
        <f t="shared" si="1"/>
        <v>0</v>
      </c>
      <c r="K10" s="666">
        <f t="shared" si="1"/>
        <v>0</v>
      </c>
      <c r="L10" s="667">
        <f t="shared" si="1"/>
        <v>0</v>
      </c>
    </row>
    <row r="11" spans="1:12" ht="15" customHeight="1">
      <c r="A11" s="54">
        <v>5</v>
      </c>
      <c r="B11" s="1118" t="s">
        <v>3</v>
      </c>
      <c r="C11" s="1119"/>
      <c r="D11" s="69"/>
      <c r="E11" s="69"/>
      <c r="F11" s="69"/>
      <c r="G11" s="658">
        <v>0.8</v>
      </c>
      <c r="H11" s="661">
        <f t="shared" si="0"/>
        <v>0</v>
      </c>
      <c r="J11" s="665">
        <f t="shared" si="1"/>
        <v>0</v>
      </c>
      <c r="K11" s="666">
        <f t="shared" si="1"/>
        <v>0</v>
      </c>
      <c r="L11" s="667">
        <f t="shared" si="1"/>
        <v>0</v>
      </c>
    </row>
    <row r="12" spans="1:12" ht="15" customHeight="1">
      <c r="A12" s="54">
        <v>6</v>
      </c>
      <c r="B12" s="1118" t="s">
        <v>4</v>
      </c>
      <c r="C12" s="1119"/>
      <c r="D12" s="69"/>
      <c r="E12" s="69"/>
      <c r="F12" s="69"/>
      <c r="G12" s="658">
        <v>1</v>
      </c>
      <c r="H12" s="661">
        <f t="shared" si="0"/>
        <v>0</v>
      </c>
      <c r="J12" s="665">
        <f t="shared" si="1"/>
        <v>0</v>
      </c>
      <c r="K12" s="666">
        <f t="shared" si="1"/>
        <v>0</v>
      </c>
      <c r="L12" s="667">
        <f t="shared" si="1"/>
        <v>0</v>
      </c>
    </row>
    <row r="13" spans="1:12" ht="15" customHeight="1" thickBot="1">
      <c r="A13" s="55">
        <v>7</v>
      </c>
      <c r="B13" s="124" t="s">
        <v>65</v>
      </c>
      <c r="C13" s="125"/>
      <c r="D13" s="70"/>
      <c r="E13" s="70"/>
      <c r="F13" s="70"/>
      <c r="G13" s="659">
        <v>1</v>
      </c>
      <c r="H13" s="662">
        <f t="shared" si="0"/>
        <v>0</v>
      </c>
      <c r="J13" s="668">
        <f t="shared" si="1"/>
        <v>0</v>
      </c>
      <c r="K13" s="669">
        <f t="shared" si="1"/>
        <v>0</v>
      </c>
      <c r="L13" s="670">
        <f t="shared" si="1"/>
        <v>0</v>
      </c>
    </row>
    <row r="14" spans="1:12" ht="15" customHeight="1" thickBot="1">
      <c r="A14" s="76">
        <v>8</v>
      </c>
      <c r="B14" s="1139" t="s">
        <v>505</v>
      </c>
      <c r="C14" s="1140"/>
      <c r="D14" s="416">
        <f>SUM(D7:D13)</f>
        <v>0</v>
      </c>
      <c r="E14" s="416">
        <f>SUM(E7:E13)</f>
        <v>0</v>
      </c>
      <c r="F14" s="416">
        <f>SUM(F7:F13)</f>
        <v>0</v>
      </c>
      <c r="G14" s="660"/>
      <c r="H14" s="663">
        <f>SUM(H7:H13)</f>
        <v>0</v>
      </c>
      <c r="J14" s="671">
        <f>SUM(J7:J13)</f>
        <v>0</v>
      </c>
      <c r="K14" s="672">
        <f>SUM(K7:K13)</f>
        <v>0</v>
      </c>
      <c r="L14" s="671">
        <f>SUM(L7:L13)</f>
        <v>0</v>
      </c>
    </row>
    <row r="15" spans="1:12" ht="15" customHeight="1" thickBot="1">
      <c r="A15" s="55">
        <v>9</v>
      </c>
      <c r="B15" s="1129" t="s">
        <v>66</v>
      </c>
      <c r="C15" s="1130"/>
      <c r="D15" s="70"/>
      <c r="E15" s="70"/>
      <c r="F15" s="70"/>
      <c r="G15" s="659">
        <v>1</v>
      </c>
      <c r="H15" s="663">
        <f>ROUND((E15+F15)/2*G15,2)</f>
        <v>0</v>
      </c>
      <c r="J15" s="673">
        <f>D15*$G15</f>
        <v>0</v>
      </c>
      <c r="K15" s="674">
        <f>E15*$G15</f>
        <v>0</v>
      </c>
      <c r="L15" s="675">
        <f>F15*$G15</f>
        <v>0</v>
      </c>
    </row>
    <row r="16" spans="1:12" ht="15" customHeight="1" thickBot="1">
      <c r="A16" s="59">
        <v>10</v>
      </c>
      <c r="B16" s="1124" t="s">
        <v>506</v>
      </c>
      <c r="C16" s="1125"/>
      <c r="D16" s="657">
        <f>SUM(D14:D15)</f>
        <v>0</v>
      </c>
      <c r="E16" s="657">
        <f>SUM(E14:E15)</f>
        <v>0</v>
      </c>
      <c r="F16" s="657">
        <f>SUM(F14:F15)</f>
        <v>0</v>
      </c>
      <c r="G16" s="110"/>
      <c r="H16" s="681">
        <f>SUM(H14:H15)</f>
        <v>0</v>
      </c>
      <c r="J16" s="676">
        <f>SUM(J14:J15)</f>
        <v>0</v>
      </c>
      <c r="K16" s="677">
        <f>SUM(K14:K15)</f>
        <v>0</v>
      </c>
      <c r="L16" s="678">
        <f>SUM(L14:L15)</f>
        <v>0</v>
      </c>
    </row>
    <row r="17" spans="1:12" ht="15" customHeight="1" thickTop="1">
      <c r="A17" s="50"/>
      <c r="B17" s="404"/>
      <c r="C17" s="1041" t="s">
        <v>504</v>
      </c>
      <c r="D17" s="1041"/>
      <c r="E17" s="1041"/>
      <c r="F17" s="1041"/>
      <c r="G17" s="1041"/>
      <c r="H17" s="404"/>
      <c r="J17" s="10"/>
      <c r="K17" s="63" t="s">
        <v>509</v>
      </c>
      <c r="L17" s="10"/>
    </row>
    <row r="18" spans="1:12" ht="36" customHeight="1">
      <c r="A18" s="28" t="s">
        <v>5</v>
      </c>
      <c r="B18" s="1085" t="s">
        <v>173</v>
      </c>
      <c r="C18" s="1126"/>
      <c r="D18" s="137" t="s">
        <v>701</v>
      </c>
      <c r="E18" s="117" t="s">
        <v>369</v>
      </c>
      <c r="F18" s="117" t="s">
        <v>174</v>
      </c>
      <c r="G18" s="117" t="s">
        <v>175</v>
      </c>
      <c r="H18" s="191" t="s">
        <v>176</v>
      </c>
      <c r="J18" s="913" t="s">
        <v>709</v>
      </c>
      <c r="K18" s="637" t="s">
        <v>35</v>
      </c>
      <c r="L18" s="638" t="s">
        <v>34</v>
      </c>
    </row>
    <row r="19" spans="1:12" ht="15" customHeight="1">
      <c r="A19" s="54">
        <v>11</v>
      </c>
      <c r="B19" s="1118" t="s">
        <v>0</v>
      </c>
      <c r="C19" s="1119"/>
      <c r="D19" s="69"/>
      <c r="E19" s="69"/>
      <c r="F19" s="69"/>
      <c r="G19" s="658">
        <v>0.5</v>
      </c>
      <c r="H19" s="661">
        <f aca="true" t="shared" si="2" ref="H19:H25">ROUND((E19+F19)/2*G19,2)</f>
        <v>0</v>
      </c>
      <c r="I19" s="109"/>
      <c r="J19" s="665">
        <f aca="true" t="shared" si="3" ref="J19:J25">D19*$G19</f>
        <v>0</v>
      </c>
      <c r="K19" s="666">
        <f aca="true" t="shared" si="4" ref="K19:K25">E19*$G19</f>
        <v>0</v>
      </c>
      <c r="L19" s="667">
        <f aca="true" t="shared" si="5" ref="L19:L25">F19*$G19</f>
        <v>0</v>
      </c>
    </row>
    <row r="20" spans="1:12" ht="15" customHeight="1">
      <c r="A20" s="54">
        <v>12</v>
      </c>
      <c r="B20" s="1118" t="s">
        <v>101</v>
      </c>
      <c r="C20" s="1119"/>
      <c r="D20" s="69"/>
      <c r="E20" s="69"/>
      <c r="F20" s="69"/>
      <c r="G20" s="658">
        <v>0.6</v>
      </c>
      <c r="H20" s="661">
        <f t="shared" si="2"/>
        <v>0</v>
      </c>
      <c r="I20" s="109"/>
      <c r="J20" s="665">
        <f t="shared" si="3"/>
        <v>0</v>
      </c>
      <c r="K20" s="666">
        <f t="shared" si="4"/>
        <v>0</v>
      </c>
      <c r="L20" s="667">
        <f t="shared" si="5"/>
        <v>0</v>
      </c>
    </row>
    <row r="21" spans="1:12" ht="15" customHeight="1">
      <c r="A21" s="54">
        <v>13</v>
      </c>
      <c r="B21" s="1118" t="s">
        <v>1</v>
      </c>
      <c r="C21" s="1119"/>
      <c r="D21" s="69"/>
      <c r="E21" s="69"/>
      <c r="F21" s="69"/>
      <c r="G21" s="658">
        <v>0.5</v>
      </c>
      <c r="H21" s="661">
        <f t="shared" si="2"/>
        <v>0</v>
      </c>
      <c r="I21" s="109"/>
      <c r="J21" s="665">
        <f t="shared" si="3"/>
        <v>0</v>
      </c>
      <c r="K21" s="666">
        <f t="shared" si="4"/>
        <v>0</v>
      </c>
      <c r="L21" s="667">
        <f t="shared" si="5"/>
        <v>0</v>
      </c>
    </row>
    <row r="22" spans="1:12" ht="15" customHeight="1">
      <c r="A22" s="54">
        <v>14</v>
      </c>
      <c r="B22" s="1118" t="s">
        <v>2</v>
      </c>
      <c r="C22" s="1119"/>
      <c r="D22" s="69"/>
      <c r="E22" s="69"/>
      <c r="F22" s="69"/>
      <c r="G22" s="658">
        <v>0.6</v>
      </c>
      <c r="H22" s="661">
        <f t="shared" si="2"/>
        <v>0</v>
      </c>
      <c r="I22" s="109"/>
      <c r="J22" s="665">
        <f t="shared" si="3"/>
        <v>0</v>
      </c>
      <c r="K22" s="666">
        <f t="shared" si="4"/>
        <v>0</v>
      </c>
      <c r="L22" s="667">
        <f t="shared" si="5"/>
        <v>0</v>
      </c>
    </row>
    <row r="23" spans="1:12" ht="15" customHeight="1">
      <c r="A23" s="54">
        <v>15</v>
      </c>
      <c r="B23" s="1118" t="s">
        <v>3</v>
      </c>
      <c r="C23" s="1119"/>
      <c r="D23" s="69"/>
      <c r="E23" s="69"/>
      <c r="F23" s="69"/>
      <c r="G23" s="658">
        <v>0.8</v>
      </c>
      <c r="H23" s="661">
        <f t="shared" si="2"/>
        <v>0</v>
      </c>
      <c r="I23" s="109"/>
      <c r="J23" s="665">
        <f t="shared" si="3"/>
        <v>0</v>
      </c>
      <c r="K23" s="666">
        <f t="shared" si="4"/>
        <v>0</v>
      </c>
      <c r="L23" s="667">
        <f t="shared" si="5"/>
        <v>0</v>
      </c>
    </row>
    <row r="24" spans="1:12" ht="15" customHeight="1">
      <c r="A24" s="54">
        <v>16</v>
      </c>
      <c r="B24" s="1118" t="s">
        <v>4</v>
      </c>
      <c r="C24" s="1119"/>
      <c r="D24" s="69"/>
      <c r="E24" s="69"/>
      <c r="F24" s="69"/>
      <c r="G24" s="658">
        <v>1</v>
      </c>
      <c r="H24" s="661">
        <f t="shared" si="2"/>
        <v>0</v>
      </c>
      <c r="I24" s="109"/>
      <c r="J24" s="665">
        <f t="shared" si="3"/>
        <v>0</v>
      </c>
      <c r="K24" s="666">
        <f t="shared" si="4"/>
        <v>0</v>
      </c>
      <c r="L24" s="667">
        <f t="shared" si="5"/>
        <v>0</v>
      </c>
    </row>
    <row r="25" spans="1:12" ht="15" customHeight="1" thickBot="1">
      <c r="A25" s="55">
        <v>17</v>
      </c>
      <c r="B25" s="124" t="s">
        <v>65</v>
      </c>
      <c r="C25" s="125"/>
      <c r="D25" s="70"/>
      <c r="E25" s="70"/>
      <c r="F25" s="70"/>
      <c r="G25" s="659">
        <v>1</v>
      </c>
      <c r="H25" s="662">
        <f t="shared" si="2"/>
        <v>0</v>
      </c>
      <c r="I25" s="109"/>
      <c r="J25" s="668">
        <f t="shared" si="3"/>
        <v>0</v>
      </c>
      <c r="K25" s="669">
        <f t="shared" si="4"/>
        <v>0</v>
      </c>
      <c r="L25" s="670">
        <f t="shared" si="5"/>
        <v>0</v>
      </c>
    </row>
    <row r="26" spans="1:12" ht="15" customHeight="1" thickBot="1">
      <c r="A26" s="76">
        <v>18</v>
      </c>
      <c r="B26" s="1120" t="s">
        <v>507</v>
      </c>
      <c r="C26" s="1121"/>
      <c r="D26" s="416">
        <f>SUM(D19:D25)</f>
        <v>0</v>
      </c>
      <c r="E26" s="416">
        <f>SUM(E19:E25)</f>
        <v>0</v>
      </c>
      <c r="F26" s="416">
        <f>SUM(F19:F25)</f>
        <v>0</v>
      </c>
      <c r="G26" s="660"/>
      <c r="H26" s="663">
        <f>SUM(H19:H25)</f>
        <v>0</v>
      </c>
      <c r="I26" s="109"/>
      <c r="J26" s="671">
        <f>SUM(J19:J25)</f>
        <v>0</v>
      </c>
      <c r="K26" s="672">
        <f>SUM(K19:K25)</f>
        <v>0</v>
      </c>
      <c r="L26" s="671">
        <f>SUM(L19:L25)</f>
        <v>0</v>
      </c>
    </row>
    <row r="27" spans="1:12" ht="15" customHeight="1" thickBot="1">
      <c r="A27" s="55">
        <v>19</v>
      </c>
      <c r="B27" s="1129" t="s">
        <v>66</v>
      </c>
      <c r="C27" s="1130"/>
      <c r="D27" s="70"/>
      <c r="E27" s="70"/>
      <c r="F27" s="70"/>
      <c r="G27" s="659">
        <v>1</v>
      </c>
      <c r="H27" s="663">
        <f>ROUND((E27+F27)/2*G27,2)</f>
        <v>0</v>
      </c>
      <c r="I27" s="109"/>
      <c r="J27" s="673">
        <f>D27*$G27</f>
        <v>0</v>
      </c>
      <c r="K27" s="674">
        <f>E27*$G27</f>
        <v>0</v>
      </c>
      <c r="L27" s="675">
        <f>F27*$G27</f>
        <v>0</v>
      </c>
    </row>
    <row r="28" spans="1:12" ht="15" customHeight="1" thickBot="1">
      <c r="A28" s="170">
        <v>20</v>
      </c>
      <c r="B28" s="1139" t="s">
        <v>508</v>
      </c>
      <c r="C28" s="1140"/>
      <c r="D28" s="945">
        <f>SUM(D26:D27)</f>
        <v>0</v>
      </c>
      <c r="E28" s="945">
        <f>SUM(E26:E27)</f>
        <v>0</v>
      </c>
      <c r="F28" s="945">
        <f>SUM(F26:F27)</f>
        <v>0</v>
      </c>
      <c r="G28" s="955"/>
      <c r="H28" s="956">
        <f>SUM(H26:H27)</f>
        <v>0</v>
      </c>
      <c r="I28" s="109"/>
      <c r="J28" s="676">
        <f>SUM(J26:J27)</f>
        <v>0</v>
      </c>
      <c r="K28" s="677">
        <f>SUM(K26:K27)</f>
        <v>0</v>
      </c>
      <c r="L28" s="678">
        <f>SUM(L26:L27)</f>
        <v>0</v>
      </c>
    </row>
    <row r="29" spans="1:9" ht="15" customHeight="1" thickBot="1">
      <c r="A29" s="56">
        <v>21</v>
      </c>
      <c r="B29" s="1137" t="s">
        <v>494</v>
      </c>
      <c r="C29" s="1138"/>
      <c r="D29" s="680">
        <f>D16+D28</f>
        <v>0</v>
      </c>
      <c r="E29" s="680">
        <f>E16+E28</f>
        <v>0</v>
      </c>
      <c r="F29" s="680">
        <f>F16+F28</f>
        <v>0</v>
      </c>
      <c r="G29" s="575"/>
      <c r="H29" s="681">
        <f>H16+H28</f>
        <v>0</v>
      </c>
      <c r="I29" s="109"/>
    </row>
    <row r="30" spans="1:13" ht="15" customHeight="1" thickTop="1">
      <c r="A30" s="50"/>
      <c r="B30" s="50"/>
      <c r="C30" s="1041" t="str">
        <f>"SNSP "&amp;Months!B29&amp;" SUMMER SCHOOL PUPILS"</f>
        <v>SNSP 2022 SUMMER SCHOOL PUPILS</v>
      </c>
      <c r="D30" s="1041"/>
      <c r="E30" s="1041"/>
      <c r="F30" s="1041"/>
      <c r="G30" s="404"/>
      <c r="H30" s="10"/>
      <c r="J30" s="9"/>
      <c r="K30" s="10"/>
      <c r="L30" s="10"/>
      <c r="M30" s="10"/>
    </row>
    <row r="31" spans="1:12" s="546" customFormat="1" ht="63" customHeight="1">
      <c r="A31" s="28" t="s">
        <v>5</v>
      </c>
      <c r="B31" s="1085" t="s">
        <v>199</v>
      </c>
      <c r="C31" s="1126"/>
      <c r="D31" s="137" t="s">
        <v>649</v>
      </c>
      <c r="E31" s="117" t="s">
        <v>650</v>
      </c>
      <c r="F31" s="149" t="s">
        <v>651</v>
      </c>
      <c r="G31" s="875" t="s">
        <v>648</v>
      </c>
      <c r="H31" s="137"/>
      <c r="J31" s="545"/>
      <c r="K31" s="9"/>
      <c r="L31" s="545"/>
    </row>
    <row r="32" spans="1:12" ht="15" customHeight="1" thickBot="1">
      <c r="A32" s="174">
        <v>22</v>
      </c>
      <c r="B32" s="1131" t="s">
        <v>170</v>
      </c>
      <c r="C32" s="1132"/>
      <c r="D32" s="286"/>
      <c r="E32" s="288"/>
      <c r="F32" s="288"/>
      <c r="G32" s="874">
        <f>(E32*PY_Choice_K8_Pmt*0.05)+(F32*PY_Choice_912_Pmt*0.05)+(D32*PY_SNSP_Pmt*0.05)</f>
        <v>0</v>
      </c>
      <c r="H32" s="877"/>
      <c r="I32" s="8"/>
      <c r="J32" s="10"/>
      <c r="K32" s="10"/>
      <c r="L32" s="10"/>
    </row>
    <row r="33" ht="10.5" thickTop="1"/>
  </sheetData>
  <sheetProtection password="EBD1" sheet="1"/>
  <mergeCells count="30">
    <mergeCell ref="B26:C26"/>
    <mergeCell ref="B27:C27"/>
    <mergeCell ref="B28:C28"/>
    <mergeCell ref="B6:C6"/>
    <mergeCell ref="B18:C18"/>
    <mergeCell ref="B19:C19"/>
    <mergeCell ref="B20:C20"/>
    <mergeCell ref="B21:C21"/>
    <mergeCell ref="B22:C22"/>
    <mergeCell ref="B23:C23"/>
    <mergeCell ref="B11:C11"/>
    <mergeCell ref="B12:C12"/>
    <mergeCell ref="B15:C15"/>
    <mergeCell ref="B24:C24"/>
    <mergeCell ref="B16:C16"/>
    <mergeCell ref="C5:G5"/>
    <mergeCell ref="B7:C7"/>
    <mergeCell ref="B8:C8"/>
    <mergeCell ref="B14:C14"/>
    <mergeCell ref="C17:G17"/>
    <mergeCell ref="C30:F30"/>
    <mergeCell ref="B31:C31"/>
    <mergeCell ref="B32:C32"/>
    <mergeCell ref="A1:H1"/>
    <mergeCell ref="A2:H2"/>
    <mergeCell ref="A3:H3"/>
    <mergeCell ref="A4:H4"/>
    <mergeCell ref="B29:C29"/>
    <mergeCell ref="B9:C9"/>
    <mergeCell ref="B10:C10"/>
  </mergeCells>
  <printOptions/>
  <pageMargins left="0.39" right="0.35" top="0.6" bottom="0.39" header="0.39" footer="0.27"/>
  <pageSetup firstPageNumber="1" useFirstPageNumber="1" fitToHeight="1" fitToWidth="1" horizontalDpi="600" verticalDpi="600" orientation="portrait" r:id="rId2"/>
  <headerFooter alignWithMargins="0">
    <oddHeader>&amp;LPI-PCP-14&amp;RPage 5</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E28"/>
  <sheetViews>
    <sheetView showGridLines="0" zoomScalePageLayoutView="0" workbookViewId="0" topLeftCell="A1">
      <pane xSplit="1" ySplit="6" topLeftCell="B7" activePane="bottomRight" state="frozen"/>
      <selection pane="topLeft" activeCell="B11" sqref="B11"/>
      <selection pane="topRight" activeCell="B11" sqref="B11"/>
      <selection pane="bottomLeft" activeCell="B11" sqref="B11"/>
      <selection pane="bottomRight" activeCell="A5" sqref="A5:E5"/>
    </sheetView>
  </sheetViews>
  <sheetFormatPr defaultColWidth="9.140625" defaultRowHeight="12.75"/>
  <cols>
    <col min="1" max="1" width="3.8515625" style="8" bestFit="1" customWidth="1"/>
    <col min="2" max="2" width="43.8515625" style="8" customWidth="1"/>
    <col min="3" max="3" width="43.57421875" style="8" customWidth="1"/>
    <col min="4" max="4" width="23.421875" style="8" customWidth="1"/>
    <col min="5" max="5" width="8.57421875" style="8" bestFit="1" customWidth="1"/>
    <col min="6" max="16384" width="9.140625" style="8" customWidth="1"/>
  </cols>
  <sheetData>
    <row r="1" spans="1:5" ht="10.5">
      <c r="A1" s="1069">
        <f>'Cover Page'!A9</f>
        <v>0</v>
      </c>
      <c r="B1" s="1069"/>
      <c r="C1" s="1069"/>
      <c r="D1" s="1069"/>
      <c r="E1" s="1069"/>
    </row>
    <row r="2" spans="1:5" ht="10.5">
      <c r="A2" s="1073" t="s">
        <v>570</v>
      </c>
      <c r="B2" s="1073"/>
      <c r="C2" s="1073"/>
      <c r="D2" s="1073"/>
      <c r="E2" s="1073"/>
    </row>
    <row r="3" spans="1:5" ht="10.5" thickBot="1">
      <c r="A3" s="1074" t="str">
        <f>'Required Attachments'!A3</f>
        <v>Budget for the period from July 1, 2022 to June 30, 2023</v>
      </c>
      <c r="B3" s="1074"/>
      <c r="C3" s="1074"/>
      <c r="D3" s="1074"/>
      <c r="E3" s="1074"/>
    </row>
    <row r="4" spans="1:5" ht="10.5" thickTop="1">
      <c r="A4" s="71"/>
      <c r="B4" s="95"/>
      <c r="C4" s="344" t="s">
        <v>683</v>
      </c>
      <c r="D4" s="95"/>
      <c r="E4" s="95"/>
    </row>
    <row r="5" spans="1:5" ht="63.75" customHeight="1">
      <c r="A5" s="1141" t="s">
        <v>795</v>
      </c>
      <c r="B5" s="1141"/>
      <c r="C5" s="1141"/>
      <c r="D5" s="1141"/>
      <c r="E5" s="1141"/>
    </row>
    <row r="6" spans="1:5" ht="28.5" customHeight="1">
      <c r="A6" s="156" t="s">
        <v>5</v>
      </c>
      <c r="B6" s="345" t="s">
        <v>87</v>
      </c>
      <c r="C6" s="157" t="s">
        <v>751</v>
      </c>
      <c r="D6" s="158" t="s">
        <v>88</v>
      </c>
      <c r="E6" s="159" t="s">
        <v>89</v>
      </c>
    </row>
    <row r="7" spans="1:5" ht="39.75" customHeight="1">
      <c r="A7" s="160">
        <v>1</v>
      </c>
      <c r="B7" s="145"/>
      <c r="C7" s="96"/>
      <c r="D7" s="97"/>
      <c r="E7" s="98"/>
    </row>
    <row r="8" spans="1:5" ht="39.75" customHeight="1">
      <c r="A8" s="160">
        <v>2</v>
      </c>
      <c r="B8" s="145"/>
      <c r="C8" s="96"/>
      <c r="D8" s="97"/>
      <c r="E8" s="98"/>
    </row>
    <row r="9" spans="1:5" ht="39.75" customHeight="1">
      <c r="A9" s="160">
        <v>3</v>
      </c>
      <c r="B9" s="145"/>
      <c r="C9" s="96"/>
      <c r="D9" s="97"/>
      <c r="E9" s="98"/>
    </row>
    <row r="10" spans="1:5" ht="39.75" customHeight="1">
      <c r="A10" s="160">
        <v>4</v>
      </c>
      <c r="B10" s="145"/>
      <c r="C10" s="96"/>
      <c r="D10" s="97"/>
      <c r="E10" s="98"/>
    </row>
    <row r="11" spans="1:5" ht="39.75" customHeight="1">
      <c r="A11" s="160">
        <v>5</v>
      </c>
      <c r="B11" s="145"/>
      <c r="C11" s="96"/>
      <c r="D11" s="97"/>
      <c r="E11" s="98"/>
    </row>
    <row r="12" spans="1:5" ht="39.75" customHeight="1">
      <c r="A12" s="160">
        <v>6</v>
      </c>
      <c r="B12" s="145"/>
      <c r="C12" s="96"/>
      <c r="D12" s="97"/>
      <c r="E12" s="98"/>
    </row>
    <row r="13" spans="1:5" ht="39.75" customHeight="1">
      <c r="A13" s="160">
        <v>7</v>
      </c>
      <c r="B13" s="145"/>
      <c r="C13" s="96"/>
      <c r="D13" s="97"/>
      <c r="E13" s="98"/>
    </row>
    <row r="14" spans="1:5" ht="39.75" customHeight="1">
      <c r="A14" s="160">
        <v>8</v>
      </c>
      <c r="B14" s="145"/>
      <c r="C14" s="96"/>
      <c r="D14" s="97"/>
      <c r="E14" s="98"/>
    </row>
    <row r="15" spans="1:5" ht="39.75" customHeight="1">
      <c r="A15" s="160">
        <v>9</v>
      </c>
      <c r="B15" s="145"/>
      <c r="C15" s="96"/>
      <c r="D15" s="97"/>
      <c r="E15" s="98"/>
    </row>
    <row r="16" spans="1:5" ht="39.75" customHeight="1">
      <c r="A16" s="160">
        <v>10</v>
      </c>
      <c r="B16" s="145"/>
      <c r="C16" s="96"/>
      <c r="D16" s="97"/>
      <c r="E16" s="98"/>
    </row>
    <row r="17" spans="1:5" ht="39.75" customHeight="1">
      <c r="A17" s="160">
        <v>11</v>
      </c>
      <c r="B17" s="145"/>
      <c r="C17" s="96"/>
      <c r="D17" s="97"/>
      <c r="E17" s="98"/>
    </row>
    <row r="18" spans="1:5" ht="39.75" customHeight="1">
      <c r="A18" s="160">
        <v>12</v>
      </c>
      <c r="B18" s="145"/>
      <c r="C18" s="96"/>
      <c r="D18" s="97"/>
      <c r="E18" s="98"/>
    </row>
    <row r="19" spans="1:5" ht="39.75" customHeight="1">
      <c r="A19" s="160">
        <v>13</v>
      </c>
      <c r="B19" s="145"/>
      <c r="C19" s="96"/>
      <c r="D19" s="97"/>
      <c r="E19" s="98"/>
    </row>
    <row r="20" spans="1:5" ht="39.75" customHeight="1">
      <c r="A20" s="160">
        <v>14</v>
      </c>
      <c r="B20" s="145"/>
      <c r="C20" s="96"/>
      <c r="D20" s="97"/>
      <c r="E20" s="98"/>
    </row>
    <row r="21" spans="1:5" ht="39.75" customHeight="1">
      <c r="A21" s="160">
        <v>15</v>
      </c>
      <c r="B21" s="145"/>
      <c r="C21" s="96"/>
      <c r="D21" s="97"/>
      <c r="E21" s="98"/>
    </row>
    <row r="22" spans="1:5" ht="39.75" customHeight="1">
      <c r="A22" s="160">
        <v>16</v>
      </c>
      <c r="B22" s="145"/>
      <c r="C22" s="96"/>
      <c r="D22" s="97"/>
      <c r="E22" s="98"/>
    </row>
    <row r="23" spans="1:5" ht="39.75" customHeight="1">
      <c r="A23" s="160">
        <v>17</v>
      </c>
      <c r="B23" s="145"/>
      <c r="C23" s="96"/>
      <c r="D23" s="97"/>
      <c r="E23" s="98"/>
    </row>
    <row r="24" spans="1:5" ht="39.75" customHeight="1">
      <c r="A24" s="160">
        <v>18</v>
      </c>
      <c r="B24" s="145"/>
      <c r="C24" s="96"/>
      <c r="D24" s="97"/>
      <c r="E24" s="98"/>
    </row>
    <row r="25" spans="1:5" ht="39.75" customHeight="1">
      <c r="A25" s="160">
        <v>19</v>
      </c>
      <c r="B25" s="145"/>
      <c r="C25" s="96"/>
      <c r="D25" s="97"/>
      <c r="E25" s="98"/>
    </row>
    <row r="26" spans="1:5" ht="39.75" customHeight="1">
      <c r="A26" s="160">
        <v>20</v>
      </c>
      <c r="B26" s="145"/>
      <c r="C26" s="96"/>
      <c r="D26" s="97"/>
      <c r="E26" s="98"/>
    </row>
    <row r="27" spans="1:5" ht="39.75" customHeight="1" thickBot="1">
      <c r="A27" s="160">
        <v>21</v>
      </c>
      <c r="B27" s="145"/>
      <c r="C27" s="96"/>
      <c r="D27" s="97"/>
      <c r="E27" s="98"/>
    </row>
    <row r="28" spans="1:5" ht="15.75" customHeight="1" thickBot="1">
      <c r="A28" s="161">
        <v>22</v>
      </c>
      <c r="B28" s="363" t="s">
        <v>57</v>
      </c>
      <c r="C28" s="162"/>
      <c r="D28" s="163"/>
      <c r="E28" s="406">
        <f>SUM(E7:E27)</f>
        <v>0</v>
      </c>
    </row>
    <row r="29" ht="10.5" thickTop="1"/>
  </sheetData>
  <sheetProtection password="EBD1" sheet="1"/>
  <mergeCells count="4">
    <mergeCell ref="A1:E1"/>
    <mergeCell ref="A2:E2"/>
    <mergeCell ref="A3:E3"/>
    <mergeCell ref="A5:E5"/>
  </mergeCells>
  <printOptions/>
  <pageMargins left="0.4" right="0.29" top="0.53" bottom="0.46" header="0.3" footer="0.3"/>
  <pageSetup fitToHeight="2" fitToWidth="1" horizontalDpi="600" verticalDpi="600" orientation="landscape" scale="89" r:id="rId1"/>
  <headerFooter>
    <oddHeader>&amp;LPI-PCP-14&amp;RPage 6</oddHeader>
  </headerFooter>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V48"/>
  <sheetViews>
    <sheetView showGridLines="0" showOutlineSymbols="0" zoomScaleSheetLayoutView="100" workbookViewId="0" topLeftCell="A1">
      <selection activeCell="A1" sqref="A1:H1"/>
    </sheetView>
  </sheetViews>
  <sheetFormatPr defaultColWidth="8.8515625" defaultRowHeight="15" customHeight="1"/>
  <cols>
    <col min="1" max="1" width="4.57421875" style="408" customWidth="1"/>
    <col min="2" max="2" width="18.00390625" style="8" customWidth="1"/>
    <col min="3" max="3" width="14.57421875" style="8" customWidth="1"/>
    <col min="4" max="4" width="7.57421875" style="8" customWidth="1"/>
    <col min="5" max="5" width="8.421875" style="8" customWidth="1"/>
    <col min="6" max="7" width="13.00390625" style="8" customWidth="1"/>
    <col min="8" max="8" width="14.421875" style="8" customWidth="1"/>
    <col min="9" max="9" width="15.00390625" style="8" customWidth="1"/>
    <col min="10" max="16" width="8.8515625" style="8" customWidth="1"/>
    <col min="17" max="22" width="0" style="8" hidden="1" customWidth="1"/>
    <col min="23" max="16384" width="8.8515625" style="8" customWidth="1"/>
  </cols>
  <sheetData>
    <row r="1" spans="1:8" ht="15" customHeight="1">
      <c r="A1" s="1036">
        <f>'Cover Page'!A9</f>
        <v>0</v>
      </c>
      <c r="B1" s="1036"/>
      <c r="C1" s="1036"/>
      <c r="D1" s="1036"/>
      <c r="E1" s="1036"/>
      <c r="F1" s="1036"/>
      <c r="G1" s="1036"/>
      <c r="H1" s="1036"/>
    </row>
    <row r="2" spans="1:8" ht="15" customHeight="1">
      <c r="A2" s="1035" t="s">
        <v>259</v>
      </c>
      <c r="B2" s="1035"/>
      <c r="C2" s="1035"/>
      <c r="D2" s="1035"/>
      <c r="E2" s="1035"/>
      <c r="F2" s="1035"/>
      <c r="G2" s="1035"/>
      <c r="H2" s="1035"/>
    </row>
    <row r="3" spans="1:8" ht="15" customHeight="1" thickBot="1">
      <c r="A3" s="1109" t="str">
        <f>'Required Attachments'!A3</f>
        <v>Budget for the period from July 1, 2022 to June 30, 2023</v>
      </c>
      <c r="B3" s="1109"/>
      <c r="C3" s="1109"/>
      <c r="D3" s="1109"/>
      <c r="E3" s="1109"/>
      <c r="F3" s="1109"/>
      <c r="G3" s="1109"/>
      <c r="H3" s="1109"/>
    </row>
    <row r="4" spans="1:8" ht="13.5" customHeight="1" thickTop="1">
      <c r="A4" s="152"/>
      <c r="B4" s="153"/>
      <c r="C4" s="1171" t="s">
        <v>194</v>
      </c>
      <c r="D4" s="1171"/>
      <c r="E4" s="1171"/>
      <c r="F4" s="1171"/>
      <c r="G4" s="135"/>
      <c r="H4" s="135"/>
    </row>
    <row r="5" spans="1:8" ht="38.25" customHeight="1" thickBot="1">
      <c r="A5" s="1170" t="s">
        <v>658</v>
      </c>
      <c r="B5" s="1170"/>
      <c r="C5" s="1170"/>
      <c r="D5" s="1170"/>
      <c r="E5" s="1170"/>
      <c r="F5" s="1170"/>
      <c r="G5" s="1170"/>
      <c r="H5" s="1170"/>
    </row>
    <row r="6" spans="1:22" ht="36" customHeight="1" thickBot="1">
      <c r="A6" s="32" t="s">
        <v>5</v>
      </c>
      <c r="B6" s="1161" t="s">
        <v>470</v>
      </c>
      <c r="C6" s="1162"/>
      <c r="D6" s="17" t="s">
        <v>497</v>
      </c>
      <c r="E6" s="259" t="s">
        <v>571</v>
      </c>
      <c r="F6" s="17" t="s">
        <v>574</v>
      </c>
      <c r="G6" s="18" t="s">
        <v>575</v>
      </c>
      <c r="H6" s="18" t="s">
        <v>576</v>
      </c>
      <c r="J6" s="1167" t="s">
        <v>339</v>
      </c>
      <c r="K6" s="1167"/>
      <c r="L6" s="1167"/>
      <c r="M6" s="8" t="s">
        <v>359</v>
      </c>
      <c r="Q6" s="835">
        <f>Months!B24</f>
        <v>44743</v>
      </c>
      <c r="R6" s="835">
        <f>Months!C24</f>
        <v>44774</v>
      </c>
      <c r="S6" s="835">
        <f>Months!D24</f>
        <v>44805</v>
      </c>
      <c r="T6" s="835">
        <f>Months!E24</f>
        <v>44835</v>
      </c>
      <c r="U6" s="835">
        <f>Months!F24</f>
        <v>44866</v>
      </c>
      <c r="V6" s="835">
        <f>Months!G24</f>
        <v>44896</v>
      </c>
    </row>
    <row r="7" spans="1:17" ht="15" customHeight="1">
      <c r="A7" s="54">
        <v>1</v>
      </c>
      <c r="B7" s="116" t="s">
        <v>383</v>
      </c>
      <c r="C7" s="189"/>
      <c r="D7" s="606"/>
      <c r="E7" s="606"/>
      <c r="F7" s="836"/>
      <c r="G7" s="66"/>
      <c r="H7" s="684">
        <f>IF(AND(D7="",G7=""),0,G7/D7)</f>
        <v>0</v>
      </c>
      <c r="J7" s="319" t="str">
        <f>IF(AND(D7&gt;0,H7&lt;20000),"YES","NO")</f>
        <v>NO</v>
      </c>
      <c r="M7" s="319" t="str">
        <f>IF(AND(D7&gt;0,F7=""),"ERROR","OK")</f>
        <v>OK</v>
      </c>
      <c r="Q7" s="835"/>
    </row>
    <row r="8" spans="1:17" ht="15" customHeight="1">
      <c r="A8" s="54">
        <v>2</v>
      </c>
      <c r="B8" s="116" t="s">
        <v>400</v>
      </c>
      <c r="C8" s="189"/>
      <c r="D8" s="606"/>
      <c r="E8" s="606"/>
      <c r="F8" s="836"/>
      <c r="G8" s="66"/>
      <c r="H8" s="684">
        <f aca="true" t="shared" si="0" ref="H8:H17">IF(AND(D8="",G8=""),0,G8/D8)</f>
        <v>0</v>
      </c>
      <c r="J8" s="320" t="str">
        <f aca="true" t="shared" si="1" ref="J8:J17">IF(AND(D8&gt;0,H8&lt;20000),"YES","NO")</f>
        <v>NO</v>
      </c>
      <c r="M8" s="320" t="str">
        <f aca="true" t="shared" si="2" ref="M8:M17">IF(AND(D8&gt;0,F8=""),"ERROR","OK")</f>
        <v>OK</v>
      </c>
      <c r="Q8" s="835"/>
    </row>
    <row r="9" spans="1:17" ht="15" customHeight="1">
      <c r="A9" s="54">
        <v>3</v>
      </c>
      <c r="B9" s="116" t="s">
        <v>69</v>
      </c>
      <c r="C9" s="189"/>
      <c r="D9" s="606"/>
      <c r="E9" s="606"/>
      <c r="F9" s="836"/>
      <c r="G9" s="66"/>
      <c r="H9" s="684">
        <f t="shared" si="0"/>
        <v>0</v>
      </c>
      <c r="J9" s="320" t="str">
        <f t="shared" si="1"/>
        <v>NO</v>
      </c>
      <c r="M9" s="320" t="str">
        <f t="shared" si="2"/>
        <v>OK</v>
      </c>
      <c r="Q9" s="835"/>
    </row>
    <row r="10" spans="1:17" ht="15" customHeight="1">
      <c r="A10" s="54">
        <v>4</v>
      </c>
      <c r="B10" s="116" t="s">
        <v>484</v>
      </c>
      <c r="C10" s="189"/>
      <c r="D10" s="606"/>
      <c r="E10" s="606"/>
      <c r="F10" s="836"/>
      <c r="G10" s="66"/>
      <c r="H10" s="684">
        <f t="shared" si="0"/>
        <v>0</v>
      </c>
      <c r="J10" s="320" t="str">
        <f t="shared" si="1"/>
        <v>NO</v>
      </c>
      <c r="M10" s="320" t="str">
        <f t="shared" si="2"/>
        <v>OK</v>
      </c>
      <c r="Q10" s="835"/>
    </row>
    <row r="11" spans="1:17" ht="15" customHeight="1">
      <c r="A11" s="54">
        <v>5</v>
      </c>
      <c r="B11" s="116" t="s">
        <v>19</v>
      </c>
      <c r="C11" s="189"/>
      <c r="D11" s="606"/>
      <c r="E11" s="606"/>
      <c r="F11" s="836"/>
      <c r="G11" s="66"/>
      <c r="H11" s="684">
        <f t="shared" si="0"/>
        <v>0</v>
      </c>
      <c r="J11" s="320" t="str">
        <f t="shared" si="1"/>
        <v>NO</v>
      </c>
      <c r="M11" s="320" t="str">
        <f t="shared" si="2"/>
        <v>OK</v>
      </c>
      <c r="Q11" s="835"/>
    </row>
    <row r="12" spans="1:17" ht="15" customHeight="1">
      <c r="A12" s="54">
        <v>6</v>
      </c>
      <c r="B12" s="116" t="s">
        <v>16</v>
      </c>
      <c r="C12" s="189"/>
      <c r="D12" s="606"/>
      <c r="E12" s="606"/>
      <c r="F12" s="836"/>
      <c r="G12" s="66"/>
      <c r="H12" s="684">
        <f t="shared" si="0"/>
        <v>0</v>
      </c>
      <c r="J12" s="320" t="str">
        <f t="shared" si="1"/>
        <v>NO</v>
      </c>
      <c r="M12" s="320" t="str">
        <f t="shared" si="2"/>
        <v>OK</v>
      </c>
      <c r="Q12" s="835"/>
    </row>
    <row r="13" spans="1:17" ht="15" customHeight="1">
      <c r="A13" s="54">
        <v>7</v>
      </c>
      <c r="B13" s="116" t="s">
        <v>17</v>
      </c>
      <c r="C13" s="189"/>
      <c r="D13" s="606"/>
      <c r="E13" s="606"/>
      <c r="F13" s="836"/>
      <c r="G13" s="66"/>
      <c r="H13" s="684">
        <f t="shared" si="0"/>
        <v>0</v>
      </c>
      <c r="J13" s="320" t="str">
        <f t="shared" si="1"/>
        <v>NO</v>
      </c>
      <c r="M13" s="320" t="str">
        <f t="shared" si="2"/>
        <v>OK</v>
      </c>
      <c r="Q13" s="835"/>
    </row>
    <row r="14" spans="1:17" ht="15" customHeight="1">
      <c r="A14" s="54">
        <v>8</v>
      </c>
      <c r="B14" s="116" t="s">
        <v>182</v>
      </c>
      <c r="C14" s="189"/>
      <c r="D14" s="606"/>
      <c r="E14" s="606"/>
      <c r="F14" s="836"/>
      <c r="G14" s="66"/>
      <c r="H14" s="684">
        <f t="shared" si="0"/>
        <v>0</v>
      </c>
      <c r="J14" s="320" t="str">
        <f t="shared" si="1"/>
        <v>NO</v>
      </c>
      <c r="M14" s="320" t="str">
        <f t="shared" si="2"/>
        <v>OK</v>
      </c>
      <c r="Q14" s="835"/>
    </row>
    <row r="15" spans="1:13" ht="15" customHeight="1">
      <c r="A15" s="54">
        <v>9</v>
      </c>
      <c r="B15" s="116" t="s">
        <v>142</v>
      </c>
      <c r="C15" s="189"/>
      <c r="D15" s="606"/>
      <c r="E15" s="606"/>
      <c r="F15" s="836"/>
      <c r="G15" s="66"/>
      <c r="H15" s="684">
        <f t="shared" si="0"/>
        <v>0</v>
      </c>
      <c r="J15" s="320" t="str">
        <f t="shared" si="1"/>
        <v>NO</v>
      </c>
      <c r="M15" s="320" t="str">
        <f t="shared" si="2"/>
        <v>OK</v>
      </c>
    </row>
    <row r="16" spans="1:13" ht="15" customHeight="1">
      <c r="A16" s="54">
        <v>10</v>
      </c>
      <c r="B16" s="116" t="s">
        <v>143</v>
      </c>
      <c r="C16" s="189"/>
      <c r="D16" s="606"/>
      <c r="E16" s="606"/>
      <c r="F16" s="836"/>
      <c r="G16" s="66"/>
      <c r="H16" s="684">
        <f t="shared" si="0"/>
        <v>0</v>
      </c>
      <c r="J16" s="320" t="str">
        <f t="shared" si="1"/>
        <v>NO</v>
      </c>
      <c r="M16" s="320" t="str">
        <f t="shared" si="2"/>
        <v>OK</v>
      </c>
    </row>
    <row r="17" spans="1:13" ht="15" customHeight="1" thickBot="1">
      <c r="A17" s="55">
        <v>11</v>
      </c>
      <c r="B17" s="124" t="s">
        <v>18</v>
      </c>
      <c r="C17" s="125"/>
      <c r="D17" s="682"/>
      <c r="E17" s="682"/>
      <c r="F17" s="837"/>
      <c r="G17" s="67"/>
      <c r="H17" s="685">
        <f t="shared" si="0"/>
        <v>0</v>
      </c>
      <c r="J17" s="323" t="str">
        <f t="shared" si="1"/>
        <v>NO</v>
      </c>
      <c r="M17" s="323" t="str">
        <f t="shared" si="2"/>
        <v>OK</v>
      </c>
    </row>
    <row r="18" spans="1:13" ht="15" customHeight="1" thickBot="1">
      <c r="A18" s="59">
        <v>12</v>
      </c>
      <c r="B18" s="148" t="s">
        <v>125</v>
      </c>
      <c r="C18" s="255"/>
      <c r="D18" s="683">
        <f>SUM(D7:D17)</f>
        <v>0</v>
      </c>
      <c r="E18" s="683">
        <f>SUM(E7:E17)</f>
        <v>0</v>
      </c>
      <c r="F18" s="451"/>
      <c r="G18" s="686">
        <f>SUM(G7:G17)</f>
        <v>0</v>
      </c>
      <c r="H18" s="687"/>
      <c r="J18" s="357">
        <f>COUNTIF(J7:J17,"YES")</f>
        <v>0</v>
      </c>
      <c r="M18" s="357">
        <f>COUNTIF(M7:M17,"ERROR")</f>
        <v>0</v>
      </c>
    </row>
    <row r="19" spans="1:8" ht="15" customHeight="1" thickTop="1">
      <c r="A19" s="262"/>
      <c r="B19" s="261" t="s">
        <v>378</v>
      </c>
      <c r="C19" s="260"/>
      <c r="D19" s="260"/>
      <c r="E19" s="260"/>
      <c r="F19" s="260"/>
      <c r="G19" s="260"/>
      <c r="H19" s="260"/>
    </row>
    <row r="20" spans="1:8" ht="28.5" customHeight="1" thickBot="1">
      <c r="A20" s="20">
        <v>13</v>
      </c>
      <c r="B20" s="1168"/>
      <c r="C20" s="1169"/>
      <c r="D20" s="1169"/>
      <c r="E20" s="1169"/>
      <c r="F20" s="1169"/>
      <c r="G20" s="1169"/>
      <c r="H20" s="1169"/>
    </row>
    <row r="21" spans="1:8" ht="13.5" customHeight="1" thickTop="1">
      <c r="A21" s="91"/>
      <c r="B21" s="92"/>
      <c r="C21" s="1171" t="s">
        <v>144</v>
      </c>
      <c r="D21" s="1171"/>
      <c r="E21" s="1171"/>
      <c r="F21" s="1171"/>
      <c r="G21" s="60"/>
      <c r="H21" s="60"/>
    </row>
    <row r="22" spans="1:8" ht="57" customHeight="1">
      <c r="A22" s="1160" t="s">
        <v>757</v>
      </c>
      <c r="B22" s="1160"/>
      <c r="C22" s="1160"/>
      <c r="D22" s="1160"/>
      <c r="E22" s="1160"/>
      <c r="F22" s="1160"/>
      <c r="G22" s="1160"/>
      <c r="H22" s="1160"/>
    </row>
    <row r="23" spans="1:9" ht="33.75" customHeight="1">
      <c r="A23" s="30" t="s">
        <v>5</v>
      </c>
      <c r="B23" s="1085" t="s">
        <v>199</v>
      </c>
      <c r="C23" s="1086"/>
      <c r="D23" s="1085" t="s">
        <v>195</v>
      </c>
      <c r="E23" s="1086"/>
      <c r="F23" s="117" t="s">
        <v>197</v>
      </c>
      <c r="G23" s="149" t="s">
        <v>196</v>
      </c>
      <c r="H23" s="149" t="s">
        <v>198</v>
      </c>
      <c r="I23" s="149" t="s">
        <v>382</v>
      </c>
    </row>
    <row r="24" spans="1:9" ht="16.5" customHeight="1" thickBot="1">
      <c r="A24" s="239">
        <v>14</v>
      </c>
      <c r="B24" s="234" t="s">
        <v>288</v>
      </c>
      <c r="C24" s="235"/>
      <c r="D24" s="1152"/>
      <c r="E24" s="1153"/>
      <c r="F24" s="70">
        <f>D24*0.0765</f>
        <v>0</v>
      </c>
      <c r="G24" s="70"/>
      <c r="H24" s="67"/>
      <c r="I24" s="531">
        <f aca="true" t="shared" si="3" ref="I24:I31">SUM(D24:H24)</f>
        <v>0</v>
      </c>
    </row>
    <row r="25" spans="1:9" ht="3" customHeight="1" thickBot="1">
      <c r="A25" s="240"/>
      <c r="B25" s="236"/>
      <c r="C25" s="237"/>
      <c r="D25" s="1144"/>
      <c r="E25" s="1145"/>
      <c r="F25" s="264"/>
      <c r="G25" s="265"/>
      <c r="H25" s="265"/>
      <c r="I25" s="265">
        <f>SUM(D25:H25)</f>
        <v>0</v>
      </c>
    </row>
    <row r="26" spans="1:9" ht="16.5" customHeight="1" thickBot="1">
      <c r="A26" s="239">
        <v>15</v>
      </c>
      <c r="B26" s="234" t="s">
        <v>758</v>
      </c>
      <c r="C26" s="235"/>
      <c r="D26" s="1146">
        <f>G14</f>
        <v>0</v>
      </c>
      <c r="E26" s="1147"/>
      <c r="F26" s="70">
        <f>D26*0.0765</f>
        <v>0</v>
      </c>
      <c r="G26" s="70"/>
      <c r="H26" s="67"/>
      <c r="I26" s="531">
        <f t="shared" si="3"/>
        <v>0</v>
      </c>
    </row>
    <row r="27" spans="1:9" ht="3" customHeight="1" thickBot="1">
      <c r="A27" s="240"/>
      <c r="B27" s="236"/>
      <c r="C27" s="237"/>
      <c r="D27" s="1144"/>
      <c r="E27" s="1145"/>
      <c r="F27" s="264"/>
      <c r="G27" s="265"/>
      <c r="H27" s="265"/>
      <c r="I27" s="265">
        <f t="shared" si="3"/>
        <v>0</v>
      </c>
    </row>
    <row r="28" spans="1:9" ht="12.75">
      <c r="A28" s="308">
        <v>16</v>
      </c>
      <c r="B28" s="165" t="str">
        <f>"Total "&amp;Months!$B$1&amp;" Expenses"</f>
        <v>Total 2022-23 Expenses</v>
      </c>
      <c r="C28" s="238"/>
      <c r="D28" s="1163">
        <f>G18</f>
        <v>0</v>
      </c>
      <c r="E28" s="1164"/>
      <c r="F28" s="93">
        <f>D28*0.0765</f>
        <v>0</v>
      </c>
      <c r="G28" s="93"/>
      <c r="H28" s="74"/>
      <c r="I28" s="532">
        <f t="shared" si="3"/>
        <v>0</v>
      </c>
    </row>
    <row r="29" spans="1:9" ht="12.75">
      <c r="A29" s="101">
        <v>17</v>
      </c>
      <c r="B29" s="233" t="str">
        <f>Months!$B$4&amp;" Prepaid Expenses"</f>
        <v>June 30, 2022 Prepaid Expenses</v>
      </c>
      <c r="C29" s="851"/>
      <c r="D29" s="1142"/>
      <c r="E29" s="1143"/>
      <c r="F29" s="78"/>
      <c r="G29" s="78"/>
      <c r="H29" s="94"/>
      <c r="I29" s="533">
        <f>SUM(D29:H29)</f>
        <v>0</v>
      </c>
    </row>
    <row r="30" spans="1:9" ht="15" customHeight="1" thickBot="1">
      <c r="A30" s="99">
        <v>18</v>
      </c>
      <c r="B30" s="233" t="str">
        <f>Months!$B$4&amp;" Accounts Payable"</f>
        <v>June 30, 2022 Accounts Payable</v>
      </c>
      <c r="C30" s="233"/>
      <c r="D30" s="1165"/>
      <c r="E30" s="1166"/>
      <c r="F30" s="78"/>
      <c r="G30" s="78"/>
      <c r="H30" s="94"/>
      <c r="I30" s="533">
        <f t="shared" si="3"/>
        <v>0</v>
      </c>
    </row>
    <row r="31" spans="1:9" ht="15" customHeight="1" thickBot="1">
      <c r="A31" s="100">
        <v>19</v>
      </c>
      <c r="B31" s="270" t="s">
        <v>211</v>
      </c>
      <c r="C31" s="119"/>
      <c r="D31" s="1146">
        <f>D28-D29+D30</f>
        <v>0</v>
      </c>
      <c r="E31" s="1147">
        <f>E28-E29+E30</f>
        <v>0</v>
      </c>
      <c r="F31" s="454">
        <f>F28-F29+F30</f>
        <v>0</v>
      </c>
      <c r="G31" s="454">
        <f>G28-G29+G30</f>
        <v>0</v>
      </c>
      <c r="H31" s="248">
        <f>H28-H29+H30</f>
        <v>0</v>
      </c>
      <c r="I31" s="534">
        <f t="shared" si="3"/>
        <v>0</v>
      </c>
    </row>
    <row r="32" spans="1:11" ht="13.5" customHeight="1">
      <c r="A32" s="64">
        <v>20</v>
      </c>
      <c r="B32" s="280" t="str">
        <f>Months!$B7&amp;" Cash Payments"</f>
        <v>July 2022 Cash Payments</v>
      </c>
      <c r="C32" s="224"/>
      <c r="D32" s="1148"/>
      <c r="E32" s="1149"/>
      <c r="F32" s="93"/>
      <c r="G32" s="74"/>
      <c r="H32" s="74"/>
      <c r="I32" s="532">
        <f>SUM(D32:H32)</f>
        <v>0</v>
      </c>
      <c r="K32" s="213"/>
    </row>
    <row r="33" spans="1:11" ht="13.5" customHeight="1">
      <c r="A33" s="54">
        <v>21</v>
      </c>
      <c r="B33" s="280" t="str">
        <f>Months!$B8&amp;" Cash Payments"</f>
        <v>August 2022 Cash Payments</v>
      </c>
      <c r="C33" s="217"/>
      <c r="D33" s="1142"/>
      <c r="E33" s="1143"/>
      <c r="F33" s="69"/>
      <c r="G33" s="66"/>
      <c r="H33" s="66"/>
      <c r="I33" s="481">
        <f aca="true" t="shared" si="4" ref="I33:I46">SUM(D33:H33)</f>
        <v>0</v>
      </c>
      <c r="K33" s="213"/>
    </row>
    <row r="34" spans="1:11" ht="13.5" customHeight="1">
      <c r="A34" s="54">
        <v>22</v>
      </c>
      <c r="B34" s="280" t="str">
        <f>Months!$B9&amp;" Cash Payments"</f>
        <v>September 2022 Cash Payments</v>
      </c>
      <c r="C34" s="217"/>
      <c r="D34" s="1142"/>
      <c r="E34" s="1143"/>
      <c r="F34" s="69"/>
      <c r="G34" s="66"/>
      <c r="H34" s="66"/>
      <c r="I34" s="481">
        <f t="shared" si="4"/>
        <v>0</v>
      </c>
      <c r="K34" s="213"/>
    </row>
    <row r="35" spans="1:11" ht="13.5" customHeight="1">
      <c r="A35" s="54">
        <v>23</v>
      </c>
      <c r="B35" s="280" t="str">
        <f>Months!$B10&amp;" Cash Payments"</f>
        <v>October 2022 Cash Payments</v>
      </c>
      <c r="C35" s="217"/>
      <c r="D35" s="1142"/>
      <c r="E35" s="1143"/>
      <c r="F35" s="69"/>
      <c r="G35" s="66"/>
      <c r="H35" s="66"/>
      <c r="I35" s="481">
        <f t="shared" si="4"/>
        <v>0</v>
      </c>
      <c r="K35" s="213"/>
    </row>
    <row r="36" spans="1:11" ht="13.5" customHeight="1">
      <c r="A36" s="54">
        <v>24</v>
      </c>
      <c r="B36" s="280" t="str">
        <f>Months!$B11&amp;" Cash Payments"</f>
        <v>November 2022 Cash Payments</v>
      </c>
      <c r="C36" s="217"/>
      <c r="D36" s="1142"/>
      <c r="E36" s="1143"/>
      <c r="F36" s="69"/>
      <c r="G36" s="66"/>
      <c r="H36" s="66"/>
      <c r="I36" s="481">
        <f t="shared" si="4"/>
        <v>0</v>
      </c>
      <c r="K36" s="213"/>
    </row>
    <row r="37" spans="1:11" ht="13.5" customHeight="1">
      <c r="A37" s="54">
        <v>25</v>
      </c>
      <c r="B37" s="280" t="str">
        <f>Months!$B12&amp;" Cash Payments"</f>
        <v>December 2022 Cash Payments</v>
      </c>
      <c r="C37" s="217"/>
      <c r="D37" s="1142"/>
      <c r="E37" s="1143"/>
      <c r="F37" s="69"/>
      <c r="G37" s="66"/>
      <c r="H37" s="66"/>
      <c r="I37" s="481">
        <f t="shared" si="4"/>
        <v>0</v>
      </c>
      <c r="K37" s="213"/>
    </row>
    <row r="38" spans="1:11" ht="13.5" customHeight="1">
      <c r="A38" s="54">
        <v>26</v>
      </c>
      <c r="B38" s="280" t="str">
        <f>Months!$B13&amp;" Cash Payments"</f>
        <v>January 2023 Cash Payments</v>
      </c>
      <c r="C38" s="217"/>
      <c r="D38" s="1142"/>
      <c r="E38" s="1143"/>
      <c r="F38" s="69"/>
      <c r="G38" s="66"/>
      <c r="H38" s="66"/>
      <c r="I38" s="481">
        <f t="shared" si="4"/>
        <v>0</v>
      </c>
      <c r="K38" s="213"/>
    </row>
    <row r="39" spans="1:11" ht="13.5" customHeight="1">
      <c r="A39" s="54">
        <v>27</v>
      </c>
      <c r="B39" s="280" t="str">
        <f>Months!$B14&amp;" Cash Payments"</f>
        <v>February 2023 Cash Payments</v>
      </c>
      <c r="C39" s="217"/>
      <c r="D39" s="1142"/>
      <c r="E39" s="1143"/>
      <c r="F39" s="69"/>
      <c r="G39" s="66"/>
      <c r="H39" s="66"/>
      <c r="I39" s="481">
        <f t="shared" si="4"/>
        <v>0</v>
      </c>
      <c r="K39" s="213"/>
    </row>
    <row r="40" spans="1:11" ht="13.5" customHeight="1">
      <c r="A40" s="54">
        <v>28</v>
      </c>
      <c r="B40" s="280" t="str">
        <f>Months!$B15&amp;" Cash Payments"</f>
        <v>March 2023 Cash Payments</v>
      </c>
      <c r="C40" s="217"/>
      <c r="D40" s="1142"/>
      <c r="E40" s="1143"/>
      <c r="F40" s="69"/>
      <c r="G40" s="66"/>
      <c r="H40" s="66"/>
      <c r="I40" s="481">
        <f t="shared" si="4"/>
        <v>0</v>
      </c>
      <c r="K40" s="213"/>
    </row>
    <row r="41" spans="1:11" ht="13.5" customHeight="1">
      <c r="A41" s="54">
        <v>29</v>
      </c>
      <c r="B41" s="280" t="str">
        <f>Months!$B16&amp;" Cash Payments"</f>
        <v>April 2023 Cash Payments</v>
      </c>
      <c r="C41" s="217"/>
      <c r="D41" s="1142"/>
      <c r="E41" s="1143"/>
      <c r="F41" s="69"/>
      <c r="G41" s="66"/>
      <c r="H41" s="66"/>
      <c r="I41" s="481">
        <f t="shared" si="4"/>
        <v>0</v>
      </c>
      <c r="K41" s="213"/>
    </row>
    <row r="42" spans="1:11" ht="13.5" customHeight="1">
      <c r="A42" s="54">
        <v>30</v>
      </c>
      <c r="B42" s="280" t="str">
        <f>Months!$B17&amp;" Cash Payments"</f>
        <v>May 2023 Cash Payments</v>
      </c>
      <c r="C42" s="215"/>
      <c r="D42" s="1142"/>
      <c r="E42" s="1143"/>
      <c r="F42" s="69"/>
      <c r="G42" s="66"/>
      <c r="H42" s="66"/>
      <c r="I42" s="481">
        <f t="shared" si="4"/>
        <v>0</v>
      </c>
      <c r="K42" s="213"/>
    </row>
    <row r="43" spans="1:11" ht="13.5" customHeight="1" thickBot="1">
      <c r="A43" s="64">
        <v>31</v>
      </c>
      <c r="B43" s="280" t="str">
        <f>Months!$B18&amp;" Cash Payments"</f>
        <v>June 2023 Cash Payments</v>
      </c>
      <c r="C43" s="218"/>
      <c r="D43" s="1152"/>
      <c r="E43" s="1153"/>
      <c r="F43" s="93"/>
      <c r="G43" s="74"/>
      <c r="H43" s="74"/>
      <c r="I43" s="532">
        <f t="shared" si="4"/>
        <v>0</v>
      </c>
      <c r="K43" s="213"/>
    </row>
    <row r="44" spans="1:9" ht="13.5" customHeight="1" thickBot="1">
      <c r="A44" s="170">
        <v>32</v>
      </c>
      <c r="B44" s="219" t="s">
        <v>30</v>
      </c>
      <c r="C44" s="220"/>
      <c r="D44" s="1154">
        <f>SUM(D32:D43)</f>
        <v>0</v>
      </c>
      <c r="E44" s="1155"/>
      <c r="F44" s="221">
        <f>SUM(F32:F43)</f>
        <v>0</v>
      </c>
      <c r="G44" s="221">
        <f>SUM(G32:G43)</f>
        <v>0</v>
      </c>
      <c r="H44" s="221">
        <f>SUM(H32:H43)</f>
        <v>0</v>
      </c>
      <c r="I44" s="534">
        <f t="shared" si="4"/>
        <v>0</v>
      </c>
    </row>
    <row r="45" spans="1:9" ht="13.5" customHeight="1" thickBot="1">
      <c r="A45" s="101">
        <v>33</v>
      </c>
      <c r="B45" s="233" t="str">
        <f>Months!$C$5&amp;" Prepaid Expenses"</f>
        <v>JUNE 30, 2023 Prepaid Expenses</v>
      </c>
      <c r="C45" s="852"/>
      <c r="D45" s="1152"/>
      <c r="E45" s="1153"/>
      <c r="F45" s="78"/>
      <c r="G45" s="78"/>
      <c r="H45" s="94"/>
      <c r="I45" s="533">
        <f t="shared" si="4"/>
        <v>0</v>
      </c>
    </row>
    <row r="46" spans="1:9" ht="15" customHeight="1" thickBot="1">
      <c r="A46" s="222">
        <v>34</v>
      </c>
      <c r="B46" s="269" t="str">
        <f>Months!$C$5&amp;" ACCOUNTS PAYABLE"</f>
        <v>JUNE 30, 2023 ACCOUNTS PAYABLE</v>
      </c>
      <c r="C46" s="223"/>
      <c r="D46" s="1156">
        <f>ROUND((D31-D44+D45),0)</f>
        <v>0</v>
      </c>
      <c r="E46" s="1157">
        <f>E31-E44+E45</f>
        <v>0</v>
      </c>
      <c r="F46" s="258">
        <f>ROUND((F31-F44+F45),0)</f>
        <v>0</v>
      </c>
      <c r="G46" s="258">
        <f>ROUND((G31-G44+G45),0)</f>
        <v>0</v>
      </c>
      <c r="H46" s="266">
        <f>ROUND((H31-H44+H45),0)</f>
        <v>0</v>
      </c>
      <c r="I46" s="266">
        <f t="shared" si="4"/>
        <v>0</v>
      </c>
    </row>
    <row r="47" spans="1:12" s="15" customFormat="1" ht="21.75" customHeight="1" thickTop="1">
      <c r="A47" s="29" t="s">
        <v>5</v>
      </c>
      <c r="B47" s="290" t="s">
        <v>283</v>
      </c>
      <c r="C47" s="290" t="s">
        <v>614</v>
      </c>
      <c r="D47" s="1158" t="s">
        <v>679</v>
      </c>
      <c r="E47" s="1159"/>
      <c r="F47" s="548" t="s">
        <v>399</v>
      </c>
      <c r="G47" s="392" t="s">
        <v>346</v>
      </c>
      <c r="H47" s="392" t="s">
        <v>347</v>
      </c>
      <c r="I47" s="178"/>
      <c r="J47" s="178"/>
      <c r="K47" s="386"/>
      <c r="L47" s="178"/>
    </row>
    <row r="48" spans="1:12" ht="15" customHeight="1" thickBot="1">
      <c r="A48" s="174">
        <v>35</v>
      </c>
      <c r="B48" s="455">
        <f>MAX('SCH 2-1 All &amp; Choice Pupils'!D16,'SCH 2-1 All &amp; Choice Pupils'!E16,'SCH 2-1 All &amp; Choice Pupils'!F16)</f>
        <v>0</v>
      </c>
      <c r="C48" s="987">
        <f>E18</f>
        <v>0</v>
      </c>
      <c r="D48" s="1150">
        <f>IF(C48=0,"",B48/C48)</f>
      </c>
      <c r="E48" s="1151"/>
      <c r="F48" s="315">
        <f>IF(D28=0,"",F28/$D$28)</f>
      </c>
      <c r="G48" s="360">
        <f>(D18*7000*0.06)+(D18*14000*0.0325)</f>
        <v>0</v>
      </c>
      <c r="H48" s="343">
        <f>G28-G48</f>
        <v>0</v>
      </c>
      <c r="I48" s="10"/>
      <c r="J48" s="10"/>
      <c r="K48" s="10"/>
      <c r="L48" s="10"/>
    </row>
    <row r="49" ht="15" customHeight="1" thickTop="1"/>
  </sheetData>
  <sheetProtection password="EBD1" sheet="1"/>
  <mergeCells count="37">
    <mergeCell ref="J6:L6"/>
    <mergeCell ref="A2:H2"/>
    <mergeCell ref="A1:H1"/>
    <mergeCell ref="A3:H3"/>
    <mergeCell ref="B23:C23"/>
    <mergeCell ref="B20:H20"/>
    <mergeCell ref="A5:H5"/>
    <mergeCell ref="C4:F4"/>
    <mergeCell ref="C21:F21"/>
    <mergeCell ref="D35:E35"/>
    <mergeCell ref="A22:H22"/>
    <mergeCell ref="D29:E29"/>
    <mergeCell ref="B6:C6"/>
    <mergeCell ref="D23:E23"/>
    <mergeCell ref="D24:E24"/>
    <mergeCell ref="D26:E26"/>
    <mergeCell ref="D28:E28"/>
    <mergeCell ref="D30:E30"/>
    <mergeCell ref="D27:E27"/>
    <mergeCell ref="D48:E48"/>
    <mergeCell ref="D43:E43"/>
    <mergeCell ref="D44:E44"/>
    <mergeCell ref="D46:E46"/>
    <mergeCell ref="D41:E41"/>
    <mergeCell ref="D45:E45"/>
    <mergeCell ref="D47:E47"/>
    <mergeCell ref="D42:E42"/>
    <mergeCell ref="D39:E39"/>
    <mergeCell ref="D40:E40"/>
    <mergeCell ref="D37:E37"/>
    <mergeCell ref="D38:E38"/>
    <mergeCell ref="D25:E25"/>
    <mergeCell ref="D31:E31"/>
    <mergeCell ref="D32:E32"/>
    <mergeCell ref="D33:E33"/>
    <mergeCell ref="D34:E34"/>
    <mergeCell ref="D36:E36"/>
  </mergeCells>
  <conditionalFormatting sqref="J7:J17">
    <cfRule type="containsText" priority="2" dxfId="0" operator="containsText" stopIfTrue="1" text="YES">
      <formula>NOT(ISERROR(SEARCH("YES",J7)))</formula>
    </cfRule>
    <cfRule type="containsText" priority="3" dxfId="0" operator="containsText" stopIfTrue="1" text="ERROR">
      <formula>NOT(ISERROR(SEARCH("ERROR",J7)))</formula>
    </cfRule>
  </conditionalFormatting>
  <conditionalFormatting sqref="M7:M17">
    <cfRule type="containsText" priority="1" dxfId="0" operator="containsText" stopIfTrue="1" text="ERROR">
      <formula>NOT(ISERROR(SEARCH("ERROR",M7)))</formula>
    </cfRule>
  </conditionalFormatting>
  <dataValidations count="2">
    <dataValidation type="list" allowBlank="1" showInputMessage="1" showErrorMessage="1" prompt="Identify the earliest month of hire for this category. Existing schools should put the month of hire as the first month the employees in this category will work in the school year." sqref="F7:F17">
      <formula1>$Q$6:$V$6</formula1>
    </dataValidation>
    <dataValidation allowBlank="1" showInputMessage="1" showErrorMessage="1" prompt="The teaching FTE is based on the portion of time spent teaching. For example, if the pastor spent 25% of their time teaching, .25 would be entered on Line 9, Column C. If a classroom teacher only taught school, 1 would be entered for the teaching FTE." sqref="E7:E17"/>
  </dataValidations>
  <printOptions horizontalCentered="1"/>
  <pageMargins left="0.33" right="0.24" top="0.36" bottom="0.21" header="0.17" footer="0.17"/>
  <pageSetup firstPageNumber="1" useFirstPageNumber="1" fitToHeight="1" fitToWidth="1" horizontalDpi="600" verticalDpi="600" orientation="portrait" scale="93" r:id="rId1"/>
  <headerFooter alignWithMargins="0">
    <oddHeader>&amp;LPI-PCP-14&amp;RPage 7</oddHeader>
  </headerFooter>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I46"/>
  <sheetViews>
    <sheetView showGridLines="0" showOutlineSymbols="0" zoomScaleSheetLayoutView="100" workbookViewId="0" topLeftCell="A4">
      <selection activeCell="E13" sqref="E13:G13"/>
    </sheetView>
  </sheetViews>
  <sheetFormatPr defaultColWidth="8.8515625" defaultRowHeight="15" customHeight="1"/>
  <cols>
    <col min="1" max="1" width="3.421875" style="408" customWidth="1"/>
    <col min="2" max="2" width="27.421875" style="8" customWidth="1"/>
    <col min="3" max="4" width="12.57421875" style="8" customWidth="1"/>
    <col min="5" max="7" width="14.421875" style="8" customWidth="1"/>
    <col min="8" max="8" width="24.421875" style="8" customWidth="1"/>
    <col min="9" max="16384" width="8.8515625" style="8" customWidth="1"/>
  </cols>
  <sheetData>
    <row r="1" spans="1:7" ht="15" customHeight="1">
      <c r="A1" s="1036">
        <f>'Cover Page'!A9</f>
        <v>0</v>
      </c>
      <c r="B1" s="1036"/>
      <c r="C1" s="1036"/>
      <c r="D1" s="1036"/>
      <c r="E1" s="1036"/>
      <c r="F1" s="1036"/>
      <c r="G1" s="1036"/>
    </row>
    <row r="2" spans="1:7" ht="15" customHeight="1">
      <c r="A2" s="1036" t="s">
        <v>261</v>
      </c>
      <c r="B2" s="1036"/>
      <c r="C2" s="1036"/>
      <c r="D2" s="1036"/>
      <c r="E2" s="1036"/>
      <c r="F2" s="1036"/>
      <c r="G2" s="1036"/>
    </row>
    <row r="3" spans="1:7" ht="15" customHeight="1" thickBot="1">
      <c r="A3" s="1109" t="str">
        <f>'Required Attachments'!A3</f>
        <v>Budget for the period from July 1, 2022 to June 30, 2023</v>
      </c>
      <c r="B3" s="1109"/>
      <c r="C3" s="1109"/>
      <c r="D3" s="1109"/>
      <c r="E3" s="1109"/>
      <c r="F3" s="1109"/>
      <c r="G3" s="1109"/>
    </row>
    <row r="4" spans="1:7" ht="13.5" customHeight="1" thickTop="1">
      <c r="A4" s="91"/>
      <c r="B4" s="92"/>
      <c r="C4" s="1171" t="s">
        <v>205</v>
      </c>
      <c r="D4" s="1171"/>
      <c r="E4" s="1171"/>
      <c r="F4" s="60"/>
      <c r="G4" s="60"/>
    </row>
    <row r="5" spans="1:7" ht="42.75" customHeight="1">
      <c r="A5" s="1106" t="s">
        <v>627</v>
      </c>
      <c r="B5" s="1106"/>
      <c r="C5" s="1106"/>
      <c r="D5" s="1106"/>
      <c r="E5" s="1106"/>
      <c r="F5" s="1106"/>
      <c r="G5" s="1106"/>
    </row>
    <row r="6" spans="1:7" ht="33.75" customHeight="1">
      <c r="A6" s="822" t="s">
        <v>5</v>
      </c>
      <c r="B6" s="149" t="s">
        <v>91</v>
      </c>
      <c r="C6" s="117" t="s">
        <v>177</v>
      </c>
      <c r="D6" s="117" t="s">
        <v>178</v>
      </c>
      <c r="E6" s="1085" t="s">
        <v>179</v>
      </c>
      <c r="F6" s="1113"/>
      <c r="G6" s="1179"/>
    </row>
    <row r="7" spans="1:9" ht="15.75" customHeight="1">
      <c r="A7" s="54">
        <v>1</v>
      </c>
      <c r="B7" s="214" t="s">
        <v>146</v>
      </c>
      <c r="C7" s="69"/>
      <c r="D7" s="66"/>
      <c r="E7" s="1142"/>
      <c r="F7" s="1172"/>
      <c r="G7" s="1172"/>
      <c r="H7" s="8" t="str">
        <f>IF(C7=0,"EXPLANATION REQUIRED","NO EXPLANATION REQUIRED")</f>
        <v>EXPLANATION REQUIRED</v>
      </c>
      <c r="I7" s="127" t="str">
        <f>IF(AND(H7="EXPLANATION REQUIRED",E7=""),"ERROR","")</f>
        <v>ERROR</v>
      </c>
    </row>
    <row r="8" spans="1:9" ht="15.75" customHeight="1">
      <c r="A8" s="54">
        <v>2</v>
      </c>
      <c r="B8" s="214" t="s">
        <v>147</v>
      </c>
      <c r="C8" s="69"/>
      <c r="D8" s="66"/>
      <c r="E8" s="1142"/>
      <c r="F8" s="1172"/>
      <c r="G8" s="1172"/>
      <c r="H8" s="8" t="str">
        <f>IF(C8=0,"EXPLANATION REQUIRED","NO EXPLANATION REQUIRED")</f>
        <v>EXPLANATION REQUIRED</v>
      </c>
      <c r="I8" s="127" t="str">
        <f>IF(AND(H8="EXPLANATION REQUIRED",E8=""),"ERROR","")</f>
        <v>ERROR</v>
      </c>
    </row>
    <row r="9" spans="1:9" ht="15.75" customHeight="1">
      <c r="A9" s="54">
        <v>3</v>
      </c>
      <c r="B9" s="214" t="s">
        <v>148</v>
      </c>
      <c r="C9" s="69"/>
      <c r="D9" s="66"/>
      <c r="E9" s="1142"/>
      <c r="F9" s="1172"/>
      <c r="G9" s="1172"/>
      <c r="H9" s="8" t="str">
        <f>IF(C9=0,"EXPLANATION REQUIRED","NO EXPLANATION REQUIRED")</f>
        <v>EXPLANATION REQUIRED</v>
      </c>
      <c r="I9" s="127" t="str">
        <f>IF(AND(H9="EXPLANATION REQUIRED",E9=""),"ERROR","")</f>
        <v>ERROR</v>
      </c>
    </row>
    <row r="10" spans="1:9" ht="15.75" customHeight="1" thickBot="1">
      <c r="A10" s="58">
        <v>4</v>
      </c>
      <c r="B10" s="228" t="s">
        <v>149</v>
      </c>
      <c r="C10" s="78"/>
      <c r="D10" s="94"/>
      <c r="E10" s="1173"/>
      <c r="F10" s="1174"/>
      <c r="G10" s="1174"/>
      <c r="H10" s="8" t="str">
        <f>IF(C10=0,"EXPLANATION REQUIRED","NO EXPLANATION REQUIRED")</f>
        <v>EXPLANATION REQUIRED</v>
      </c>
      <c r="I10" s="127" t="str">
        <f>IF(AND(H10="EXPLANATION REQUIRED",E10=""),"ERROR","")</f>
        <v>ERROR</v>
      </c>
    </row>
    <row r="11" spans="1:7" ht="15.75" customHeight="1" thickBot="1">
      <c r="A11" s="170">
        <v>5</v>
      </c>
      <c r="B11" s="242" t="s">
        <v>229</v>
      </c>
      <c r="C11" s="454">
        <f>SUM(C7:C10)</f>
        <v>0</v>
      </c>
      <c r="D11" s="454">
        <f>SUM(D7:D10)</f>
        <v>0</v>
      </c>
      <c r="E11" s="456"/>
      <c r="F11" s="457"/>
      <c r="G11" s="458"/>
    </row>
    <row r="12" spans="1:9" ht="15.75" customHeight="1">
      <c r="A12" s="64">
        <v>6</v>
      </c>
      <c r="B12" s="241" t="s">
        <v>73</v>
      </c>
      <c r="C12" s="93"/>
      <c r="D12" s="74"/>
      <c r="E12" s="1175"/>
      <c r="F12" s="1176"/>
      <c r="G12" s="1176"/>
      <c r="H12" s="8" t="str">
        <f>IF(C12=0,"EXPLANATION REQUIRED","NO EXPLANATION REQUIRED")</f>
        <v>EXPLANATION REQUIRED</v>
      </c>
      <c r="I12" s="127" t="str">
        <f>IF(AND(H12="EXPLANATION REQUIRED",E12=""),"ERROR","")</f>
        <v>ERROR</v>
      </c>
    </row>
    <row r="13" spans="1:9" ht="15.75" customHeight="1">
      <c r="A13" s="54">
        <v>7</v>
      </c>
      <c r="B13" s="116" t="s">
        <v>715</v>
      </c>
      <c r="C13" s="69"/>
      <c r="D13" s="66"/>
      <c r="E13" s="1142"/>
      <c r="F13" s="1172"/>
      <c r="G13" s="1172"/>
      <c r="H13" s="8" t="str">
        <f>IF(C13=0,"EXPLANATION REQUIRED","NO EXPLANATION REQUIRED")</f>
        <v>EXPLANATION REQUIRED</v>
      </c>
      <c r="I13" s="127" t="str">
        <f>IF(AND(H13="EXPLANATION REQUIRED",E13=""),"ERROR","")</f>
        <v>ERROR</v>
      </c>
    </row>
    <row r="14" spans="1:9" ht="15.75" customHeight="1">
      <c r="A14" s="54">
        <v>8</v>
      </c>
      <c r="B14" s="116" t="s">
        <v>38</v>
      </c>
      <c r="C14" s="69"/>
      <c r="D14" s="66"/>
      <c r="E14" s="1142"/>
      <c r="F14" s="1172"/>
      <c r="G14" s="1172"/>
      <c r="H14" s="8" t="str">
        <f>IF(AND(C14=0,'SCH 1 General Info'!A28="X"),"EXPLANATION REQUIRED","NO EXPLANATION REQUIRED")</f>
        <v>NO EXPLANATION REQUIRED</v>
      </c>
      <c r="I14" s="127">
        <f>IF(AND(H14="EXPLANATION REQUIRED",E14=""),"ERROR","")</f>
      </c>
    </row>
    <row r="15" spans="1:9" ht="15.75" customHeight="1">
      <c r="A15" s="58">
        <v>9</v>
      </c>
      <c r="B15" s="230" t="s">
        <v>501</v>
      </c>
      <c r="C15" s="476">
        <f>'SCH 1 General Info'!E47</f>
        <v>0</v>
      </c>
      <c r="D15" s="484">
        <f>'SCH 1 General Info'!G47</f>
        <v>0</v>
      </c>
      <c r="E15" s="1142"/>
      <c r="F15" s="1172"/>
      <c r="G15" s="1172"/>
      <c r="H15" s="8" t="str">
        <f>IF(AND('SCH 1 General Info'!A36="X",C15=0),"EXPLANATION REQUIRED","NO EXPLANATION REQUIRED")</f>
        <v>NO EXPLANATION REQUIRED</v>
      </c>
      <c r="I15" s="127">
        <f>IF(AND(H15="EXPLANATION REQUIRED",E15=""),"ERROR","")</f>
      </c>
    </row>
    <row r="16" spans="1:9" ht="15.75" customHeight="1" thickBot="1">
      <c r="A16" s="55">
        <v>10</v>
      </c>
      <c r="B16" s="243" t="s">
        <v>145</v>
      </c>
      <c r="C16" s="70"/>
      <c r="D16" s="70"/>
      <c r="E16" s="1142"/>
      <c r="F16" s="1172"/>
      <c r="G16" s="1172"/>
      <c r="H16" s="8" t="str">
        <f>IF(AND('SCH 3-1 Expenses'!D11&gt;0,C16=0),"EXPLANATION REQUIRED","NO EXPLANATION REQUIRED")</f>
        <v>NO EXPLANATION REQUIRED</v>
      </c>
      <c r="I16" s="127">
        <f>IF(AND(H16="EXPLANATION REQUIRED",E16=""),"ERROR","")</f>
      </c>
    </row>
    <row r="17" spans="1:9" ht="15.75" customHeight="1" thickBot="1">
      <c r="A17" s="76">
        <v>11</v>
      </c>
      <c r="B17" s="226" t="s">
        <v>212</v>
      </c>
      <c r="C17" s="459">
        <f>SUM(C12:C16)</f>
        <v>0</v>
      </c>
      <c r="D17" s="459">
        <f>SUM(D12:D16)</f>
        <v>0</v>
      </c>
      <c r="E17" s="460"/>
      <c r="F17" s="461"/>
      <c r="G17" s="462"/>
      <c r="I17" s="305">
        <f>COUNTIF(I7:I16,"ERROR")</f>
        <v>6</v>
      </c>
    </row>
    <row r="18" spans="1:7" ht="15.75" customHeight="1">
      <c r="A18" s="64">
        <v>12</v>
      </c>
      <c r="B18" s="241" t="s">
        <v>151</v>
      </c>
      <c r="C18" s="93"/>
      <c r="D18" s="463">
        <v>0</v>
      </c>
      <c r="E18" s="1177"/>
      <c r="F18" s="1178"/>
      <c r="G18" s="1178"/>
    </row>
    <row r="19" spans="1:7" ht="15.75" customHeight="1">
      <c r="A19" s="54">
        <v>13</v>
      </c>
      <c r="B19" s="116" t="s">
        <v>152</v>
      </c>
      <c r="C19" s="69"/>
      <c r="D19" s="464">
        <v>0</v>
      </c>
      <c r="E19" s="465"/>
      <c r="F19" s="466"/>
      <c r="G19" s="466"/>
    </row>
    <row r="20" spans="1:7" ht="15.75" customHeight="1">
      <c r="A20" s="54">
        <v>14</v>
      </c>
      <c r="B20" s="225" t="s">
        <v>877</v>
      </c>
      <c r="C20" s="69"/>
      <c r="D20" s="464">
        <v>0</v>
      </c>
      <c r="E20" s="467"/>
      <c r="F20" s="468"/>
      <c r="G20" s="469"/>
    </row>
    <row r="21" spans="1:7" ht="15.75" customHeight="1" thickBot="1">
      <c r="A21" s="55">
        <v>15</v>
      </c>
      <c r="B21" s="124" t="s">
        <v>878</v>
      </c>
      <c r="C21" s="70"/>
      <c r="D21" s="452">
        <v>0</v>
      </c>
      <c r="E21" s="467"/>
      <c r="F21" s="468"/>
      <c r="G21" s="469"/>
    </row>
    <row r="22" spans="1:7" ht="15.75" customHeight="1" thickBot="1">
      <c r="A22" s="64">
        <v>16</v>
      </c>
      <c r="B22" s="227" t="s">
        <v>213</v>
      </c>
      <c r="C22" s="463">
        <f>SUM(C18:C21)</f>
        <v>0</v>
      </c>
      <c r="D22" s="463">
        <f>SUM(D18:D21)</f>
        <v>0</v>
      </c>
      <c r="E22" s="470"/>
      <c r="F22" s="471"/>
      <c r="G22" s="472"/>
    </row>
    <row r="23" spans="1:7" ht="13.5" customHeight="1" thickTop="1">
      <c r="A23" s="91"/>
      <c r="B23" s="92"/>
      <c r="C23" s="1171" t="s">
        <v>163</v>
      </c>
      <c r="D23" s="1171"/>
      <c r="E23" s="1171"/>
      <c r="F23" s="60"/>
      <c r="G23" s="60"/>
    </row>
    <row r="24" spans="1:7" ht="57" customHeight="1">
      <c r="A24" s="1106" t="s">
        <v>759</v>
      </c>
      <c r="B24" s="1106"/>
      <c r="C24" s="1106"/>
      <c r="D24" s="1106"/>
      <c r="E24" s="1106"/>
      <c r="F24" s="1106"/>
      <c r="G24" s="1106"/>
    </row>
    <row r="25" spans="1:6" ht="34.5" customHeight="1">
      <c r="A25" s="297" t="s">
        <v>5</v>
      </c>
      <c r="B25" s="149" t="s">
        <v>199</v>
      </c>
      <c r="C25" s="117" t="s">
        <v>228</v>
      </c>
      <c r="D25" s="117" t="s">
        <v>200</v>
      </c>
      <c r="E25" s="244" t="s">
        <v>201</v>
      </c>
      <c r="F25" s="149" t="s">
        <v>726</v>
      </c>
    </row>
    <row r="26" spans="1:6" ht="13.5" customHeight="1" thickBot="1">
      <c r="A26" s="239">
        <v>17</v>
      </c>
      <c r="B26" s="234" t="s">
        <v>141</v>
      </c>
      <c r="C26" s="452">
        <f>D11</f>
        <v>0</v>
      </c>
      <c r="D26" s="452">
        <f>D17</f>
        <v>0</v>
      </c>
      <c r="E26" s="452">
        <v>0</v>
      </c>
      <c r="F26" s="67"/>
    </row>
    <row r="27" spans="1:6" ht="3" customHeight="1" thickBot="1">
      <c r="A27" s="240"/>
      <c r="B27" s="236"/>
      <c r="C27" s="263"/>
      <c r="D27" s="264"/>
      <c r="E27" s="265"/>
      <c r="F27" s="473"/>
    </row>
    <row r="28" spans="1:6" ht="13.5" customHeight="1">
      <c r="A28" s="164">
        <v>18</v>
      </c>
      <c r="B28" s="165" t="str">
        <f>"Total "&amp;Months!$B$1&amp;" Expenses"</f>
        <v>Total 2022-23 Expenses</v>
      </c>
      <c r="C28" s="453">
        <f>C11</f>
        <v>0</v>
      </c>
      <c r="D28" s="453">
        <f>C17</f>
        <v>0</v>
      </c>
      <c r="E28" s="453">
        <f>C20+C21</f>
        <v>0</v>
      </c>
      <c r="F28" s="74"/>
    </row>
    <row r="29" spans="1:6" ht="13.5" customHeight="1">
      <c r="A29" s="101">
        <v>19</v>
      </c>
      <c r="B29" s="233" t="str">
        <f>Months!$B$4&amp;" Prepaid Expenses"</f>
        <v>June 30, 2022 Prepaid Expenses</v>
      </c>
      <c r="C29" s="231"/>
      <c r="D29" s="231"/>
      <c r="E29" s="231"/>
      <c r="F29" s="232"/>
    </row>
    <row r="30" spans="1:6" ht="13.5" customHeight="1" thickBot="1">
      <c r="A30" s="99">
        <v>20</v>
      </c>
      <c r="B30" s="233" t="str">
        <f>Months!$B$4&amp;" Accounts Payable"</f>
        <v>June 30, 2022 Accounts Payable</v>
      </c>
      <c r="C30" s="78"/>
      <c r="D30" s="78"/>
      <c r="E30" s="78"/>
      <c r="F30" s="94"/>
    </row>
    <row r="31" spans="1:6" ht="13.5" customHeight="1" thickBot="1">
      <c r="A31" s="100">
        <v>21</v>
      </c>
      <c r="B31" s="270" t="s">
        <v>211</v>
      </c>
      <c r="C31" s="454">
        <f>C28-C29+C30</f>
        <v>0</v>
      </c>
      <c r="D31" s="454">
        <f>D28-D29+D30</f>
        <v>0</v>
      </c>
      <c r="E31" s="454">
        <f>E28-E29+E30</f>
        <v>0</v>
      </c>
      <c r="F31" s="248">
        <f>F28-F29+F30</f>
        <v>0</v>
      </c>
    </row>
    <row r="32" spans="1:6" ht="13.5" customHeight="1">
      <c r="A32" s="64">
        <v>22</v>
      </c>
      <c r="B32" s="280" t="str">
        <f>Months!$B7&amp;" Cash Payments"</f>
        <v>July 2022 Cash Payments</v>
      </c>
      <c r="C32" s="93"/>
      <c r="D32" s="93"/>
      <c r="E32" s="74"/>
      <c r="F32" s="74"/>
    </row>
    <row r="33" spans="1:6" ht="13.5" customHeight="1">
      <c r="A33" s="54">
        <v>23</v>
      </c>
      <c r="B33" s="280" t="str">
        <f>Months!$B8&amp;" Cash Payments"</f>
        <v>August 2022 Cash Payments</v>
      </c>
      <c r="C33" s="93"/>
      <c r="D33" s="69"/>
      <c r="E33" s="66"/>
      <c r="F33" s="66"/>
    </row>
    <row r="34" spans="1:6" ht="13.5" customHeight="1">
      <c r="A34" s="54">
        <v>24</v>
      </c>
      <c r="B34" s="280" t="str">
        <f>Months!$B9&amp;" Cash Payments"</f>
        <v>September 2022 Cash Payments</v>
      </c>
      <c r="C34" s="69"/>
      <c r="D34" s="69"/>
      <c r="E34" s="66"/>
      <c r="F34" s="66"/>
    </row>
    <row r="35" spans="1:6" ht="13.5" customHeight="1">
      <c r="A35" s="54">
        <v>25</v>
      </c>
      <c r="B35" s="280" t="str">
        <f>Months!$B10&amp;" Cash Payments"</f>
        <v>October 2022 Cash Payments</v>
      </c>
      <c r="C35" s="69"/>
      <c r="D35" s="69"/>
      <c r="E35" s="66"/>
      <c r="F35" s="66"/>
    </row>
    <row r="36" spans="1:6" ht="13.5" customHeight="1">
      <c r="A36" s="54">
        <v>26</v>
      </c>
      <c r="B36" s="280" t="str">
        <f>Months!$B11&amp;" Cash Payments"</f>
        <v>November 2022 Cash Payments</v>
      </c>
      <c r="C36" s="69"/>
      <c r="D36" s="69"/>
      <c r="E36" s="66"/>
      <c r="F36" s="66"/>
    </row>
    <row r="37" spans="1:6" ht="13.5" customHeight="1">
      <c r="A37" s="54">
        <v>27</v>
      </c>
      <c r="B37" s="280" t="str">
        <f>Months!$B12&amp;" Cash Payments"</f>
        <v>December 2022 Cash Payments</v>
      </c>
      <c r="C37" s="69"/>
      <c r="D37" s="69"/>
      <c r="E37" s="66"/>
      <c r="F37" s="66"/>
    </row>
    <row r="38" spans="1:6" ht="13.5" customHeight="1">
      <c r="A38" s="54">
        <v>28</v>
      </c>
      <c r="B38" s="280" t="str">
        <f>Months!$B13&amp;" Cash Payments"</f>
        <v>January 2023 Cash Payments</v>
      </c>
      <c r="C38" s="69"/>
      <c r="D38" s="69"/>
      <c r="E38" s="66"/>
      <c r="F38" s="66"/>
    </row>
    <row r="39" spans="1:6" ht="13.5" customHeight="1">
      <c r="A39" s="54">
        <v>29</v>
      </c>
      <c r="B39" s="280" t="str">
        <f>Months!$B14&amp;" Cash Payments"</f>
        <v>February 2023 Cash Payments</v>
      </c>
      <c r="C39" s="69"/>
      <c r="D39" s="69"/>
      <c r="E39" s="66"/>
      <c r="F39" s="66"/>
    </row>
    <row r="40" spans="1:6" ht="15" customHeight="1">
      <c r="A40" s="54">
        <v>30</v>
      </c>
      <c r="B40" s="280" t="str">
        <f>Months!$B15&amp;" Cash Payments"</f>
        <v>March 2023 Cash Payments</v>
      </c>
      <c r="C40" s="69"/>
      <c r="D40" s="69"/>
      <c r="E40" s="66"/>
      <c r="F40" s="66"/>
    </row>
    <row r="41" spans="1:6" ht="15" customHeight="1">
      <c r="A41" s="54">
        <v>31</v>
      </c>
      <c r="B41" s="280" t="str">
        <f>Months!$B16&amp;" Cash Payments"</f>
        <v>April 2023 Cash Payments</v>
      </c>
      <c r="C41" s="69"/>
      <c r="D41" s="69"/>
      <c r="E41" s="66"/>
      <c r="F41" s="66"/>
    </row>
    <row r="42" spans="1:6" ht="15" customHeight="1">
      <c r="A42" s="54">
        <v>32</v>
      </c>
      <c r="B42" s="280" t="str">
        <f>Months!$B17&amp;" Cash Payments"</f>
        <v>May 2023 Cash Payments</v>
      </c>
      <c r="C42" s="69"/>
      <c r="D42" s="69"/>
      <c r="E42" s="66"/>
      <c r="F42" s="66"/>
    </row>
    <row r="43" spans="1:6" ht="15" customHeight="1" thickBot="1">
      <c r="A43" s="54">
        <v>33</v>
      </c>
      <c r="B43" s="280" t="str">
        <f>Months!$B18&amp;" Cash Payments"</f>
        <v>June 2023 Cash Payments</v>
      </c>
      <c r="C43" s="93"/>
      <c r="D43" s="93"/>
      <c r="E43" s="74"/>
      <c r="F43" s="74"/>
    </row>
    <row r="44" spans="1:6" ht="15" customHeight="1" thickBot="1">
      <c r="A44" s="170">
        <v>34</v>
      </c>
      <c r="B44" s="219" t="s">
        <v>30</v>
      </c>
      <c r="C44" s="221">
        <f>SUM(C32:C43)</f>
        <v>0</v>
      </c>
      <c r="D44" s="221">
        <f>SUM(D32:D43)</f>
        <v>0</v>
      </c>
      <c r="E44" s="221">
        <f>SUM(E32:E43)</f>
        <v>0</v>
      </c>
      <c r="F44" s="221">
        <f>SUM(F32:F43)</f>
        <v>0</v>
      </c>
    </row>
    <row r="45" spans="1:6" ht="13.5" customHeight="1" thickBot="1">
      <c r="A45" s="101">
        <v>35</v>
      </c>
      <c r="B45" s="233" t="str">
        <f>Months!$C$5&amp;" Prepaid Expenses"</f>
        <v>JUNE 30, 2023 Prepaid Expenses</v>
      </c>
      <c r="C45" s="231"/>
      <c r="D45" s="231"/>
      <c r="E45" s="231"/>
      <c r="F45" s="232"/>
    </row>
    <row r="46" spans="1:6" ht="15" customHeight="1" thickBot="1">
      <c r="A46" s="222">
        <v>36</v>
      </c>
      <c r="B46" s="269" t="str">
        <f>Months!$C$5&amp;" ACCOUNTS PAYABLE"</f>
        <v>JUNE 30, 2023 ACCOUNTS PAYABLE</v>
      </c>
      <c r="C46" s="258">
        <f>ROUND((C31-C44+C45),0)</f>
        <v>0</v>
      </c>
      <c r="D46" s="258">
        <f>ROUND((D31-D44+D45),0)</f>
        <v>0</v>
      </c>
      <c r="E46" s="258">
        <f>ROUND((E31-E44+E45),0)</f>
        <v>0</v>
      </c>
      <c r="F46" s="266">
        <f>ROUND((F31-F44+F45),0)</f>
        <v>0</v>
      </c>
    </row>
    <row r="47" ht="15" customHeight="1" thickTop="1"/>
  </sheetData>
  <sheetProtection password="EBD1" sheet="1"/>
  <mergeCells count="18">
    <mergeCell ref="C4:E4"/>
    <mergeCell ref="C23:E23"/>
    <mergeCell ref="A1:G1"/>
    <mergeCell ref="A2:G2"/>
    <mergeCell ref="A3:G3"/>
    <mergeCell ref="A5:G5"/>
    <mergeCell ref="E12:G12"/>
    <mergeCell ref="E13:G13"/>
    <mergeCell ref="E18:G18"/>
    <mergeCell ref="E6:G6"/>
    <mergeCell ref="E7:G7"/>
    <mergeCell ref="E8:G8"/>
    <mergeCell ref="E9:G9"/>
    <mergeCell ref="E10:G10"/>
    <mergeCell ref="A24:G24"/>
    <mergeCell ref="E14:G14"/>
    <mergeCell ref="E15:G15"/>
    <mergeCell ref="E16:G16"/>
  </mergeCells>
  <conditionalFormatting sqref="I7:I10 I12:I16">
    <cfRule type="containsText" priority="7" dxfId="0" operator="containsText" stopIfTrue="1" text="ERROR">
      <formula>NOT(ISERROR(SEARCH("ERROR",I7)))</formula>
    </cfRule>
  </conditionalFormatting>
  <dataValidations count="1">
    <dataValidation allowBlank="1" showInputMessage="1" showErrorMessage="1" prompt="Enter this amount in Schedule 1, Line 8i." sqref="C15:D15"/>
  </dataValidations>
  <printOptions horizontalCentered="1"/>
  <pageMargins left="0.33" right="0.24" top="0.2" bottom="0.2" header="0.17" footer="0.17"/>
  <pageSetup firstPageNumber="1" useFirstPageNumber="1" fitToHeight="1" fitToWidth="1" horizontalDpi="600" verticalDpi="600" orientation="portrait" scale="89" r:id="rId1"/>
  <headerFooter alignWithMargins="0">
    <oddHeader>&amp;LPI-PCP-14&amp;RPage 8</oddHeader>
  </headerFooter>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N45"/>
  <sheetViews>
    <sheetView showGridLines="0" showOutlineSymbols="0" zoomScaleSheetLayoutView="100" workbookViewId="0" topLeftCell="A16">
      <selection activeCell="B13" sqref="B13"/>
    </sheetView>
  </sheetViews>
  <sheetFormatPr defaultColWidth="8.8515625" defaultRowHeight="15" customHeight="1"/>
  <cols>
    <col min="1" max="1" width="4.57421875" style="408" customWidth="1"/>
    <col min="2" max="2" width="30.00390625" style="8" customWidth="1"/>
    <col min="3" max="4" width="12.57421875" style="8" customWidth="1"/>
    <col min="5" max="5" width="15.421875" style="8" customWidth="1"/>
    <col min="6" max="6" width="23.421875" style="8" customWidth="1"/>
    <col min="7" max="16384" width="8.8515625" style="8" customWidth="1"/>
  </cols>
  <sheetData>
    <row r="1" spans="1:6" ht="15" customHeight="1">
      <c r="A1" s="1036">
        <f>'Cover Page'!A9</f>
        <v>0</v>
      </c>
      <c r="B1" s="1036"/>
      <c r="C1" s="1036"/>
      <c r="D1" s="1036"/>
      <c r="E1" s="1036"/>
      <c r="F1" s="1036"/>
    </row>
    <row r="2" spans="1:6" ht="15" customHeight="1">
      <c r="A2" s="1035" t="s">
        <v>260</v>
      </c>
      <c r="B2" s="1035"/>
      <c r="C2" s="1035"/>
      <c r="D2" s="1035"/>
      <c r="E2" s="1035"/>
      <c r="F2" s="1035"/>
    </row>
    <row r="3" spans="1:6" ht="15" customHeight="1" thickBot="1">
      <c r="A3" s="1109" t="str">
        <f>'Required Attachments'!A3</f>
        <v>Budget for the period from July 1, 2022 to June 30, 2023</v>
      </c>
      <c r="B3" s="1109"/>
      <c r="C3" s="1109"/>
      <c r="D3" s="1109"/>
      <c r="E3" s="1109"/>
      <c r="F3" s="1109"/>
    </row>
    <row r="4" spans="1:6" ht="13.5" customHeight="1" thickTop="1">
      <c r="A4" s="91"/>
      <c r="B4" s="92"/>
      <c r="C4" s="1171" t="s">
        <v>205</v>
      </c>
      <c r="D4" s="1171"/>
      <c r="E4" s="60"/>
      <c r="F4" s="60"/>
    </row>
    <row r="5" spans="1:6" ht="39.75" customHeight="1" thickBot="1">
      <c r="A5" s="1106" t="s">
        <v>624</v>
      </c>
      <c r="B5" s="1106"/>
      <c r="C5" s="1106"/>
      <c r="D5" s="1106"/>
      <c r="E5" s="1106"/>
      <c r="F5" s="1106"/>
    </row>
    <row r="6" spans="1:8" ht="35.25" customHeight="1" thickBot="1">
      <c r="A6" s="28" t="s">
        <v>5</v>
      </c>
      <c r="B6" s="149" t="s">
        <v>91</v>
      </c>
      <c r="C6" s="117" t="s">
        <v>177</v>
      </c>
      <c r="D6" s="117" t="s">
        <v>178</v>
      </c>
      <c r="E6" s="1085" t="s">
        <v>305</v>
      </c>
      <c r="F6" s="1113"/>
      <c r="H6" s="318" t="s">
        <v>306</v>
      </c>
    </row>
    <row r="7" spans="1:8" ht="13.5" customHeight="1">
      <c r="A7" s="54">
        <v>1</v>
      </c>
      <c r="B7" s="116" t="s">
        <v>137</v>
      </c>
      <c r="C7" s="69"/>
      <c r="D7" s="66"/>
      <c r="E7" s="1142"/>
      <c r="F7" s="1172"/>
      <c r="H7" s="319">
        <f>IF(AND(C7&gt;0,E7=""),"ERROR","")</f>
      </c>
    </row>
    <row r="8" spans="1:8" ht="13.5" customHeight="1">
      <c r="A8" s="54">
        <v>2</v>
      </c>
      <c r="B8" s="116" t="s">
        <v>138</v>
      </c>
      <c r="C8" s="69"/>
      <c r="D8" s="66"/>
      <c r="E8" s="1142"/>
      <c r="F8" s="1172"/>
      <c r="H8" s="320" t="str">
        <f>IF(E8="","ERROR","")</f>
        <v>ERROR</v>
      </c>
    </row>
    <row r="9" spans="1:8" ht="13.5" customHeight="1" thickBot="1">
      <c r="A9" s="54">
        <v>3</v>
      </c>
      <c r="B9" s="225" t="s">
        <v>498</v>
      </c>
      <c r="C9" s="69"/>
      <c r="D9" s="66"/>
      <c r="E9" s="1142"/>
      <c r="F9" s="1172"/>
      <c r="H9" s="320">
        <f>IF(AND(C9&gt;0,E9=""),"ERROR","")</f>
      </c>
    </row>
    <row r="10" spans="1:6" s="80" customFormat="1" ht="13.5" customHeight="1" thickBot="1">
      <c r="A10" s="170">
        <v>4</v>
      </c>
      <c r="B10" s="267" t="s">
        <v>214</v>
      </c>
      <c r="C10" s="454">
        <f>SUM(C7:C9)</f>
        <v>0</v>
      </c>
      <c r="D10" s="454">
        <f>SUM(D7:D9)</f>
        <v>0</v>
      </c>
      <c r="E10" s="474"/>
      <c r="F10" s="475"/>
    </row>
    <row r="11" spans="1:8" ht="13.5" customHeight="1">
      <c r="A11" s="64">
        <v>5</v>
      </c>
      <c r="B11" s="241" t="s">
        <v>140</v>
      </c>
      <c r="C11" s="93"/>
      <c r="D11" s="74"/>
      <c r="E11" s="1142"/>
      <c r="F11" s="1172"/>
      <c r="H11" s="319">
        <f>IF(AND(C11&gt;0,E11=""),"ERROR","")</f>
      </c>
    </row>
    <row r="12" spans="1:8" ht="13.5" customHeight="1">
      <c r="A12" s="58">
        <v>6</v>
      </c>
      <c r="B12" s="230" t="s">
        <v>579</v>
      </c>
      <c r="C12" s="93"/>
      <c r="D12" s="74"/>
      <c r="E12" s="1142"/>
      <c r="F12" s="1172"/>
      <c r="H12" s="320">
        <f>IF(AND(C12&gt;0,E12=""),"ERROR","")</f>
      </c>
    </row>
    <row r="13" spans="1:8" ht="13.5" customHeight="1" thickBot="1">
      <c r="A13" s="58">
        <v>7</v>
      </c>
      <c r="B13" s="230" t="s">
        <v>150</v>
      </c>
      <c r="C13" s="476">
        <f>'SCH 1 General Info'!E46+('SCH 1 General Info'!C40*'SCH 1 General Info'!E40*'SCH 1 General Info'!G40)+('SCH 1 General Info'!C41*'SCH 1 General Info'!E41*'SCH 1 General Info'!G41)+('SCH 1 General Info'!C42*'SCH 1 General Info'!E42*'SCH 1 General Info'!G42)</f>
        <v>0</v>
      </c>
      <c r="D13" s="484">
        <f>'SCH 1 General Info'!G46+('SCH 1 General Info'!C40*'SCH 1 General Info'!E40*'SCH 1 General Info'!G40)+('SCH 1 General Info'!C41*'SCH 1 General Info'!E41*'SCH 1 General Info'!G41)+('SCH 1 General Info'!C42*'SCH 1 General Info'!E42*'SCH 1 General Info'!G42)</f>
        <v>0</v>
      </c>
      <c r="E13" s="1142"/>
      <c r="F13" s="1172"/>
      <c r="H13" s="323">
        <f>IF(AND(C13&gt;0,E13=""),"ERROR","")</f>
      </c>
    </row>
    <row r="14" spans="1:8" ht="13.5" customHeight="1" thickBot="1">
      <c r="A14" s="170">
        <v>8</v>
      </c>
      <c r="B14" s="267" t="s">
        <v>215</v>
      </c>
      <c r="C14" s="454">
        <f>SUM(C11:C13)</f>
        <v>0</v>
      </c>
      <c r="D14" s="454">
        <f>SUM(D11:D13)</f>
        <v>0</v>
      </c>
      <c r="E14" s="477"/>
      <c r="F14" s="478"/>
      <c r="H14" s="316">
        <f>COUNTIF(H11:H13,"ERROR")+COUNTIF(H7:H9,"ERROR")</f>
        <v>1</v>
      </c>
    </row>
    <row r="15" spans="1:6" ht="13.5" customHeight="1">
      <c r="A15" s="64">
        <v>9</v>
      </c>
      <c r="B15" s="268" t="s">
        <v>139</v>
      </c>
      <c r="C15" s="891">
        <f>IF(OR('Cover Page'!B13="X",'Cover Page'!B14="X",'Cover Page'!E13="X"),Auditor_fee,0)</f>
        <v>0</v>
      </c>
      <c r="D15" s="892">
        <f>C15</f>
        <v>0</v>
      </c>
      <c r="E15" s="465"/>
      <c r="F15" s="466"/>
    </row>
    <row r="16" spans="1:6" s="11" customFormat="1" ht="13.5" customHeight="1">
      <c r="A16" s="54">
        <v>10</v>
      </c>
      <c r="B16" s="11" t="s">
        <v>153</v>
      </c>
      <c r="C16" s="69"/>
      <c r="D16" s="66"/>
      <c r="E16" s="916"/>
      <c r="F16" s="917"/>
    </row>
    <row r="17" spans="1:6" ht="13.5" customHeight="1">
      <c r="A17" s="54">
        <v>11</v>
      </c>
      <c r="B17" s="116" t="s">
        <v>499</v>
      </c>
      <c r="C17" s="69"/>
      <c r="D17" s="66"/>
      <c r="E17" s="465"/>
      <c r="F17" s="466"/>
    </row>
    <row r="18" spans="1:6" ht="13.5" customHeight="1">
      <c r="A18" s="54">
        <v>12</v>
      </c>
      <c r="B18" s="116" t="s">
        <v>758</v>
      </c>
      <c r="C18" s="69"/>
      <c r="D18" s="66"/>
      <c r="E18" s="465"/>
      <c r="F18" s="466"/>
    </row>
    <row r="19" spans="1:6" ht="13.5" customHeight="1">
      <c r="A19" s="58">
        <v>13</v>
      </c>
      <c r="B19" s="230" t="s">
        <v>500</v>
      </c>
      <c r="C19" s="78"/>
      <c r="D19" s="94"/>
      <c r="E19" s="640"/>
      <c r="F19" s="641"/>
    </row>
    <row r="20" spans="1:6" ht="13.5" customHeight="1" thickBot="1">
      <c r="A20" s="55">
        <v>14</v>
      </c>
      <c r="B20" s="243" t="s">
        <v>39</v>
      </c>
      <c r="C20" s="70"/>
      <c r="D20" s="70"/>
      <c r="E20" s="465"/>
      <c r="F20" s="466"/>
    </row>
    <row r="21" spans="1:6" s="80" customFormat="1" ht="13.5" customHeight="1" thickBot="1">
      <c r="A21" s="64">
        <v>15</v>
      </c>
      <c r="B21" s="380" t="s">
        <v>216</v>
      </c>
      <c r="C21" s="453">
        <f>SUM(C15:C20)</f>
        <v>0</v>
      </c>
      <c r="D21" s="453">
        <f>SUM(D15:D20)</f>
        <v>0</v>
      </c>
      <c r="E21" s="479"/>
      <c r="F21" s="480"/>
    </row>
    <row r="22" spans="1:6" ht="13.5" customHeight="1" thickTop="1">
      <c r="A22" s="91"/>
      <c r="B22" s="92"/>
      <c r="C22" s="1171" t="s">
        <v>163</v>
      </c>
      <c r="D22" s="1171"/>
      <c r="E22" s="60"/>
      <c r="F22" s="60"/>
    </row>
    <row r="23" spans="1:14" ht="48" customHeight="1">
      <c r="A23" s="1106" t="s">
        <v>625</v>
      </c>
      <c r="B23" s="1106"/>
      <c r="C23" s="1106"/>
      <c r="D23" s="1106"/>
      <c r="E23" s="1106"/>
      <c r="F23" s="1181"/>
      <c r="G23" s="1180"/>
      <c r="H23" s="1180"/>
      <c r="I23" s="1180"/>
      <c r="J23" s="1180"/>
      <c r="K23" s="1180"/>
      <c r="L23" s="1180"/>
      <c r="M23" s="1180"/>
      <c r="N23" s="1180"/>
    </row>
    <row r="24" spans="1:6" ht="36" customHeight="1">
      <c r="A24" s="30" t="s">
        <v>5</v>
      </c>
      <c r="B24" s="149" t="s">
        <v>199</v>
      </c>
      <c r="C24" s="117" t="s">
        <v>202</v>
      </c>
      <c r="D24" s="117" t="s">
        <v>203</v>
      </c>
      <c r="E24" s="149" t="s">
        <v>204</v>
      </c>
      <c r="F24" s="342"/>
    </row>
    <row r="25" spans="1:6" ht="13.5" customHeight="1" thickBot="1">
      <c r="A25" s="239">
        <v>16</v>
      </c>
      <c r="B25" s="234" t="s">
        <v>141</v>
      </c>
      <c r="C25" s="453">
        <f>D10</f>
        <v>0</v>
      </c>
      <c r="D25" s="453">
        <f>D14</f>
        <v>0</v>
      </c>
      <c r="E25" s="463">
        <f>D21</f>
        <v>0</v>
      </c>
      <c r="F25" s="410"/>
    </row>
    <row r="26" spans="1:6" ht="3" customHeight="1" thickBot="1">
      <c r="A26" s="240"/>
      <c r="B26" s="236"/>
      <c r="C26" s="263"/>
      <c r="D26" s="264"/>
      <c r="E26" s="265"/>
      <c r="F26" s="409"/>
    </row>
    <row r="27" spans="1:6" ht="13.5" customHeight="1">
      <c r="A27" s="164">
        <v>17</v>
      </c>
      <c r="B27" s="165" t="str">
        <f>"Total "&amp;Months!$B$1&amp;" Expenses"</f>
        <v>Total 2022-23 Expenses</v>
      </c>
      <c r="C27" s="453">
        <f>C10</f>
        <v>0</v>
      </c>
      <c r="D27" s="453">
        <f>C14</f>
        <v>0</v>
      </c>
      <c r="E27" s="463">
        <f>C21</f>
        <v>0</v>
      </c>
      <c r="F27" s="410"/>
    </row>
    <row r="28" spans="1:6" ht="13.5" customHeight="1">
      <c r="A28" s="101">
        <v>18</v>
      </c>
      <c r="B28" s="233" t="str">
        <f>Months!$B$4&amp;" Prepaid Expenses"</f>
        <v>June 30, 2022 Prepaid Expenses</v>
      </c>
      <c r="C28" s="231"/>
      <c r="D28" s="231"/>
      <c r="E28" s="232"/>
      <c r="F28" s="410"/>
    </row>
    <row r="29" spans="1:6" ht="13.5" customHeight="1" thickBot="1">
      <c r="A29" s="99">
        <v>19</v>
      </c>
      <c r="B29" s="233" t="str">
        <f>Months!$B$4&amp;" Accounts Payable"</f>
        <v>June 30, 2022 Accounts Payable</v>
      </c>
      <c r="C29" s="78"/>
      <c r="D29" s="78"/>
      <c r="E29" s="94"/>
      <c r="F29" s="410"/>
    </row>
    <row r="30" spans="1:6" ht="13.5" customHeight="1" thickBot="1">
      <c r="A30" s="100">
        <v>20</v>
      </c>
      <c r="B30" s="270" t="s">
        <v>211</v>
      </c>
      <c r="C30" s="454">
        <f>C27-C28+C29</f>
        <v>0</v>
      </c>
      <c r="D30" s="454">
        <f>D27-D28+D29</f>
        <v>0</v>
      </c>
      <c r="E30" s="248">
        <f>E27-E28+E29</f>
        <v>0</v>
      </c>
      <c r="F30" s="410"/>
    </row>
    <row r="31" spans="1:6" ht="13.5" customHeight="1">
      <c r="A31" s="64">
        <v>21</v>
      </c>
      <c r="B31" s="280" t="str">
        <f>Months!$B7&amp;" Cash Payments"</f>
        <v>July 2022 Cash Payments</v>
      </c>
      <c r="C31" s="93"/>
      <c r="D31" s="93"/>
      <c r="E31" s="74"/>
      <c r="F31" s="410"/>
    </row>
    <row r="32" spans="1:6" ht="13.5" customHeight="1">
      <c r="A32" s="54">
        <v>22</v>
      </c>
      <c r="B32" s="280" t="str">
        <f>Months!$B8&amp;" Cash Payments"</f>
        <v>August 2022 Cash Payments</v>
      </c>
      <c r="C32" s="93"/>
      <c r="D32" s="69"/>
      <c r="E32" s="66"/>
      <c r="F32" s="410"/>
    </row>
    <row r="33" spans="1:6" ht="13.5" customHeight="1">
      <c r="A33" s="54">
        <v>23</v>
      </c>
      <c r="B33" s="280" t="str">
        <f>Months!$B9&amp;" Cash Payments"</f>
        <v>September 2022 Cash Payments</v>
      </c>
      <c r="C33" s="69"/>
      <c r="D33" s="69"/>
      <c r="E33" s="66"/>
      <c r="F33" s="410"/>
    </row>
    <row r="34" spans="1:6" ht="13.5" customHeight="1">
      <c r="A34" s="54">
        <v>24</v>
      </c>
      <c r="B34" s="280" t="str">
        <f>Months!$B10&amp;" Cash Payments"</f>
        <v>October 2022 Cash Payments</v>
      </c>
      <c r="C34" s="69"/>
      <c r="D34" s="69"/>
      <c r="E34" s="66"/>
      <c r="F34" s="410"/>
    </row>
    <row r="35" spans="1:6" ht="13.5" customHeight="1">
      <c r="A35" s="54">
        <v>25</v>
      </c>
      <c r="B35" s="280" t="str">
        <f>Months!$B11&amp;" Cash Payments"</f>
        <v>November 2022 Cash Payments</v>
      </c>
      <c r="C35" s="69"/>
      <c r="D35" s="69"/>
      <c r="E35" s="66"/>
      <c r="F35" s="410"/>
    </row>
    <row r="36" spans="1:6" ht="13.5" customHeight="1">
      <c r="A36" s="54">
        <v>26</v>
      </c>
      <c r="B36" s="280" t="str">
        <f>Months!$B12&amp;" Cash Payments"</f>
        <v>December 2022 Cash Payments</v>
      </c>
      <c r="C36" s="69"/>
      <c r="D36" s="69"/>
      <c r="E36" s="66"/>
      <c r="F36" s="410"/>
    </row>
    <row r="37" spans="1:6" ht="13.5" customHeight="1">
      <c r="A37" s="54">
        <v>27</v>
      </c>
      <c r="B37" s="280" t="str">
        <f>Months!$B13&amp;" Cash Payments"</f>
        <v>January 2023 Cash Payments</v>
      </c>
      <c r="C37" s="69"/>
      <c r="D37" s="69"/>
      <c r="E37" s="66"/>
      <c r="F37" s="410"/>
    </row>
    <row r="38" spans="1:6" ht="15" customHeight="1">
      <c r="A38" s="54">
        <v>28</v>
      </c>
      <c r="B38" s="280" t="str">
        <f>Months!$B14&amp;" Cash Payments"</f>
        <v>February 2023 Cash Payments</v>
      </c>
      <c r="C38" s="69"/>
      <c r="D38" s="69"/>
      <c r="E38" s="66"/>
      <c r="F38" s="410"/>
    </row>
    <row r="39" spans="1:6" ht="15" customHeight="1">
      <c r="A39" s="54">
        <v>29</v>
      </c>
      <c r="B39" s="280" t="str">
        <f>Months!$B15&amp;" Cash Payments"</f>
        <v>March 2023 Cash Payments</v>
      </c>
      <c r="C39" s="69"/>
      <c r="D39" s="69"/>
      <c r="E39" s="66"/>
      <c r="F39" s="410"/>
    </row>
    <row r="40" spans="1:6" ht="15" customHeight="1">
      <c r="A40" s="54">
        <v>30</v>
      </c>
      <c r="B40" s="280" t="str">
        <f>Months!$B16&amp;" Cash Payments"</f>
        <v>April 2023 Cash Payments</v>
      </c>
      <c r="C40" s="69"/>
      <c r="D40" s="69"/>
      <c r="E40" s="66"/>
      <c r="F40" s="410"/>
    </row>
    <row r="41" spans="1:6" ht="15" customHeight="1">
      <c r="A41" s="54">
        <v>31</v>
      </c>
      <c r="B41" s="280" t="str">
        <f>Months!$B17&amp;" Cash Payments"</f>
        <v>May 2023 Cash Payments</v>
      </c>
      <c r="C41" s="69"/>
      <c r="D41" s="69"/>
      <c r="E41" s="66"/>
      <c r="F41" s="410"/>
    </row>
    <row r="42" spans="1:6" ht="15" customHeight="1" thickBot="1">
      <c r="A42" s="54">
        <v>32</v>
      </c>
      <c r="B42" s="280" t="str">
        <f>Months!$B18&amp;" Cash Payments"</f>
        <v>June 2023 Cash Payments</v>
      </c>
      <c r="C42" s="93"/>
      <c r="D42" s="93"/>
      <c r="E42" s="74"/>
      <c r="F42" s="410"/>
    </row>
    <row r="43" spans="1:6" ht="15" customHeight="1" thickBot="1">
      <c r="A43" s="170">
        <v>33</v>
      </c>
      <c r="B43" s="219" t="s">
        <v>30</v>
      </c>
      <c r="C43" s="221">
        <f>SUM(C31:C42)</f>
        <v>0</v>
      </c>
      <c r="D43" s="221">
        <f>SUM(D31:D42)</f>
        <v>0</v>
      </c>
      <c r="E43" s="221">
        <f>SUM(E31:E42)</f>
        <v>0</v>
      </c>
      <c r="F43" s="410"/>
    </row>
    <row r="44" spans="1:6" ht="15" customHeight="1" thickBot="1">
      <c r="A44" s="101">
        <v>34</v>
      </c>
      <c r="B44" s="233" t="str">
        <f>Months!$C$5&amp;" Prepaid Expenses"</f>
        <v>JUNE 30, 2023 Prepaid Expenses</v>
      </c>
      <c r="C44" s="231"/>
      <c r="D44" s="231"/>
      <c r="E44" s="232"/>
      <c r="F44" s="410"/>
    </row>
    <row r="45" spans="1:6" ht="15" customHeight="1" thickBot="1">
      <c r="A45" s="222">
        <v>35</v>
      </c>
      <c r="B45" s="269" t="str">
        <f>Months!$C$5&amp;" ACCOUNTS PAYABLE"</f>
        <v>JUNE 30, 2023 ACCOUNTS PAYABLE</v>
      </c>
      <c r="C45" s="258">
        <f>ROUND((C30-C43+C44),0)</f>
        <v>0</v>
      </c>
      <c r="D45" s="258">
        <f>ROUND((D30-D43+D44),0)</f>
        <v>0</v>
      </c>
      <c r="E45" s="266">
        <f>ROUND((E30-E43+E44),0)</f>
        <v>0</v>
      </c>
      <c r="F45" s="411"/>
    </row>
    <row r="46" ht="15" customHeight="1" thickTop="1"/>
  </sheetData>
  <sheetProtection password="EBD1" sheet="1"/>
  <mergeCells count="15">
    <mergeCell ref="E9:F9"/>
    <mergeCell ref="E11:F11"/>
    <mergeCell ref="G23:N23"/>
    <mergeCell ref="E13:F13"/>
    <mergeCell ref="A23:F23"/>
    <mergeCell ref="A1:F1"/>
    <mergeCell ref="A2:F2"/>
    <mergeCell ref="A3:F3"/>
    <mergeCell ref="C22:D22"/>
    <mergeCell ref="C4:D4"/>
    <mergeCell ref="E12:F12"/>
    <mergeCell ref="E6:F6"/>
    <mergeCell ref="A5:F5"/>
    <mergeCell ref="E7:F7"/>
    <mergeCell ref="E8:F8"/>
  </mergeCells>
  <conditionalFormatting sqref="H11 H7:H9 H13">
    <cfRule type="containsText" priority="2" dxfId="0" operator="containsText" stopIfTrue="1" text="ERROR">
      <formula>NOT(ISERROR(SEARCH("ERROR",H7)))</formula>
    </cfRule>
  </conditionalFormatting>
  <conditionalFormatting sqref="H12">
    <cfRule type="containsText" priority="1" dxfId="0" operator="containsText" stopIfTrue="1" text="ERROR">
      <formula>NOT(ISERROR(SEARCH("ERROR",H12)))</formula>
    </cfRule>
  </conditionalFormatting>
  <dataValidations count="1">
    <dataValidation allowBlank="1" showInputMessage="1" showErrorMessage="1" prompt="Enter this amount in Schedule 1, Line 8h." sqref="C13:D13"/>
  </dataValidations>
  <printOptions horizontalCentered="1"/>
  <pageMargins left="0.33" right="0.24" top="0.36" bottom="0.21" header="0.17" footer="0.17"/>
  <pageSetup firstPageNumber="1" useFirstPageNumber="1" fitToHeight="1" fitToWidth="1" horizontalDpi="600" verticalDpi="600" orientation="portrait" scale="94" r:id="rId1"/>
  <headerFooter alignWithMargins="0">
    <oddHeader>&amp;LPI-PCP-14&amp;RPage 9</oddHeader>
  </headerFooter>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N45"/>
  <sheetViews>
    <sheetView showGridLines="0" showOutlineSymbols="0" zoomScaleSheetLayoutView="100" workbookViewId="0" topLeftCell="A13">
      <selection activeCell="I7" sqref="I7"/>
    </sheetView>
  </sheetViews>
  <sheetFormatPr defaultColWidth="9.140625" defaultRowHeight="12.75"/>
  <cols>
    <col min="1" max="1" width="5.57421875" style="10" customWidth="1"/>
    <col min="2" max="2" width="30.421875" style="8" bestFit="1" customWidth="1"/>
    <col min="3" max="3" width="12.57421875" style="8" customWidth="1"/>
    <col min="4" max="5" width="11.8515625" style="8" customWidth="1"/>
    <col min="6" max="6" width="13.57421875" style="8" customWidth="1"/>
    <col min="7" max="7" width="13.57421875" style="10" customWidth="1"/>
    <col min="8" max="8" width="9.140625" style="8" customWidth="1"/>
    <col min="9" max="9" width="24.421875" style="8" bestFit="1" customWidth="1"/>
    <col min="10" max="16384" width="9.140625" style="8" customWidth="1"/>
  </cols>
  <sheetData>
    <row r="1" spans="1:7" ht="15" customHeight="1">
      <c r="A1" s="1108">
        <f>'Cover Page'!A9</f>
        <v>0</v>
      </c>
      <c r="B1" s="1108"/>
      <c r="C1" s="1108"/>
      <c r="D1" s="1108"/>
      <c r="E1" s="1108"/>
      <c r="F1" s="1108"/>
      <c r="G1" s="1108"/>
    </row>
    <row r="2" spans="1:7" ht="15" customHeight="1">
      <c r="A2" s="1035" t="s">
        <v>262</v>
      </c>
      <c r="B2" s="1035"/>
      <c r="C2" s="1035"/>
      <c r="D2" s="1035"/>
      <c r="E2" s="1035"/>
      <c r="F2" s="1035"/>
      <c r="G2" s="1035"/>
    </row>
    <row r="3" spans="1:7" ht="15" customHeight="1" thickBot="1">
      <c r="A3" s="1182" t="str">
        <f>'Required Attachments'!A3</f>
        <v>Budget for the period from July 1, 2022 to June 30, 2023</v>
      </c>
      <c r="B3" s="1182"/>
      <c r="C3" s="1182"/>
      <c r="D3" s="1182"/>
      <c r="E3" s="1182"/>
      <c r="F3" s="1182"/>
      <c r="G3" s="1182"/>
    </row>
    <row r="4" spans="1:7" ht="52.5" customHeight="1" thickBot="1" thickTop="1">
      <c r="A4" s="1187" t="s">
        <v>867</v>
      </c>
      <c r="B4" s="1188"/>
      <c r="C4" s="1188"/>
      <c r="D4" s="1188"/>
      <c r="E4" s="1188"/>
      <c r="F4" s="1188"/>
      <c r="G4" s="1188"/>
    </row>
    <row r="5" spans="1:7" ht="15" customHeight="1" thickTop="1">
      <c r="A5" s="147"/>
      <c r="B5" s="147"/>
      <c r="C5" s="1171" t="s">
        <v>161</v>
      </c>
      <c r="D5" s="1171"/>
      <c r="E5" s="371"/>
      <c r="F5" s="147"/>
      <c r="G5" s="147"/>
    </row>
    <row r="6" spans="1:7" ht="44.25" customHeight="1">
      <c r="A6" s="32" t="s">
        <v>5</v>
      </c>
      <c r="B6" s="149" t="s">
        <v>502</v>
      </c>
      <c r="C6" s="2" t="s">
        <v>335</v>
      </c>
      <c r="D6" s="17" t="s">
        <v>164</v>
      </c>
      <c r="E6" s="18" t="s">
        <v>438</v>
      </c>
      <c r="F6" s="18" t="s">
        <v>439</v>
      </c>
      <c r="G6" s="246" t="s">
        <v>440</v>
      </c>
    </row>
    <row r="7" spans="1:7" ht="15" customHeight="1">
      <c r="A7" s="54">
        <v>1</v>
      </c>
      <c r="B7" s="230" t="s">
        <v>157</v>
      </c>
      <c r="C7" s="212"/>
      <c r="D7" s="66"/>
      <c r="E7" s="602"/>
      <c r="F7" s="481">
        <f aca="true" t="shared" si="0" ref="F7:F13">C7*D7</f>
        <v>0</v>
      </c>
      <c r="G7" s="549"/>
    </row>
    <row r="8" spans="1:7" ht="15" customHeight="1">
      <c r="A8" s="211">
        <v>2</v>
      </c>
      <c r="B8" s="230" t="s">
        <v>154</v>
      </c>
      <c r="C8" s="212"/>
      <c r="D8" s="66"/>
      <c r="E8" s="602"/>
      <c r="F8" s="481">
        <f t="shared" si="0"/>
        <v>0</v>
      </c>
      <c r="G8" s="549"/>
    </row>
    <row r="9" spans="1:7" ht="15" customHeight="1">
      <c r="A9" s="54">
        <v>3</v>
      </c>
      <c r="B9" s="230" t="s">
        <v>162</v>
      </c>
      <c r="C9" s="212"/>
      <c r="D9" s="66"/>
      <c r="E9" s="602"/>
      <c r="F9" s="481">
        <f t="shared" si="0"/>
        <v>0</v>
      </c>
      <c r="G9" s="549"/>
    </row>
    <row r="10" spans="1:7" ht="15" customHeight="1">
      <c r="A10" s="54">
        <v>4</v>
      </c>
      <c r="B10" s="230" t="s">
        <v>841</v>
      </c>
      <c r="C10" s="212"/>
      <c r="D10" s="66"/>
      <c r="E10" s="602"/>
      <c r="F10" s="481">
        <f t="shared" si="0"/>
        <v>0</v>
      </c>
      <c r="G10" s="549"/>
    </row>
    <row r="11" spans="1:7" ht="15" customHeight="1">
      <c r="A11" s="54">
        <v>5</v>
      </c>
      <c r="B11" s="230" t="s">
        <v>155</v>
      </c>
      <c r="C11" s="212"/>
      <c r="D11" s="66"/>
      <c r="E11" s="602"/>
      <c r="F11" s="481">
        <f t="shared" si="0"/>
        <v>0</v>
      </c>
      <c r="G11" s="549"/>
    </row>
    <row r="12" spans="1:7" ht="15" customHeight="1">
      <c r="A12" s="54">
        <v>6</v>
      </c>
      <c r="B12" s="230" t="s">
        <v>156</v>
      </c>
      <c r="C12" s="212"/>
      <c r="D12" s="69"/>
      <c r="E12" s="602"/>
      <c r="F12" s="481">
        <f t="shared" si="0"/>
        <v>0</v>
      </c>
      <c r="G12" s="549"/>
    </row>
    <row r="13" spans="1:7" ht="15" customHeight="1">
      <c r="A13" s="58">
        <v>7</v>
      </c>
      <c r="B13" s="116" t="s">
        <v>489</v>
      </c>
      <c r="C13" s="212"/>
      <c r="D13" s="78"/>
      <c r="E13" s="603"/>
      <c r="F13" s="481">
        <f t="shared" si="0"/>
        <v>0</v>
      </c>
      <c r="G13" s="549"/>
    </row>
    <row r="14" spans="1:7" ht="15" customHeight="1" thickBot="1">
      <c r="A14" s="58">
        <v>8</v>
      </c>
      <c r="B14" s="230" t="s">
        <v>158</v>
      </c>
      <c r="C14" s="414"/>
      <c r="D14" s="482"/>
      <c r="E14" s="478"/>
      <c r="F14" s="590"/>
      <c r="G14" s="376"/>
    </row>
    <row r="15" spans="1:7" ht="15" customHeight="1" thickBot="1">
      <c r="A15" s="170">
        <v>9</v>
      </c>
      <c r="B15" s="219" t="s">
        <v>217</v>
      </c>
      <c r="C15" s="415"/>
      <c r="D15" s="483"/>
      <c r="E15" s="595"/>
      <c r="F15" s="221">
        <f>SUM(F7:F14)</f>
        <v>0</v>
      </c>
      <c r="G15" s="359"/>
    </row>
    <row r="16" spans="1:7" ht="15" customHeight="1">
      <c r="A16" s="582">
        <v>10</v>
      </c>
      <c r="B16" s="583" t="s">
        <v>433</v>
      </c>
      <c r="C16" s="605"/>
      <c r="D16" s="596">
        <f>'SCH 1 General Info'!C40</f>
        <v>0</v>
      </c>
      <c r="E16" s="596">
        <f>'SCH 1 General Info'!E40</f>
        <v>0</v>
      </c>
      <c r="F16" s="586">
        <f>C16*D16*E16</f>
        <v>0</v>
      </c>
      <c r="G16" s="587">
        <f aca="true" t="shared" si="1" ref="G16:G22">F16</f>
        <v>0</v>
      </c>
    </row>
    <row r="17" spans="1:7" ht="15" customHeight="1">
      <c r="A17" s="54">
        <v>11</v>
      </c>
      <c r="B17" s="584" t="s">
        <v>432</v>
      </c>
      <c r="C17" s="606"/>
      <c r="D17" s="69">
        <f>'SCH 1 General Info'!C41</f>
        <v>0</v>
      </c>
      <c r="E17" s="69">
        <f>'SCH 1 General Info'!E41</f>
        <v>0</v>
      </c>
      <c r="F17" s="585">
        <f>C17*D17*E17</f>
        <v>0</v>
      </c>
      <c r="G17" s="589">
        <f>F17</f>
        <v>0</v>
      </c>
    </row>
    <row r="18" spans="1:7" ht="15" customHeight="1" thickBot="1">
      <c r="A18" s="54">
        <v>12</v>
      </c>
      <c r="B18" s="584" t="s">
        <v>434</v>
      </c>
      <c r="C18" s="606"/>
      <c r="D18" s="93">
        <f>'SCH 1 General Info'!C42</f>
        <v>0</v>
      </c>
      <c r="E18" s="93">
        <f>'SCH 1 General Info'!E42</f>
        <v>0</v>
      </c>
      <c r="F18" s="601">
        <f>C18*D18*E18</f>
        <v>0</v>
      </c>
      <c r="G18" s="588">
        <f>F18</f>
        <v>0</v>
      </c>
    </row>
    <row r="19" spans="1:9" ht="15" customHeight="1">
      <c r="A19" s="58">
        <v>13</v>
      </c>
      <c r="B19" s="230" t="s">
        <v>221</v>
      </c>
      <c r="C19" s="78"/>
      <c r="D19" s="78"/>
      <c r="E19" s="477"/>
      <c r="F19" s="481">
        <f>C19*D19</f>
        <v>0</v>
      </c>
      <c r="G19" s="484">
        <f t="shared" si="1"/>
        <v>0</v>
      </c>
      <c r="I19" s="568" t="s">
        <v>413</v>
      </c>
    </row>
    <row r="20" spans="1:9" ht="15" customHeight="1">
      <c r="A20" s="58">
        <v>14</v>
      </c>
      <c r="B20" s="230" t="s">
        <v>635</v>
      </c>
      <c r="C20" s="868"/>
      <c r="D20" s="868"/>
      <c r="E20" s="478"/>
      <c r="F20" s="590"/>
      <c r="G20" s="533">
        <v>0</v>
      </c>
      <c r="I20" s="567" t="str">
        <f>IF(AND(F20&gt;0,B20="{Insert description of government assistance}"),"Explanation Required","OK")</f>
        <v>OK</v>
      </c>
    </row>
    <row r="21" spans="1:9" ht="15" customHeight="1">
      <c r="A21" s="58">
        <v>15</v>
      </c>
      <c r="B21" s="1142" t="s">
        <v>159</v>
      </c>
      <c r="C21" s="1172"/>
      <c r="D21" s="1143"/>
      <c r="E21" s="478"/>
      <c r="F21" s="590"/>
      <c r="G21" s="622">
        <f t="shared" si="1"/>
        <v>0</v>
      </c>
      <c r="I21" s="567" t="str">
        <f>IF(AND(F21&gt;0,B21="{Insert description of government assistance}"),"Explanation Required","OK")</f>
        <v>OK</v>
      </c>
    </row>
    <row r="22" spans="1:9" ht="15" customHeight="1" thickBot="1">
      <c r="A22" s="55">
        <v>16</v>
      </c>
      <c r="B22" s="1152" t="s">
        <v>159</v>
      </c>
      <c r="C22" s="1185"/>
      <c r="D22" s="1153"/>
      <c r="E22" s="604"/>
      <c r="F22" s="591"/>
      <c r="G22" s="590">
        <f t="shared" si="1"/>
        <v>0</v>
      </c>
      <c r="I22" s="567" t="str">
        <f>IF(AND(F22&gt;0,B22="{Insert description of government assistance}"),"Explanation Required","OK")</f>
        <v>OK</v>
      </c>
    </row>
    <row r="23" spans="1:9" ht="15" customHeight="1" thickBot="1">
      <c r="A23" s="170">
        <v>17</v>
      </c>
      <c r="B23" s="1183" t="s">
        <v>160</v>
      </c>
      <c r="C23" s="1184"/>
      <c r="D23" s="412"/>
      <c r="E23" s="597"/>
      <c r="F23" s="221">
        <f>SUM(F16:F22)</f>
        <v>0</v>
      </c>
      <c r="G23" s="221">
        <f>SUM(G16:G22)</f>
        <v>0</v>
      </c>
      <c r="I23" s="317">
        <f>COUNTIF(I20:I22,"Explanation Required")</f>
        <v>0</v>
      </c>
    </row>
    <row r="24" spans="1:7" ht="15" customHeight="1" thickTop="1">
      <c r="A24" s="91"/>
      <c r="B24" s="92"/>
      <c r="C24" s="1171" t="s">
        <v>163</v>
      </c>
      <c r="D24" s="1171"/>
      <c r="E24" s="371"/>
      <c r="F24" s="60"/>
      <c r="G24" s="60"/>
    </row>
    <row r="25" spans="1:14" ht="45" customHeight="1">
      <c r="A25" s="1106" t="s">
        <v>629</v>
      </c>
      <c r="B25" s="1106"/>
      <c r="C25" s="1106"/>
      <c r="D25" s="1106"/>
      <c r="E25" s="1106"/>
      <c r="F25" s="1106"/>
      <c r="G25" s="1106"/>
      <c r="I25" s="1186"/>
      <c r="J25" s="1186"/>
      <c r="K25" s="1186"/>
      <c r="L25" s="1186"/>
      <c r="M25" s="1186"/>
      <c r="N25" s="1186"/>
    </row>
    <row r="26" spans="1:7" ht="33" customHeight="1">
      <c r="A26" s="63" t="s">
        <v>5</v>
      </c>
      <c r="B26" s="61" t="s">
        <v>199</v>
      </c>
      <c r="C26" s="53" t="s">
        <v>219</v>
      </c>
      <c r="D26" s="61" t="s">
        <v>220</v>
      </c>
      <c r="E26" s="137"/>
      <c r="F26" s="342"/>
      <c r="G26" s="342"/>
    </row>
    <row r="27" spans="1:7" ht="15" customHeight="1">
      <c r="A27" s="164">
        <v>18</v>
      </c>
      <c r="B27" s="165" t="str">
        <f>"Total "&amp;Months!$B$1&amp;" Revenues"</f>
        <v>Total 2022-23 Revenues</v>
      </c>
      <c r="C27" s="453">
        <f>F15</f>
        <v>0</v>
      </c>
      <c r="D27" s="463">
        <f>F23</f>
        <v>0</v>
      </c>
      <c r="E27" s="598"/>
      <c r="F27" s="410"/>
      <c r="G27" s="410"/>
    </row>
    <row r="28" spans="1:7" ht="15" customHeight="1">
      <c r="A28" s="101">
        <v>19</v>
      </c>
      <c r="B28" s="233" t="str">
        <f>Months!$B$4&amp;" Deferred Revenue"</f>
        <v>June 30, 2022 Deferred Revenue</v>
      </c>
      <c r="C28" s="231"/>
      <c r="D28" s="232"/>
      <c r="E28" s="600"/>
      <c r="F28" s="410"/>
      <c r="G28" s="410"/>
    </row>
    <row r="29" spans="1:7" ht="15" customHeight="1" thickBot="1">
      <c r="A29" s="99">
        <v>20</v>
      </c>
      <c r="B29" s="233" t="str">
        <f>Months!$B$4&amp;" Accounts Receivable"</f>
        <v>June 30, 2022 Accounts Receivable</v>
      </c>
      <c r="C29" s="78"/>
      <c r="D29" s="94"/>
      <c r="E29" s="600"/>
      <c r="F29" s="410"/>
      <c r="G29" s="410"/>
    </row>
    <row r="30" spans="1:8" ht="15" customHeight="1" thickBot="1">
      <c r="A30" s="100">
        <v>21</v>
      </c>
      <c r="B30" s="270" t="s">
        <v>218</v>
      </c>
      <c r="C30" s="454">
        <f>C27-C28+C29</f>
        <v>0</v>
      </c>
      <c r="D30" s="248">
        <f>D27-D28+D29</f>
        <v>0</v>
      </c>
      <c r="E30" s="598"/>
      <c r="F30" s="410"/>
      <c r="G30" s="410"/>
      <c r="H30" s="10"/>
    </row>
    <row r="31" spans="1:7" ht="15" customHeight="1">
      <c r="A31" s="64">
        <v>22</v>
      </c>
      <c r="B31" s="280" t="str">
        <f>Months!$B7&amp;" Cash Receipts"</f>
        <v>July 2022 Cash Receipts</v>
      </c>
      <c r="C31" s="93"/>
      <c r="D31" s="74"/>
      <c r="E31" s="600"/>
      <c r="F31" s="410"/>
      <c r="G31" s="410"/>
    </row>
    <row r="32" spans="1:7" ht="15" customHeight="1">
      <c r="A32" s="54">
        <v>23</v>
      </c>
      <c r="B32" s="280" t="str">
        <f>Months!$B8&amp;" Cash Receipts"</f>
        <v>August 2022 Cash Receipts</v>
      </c>
      <c r="C32" s="93"/>
      <c r="D32" s="66"/>
      <c r="E32" s="600"/>
      <c r="F32" s="410"/>
      <c r="G32" s="410"/>
    </row>
    <row r="33" spans="1:7" ht="15" customHeight="1">
      <c r="A33" s="54">
        <v>24</v>
      </c>
      <c r="B33" s="280" t="str">
        <f>Months!$B9&amp;" Cash Receipts"</f>
        <v>September 2022 Cash Receipts</v>
      </c>
      <c r="C33" s="69"/>
      <c r="D33" s="66"/>
      <c r="E33" s="600"/>
      <c r="F33" s="410"/>
      <c r="G33" s="410"/>
    </row>
    <row r="34" spans="1:7" ht="15" customHeight="1">
      <c r="A34" s="54">
        <v>25</v>
      </c>
      <c r="B34" s="280" t="str">
        <f>Months!$B10&amp;" Cash Receipts"</f>
        <v>October 2022 Cash Receipts</v>
      </c>
      <c r="C34" s="69"/>
      <c r="D34" s="66"/>
      <c r="E34" s="600"/>
      <c r="F34" s="410"/>
      <c r="G34" s="410"/>
    </row>
    <row r="35" spans="1:7" ht="15" customHeight="1">
      <c r="A35" s="54">
        <v>26</v>
      </c>
      <c r="B35" s="280" t="str">
        <f>Months!$B11&amp;" Cash Receipts"</f>
        <v>November 2022 Cash Receipts</v>
      </c>
      <c r="C35" s="69"/>
      <c r="D35" s="66"/>
      <c r="E35" s="600"/>
      <c r="F35" s="410"/>
      <c r="G35" s="410"/>
    </row>
    <row r="36" spans="1:7" ht="15" customHeight="1">
      <c r="A36" s="54">
        <v>27</v>
      </c>
      <c r="B36" s="280" t="str">
        <f>Months!$B12&amp;" Cash Receipts"</f>
        <v>December 2022 Cash Receipts</v>
      </c>
      <c r="C36" s="69"/>
      <c r="D36" s="66"/>
      <c r="E36" s="600"/>
      <c r="F36" s="410"/>
      <c r="G36" s="410"/>
    </row>
    <row r="37" spans="1:7" ht="15" customHeight="1">
      <c r="A37" s="54">
        <v>28</v>
      </c>
      <c r="B37" s="280" t="str">
        <f>Months!$B13&amp;" Cash Receipts"</f>
        <v>January 2023 Cash Receipts</v>
      </c>
      <c r="C37" s="69"/>
      <c r="D37" s="66"/>
      <c r="E37" s="600"/>
      <c r="F37" s="410"/>
      <c r="G37" s="410"/>
    </row>
    <row r="38" spans="1:7" ht="15" customHeight="1">
      <c r="A38" s="54">
        <v>29</v>
      </c>
      <c r="B38" s="280" t="str">
        <f>Months!$B14&amp;" Cash Receipts"</f>
        <v>February 2023 Cash Receipts</v>
      </c>
      <c r="C38" s="69"/>
      <c r="D38" s="66"/>
      <c r="E38" s="600"/>
      <c r="F38" s="410"/>
      <c r="G38" s="410"/>
    </row>
    <row r="39" spans="1:7" ht="15" customHeight="1">
      <c r="A39" s="54">
        <v>30</v>
      </c>
      <c r="B39" s="280" t="str">
        <f>Months!$B15&amp;" Cash Receipts"</f>
        <v>March 2023 Cash Receipts</v>
      </c>
      <c r="C39" s="69"/>
      <c r="D39" s="66"/>
      <c r="E39" s="600"/>
      <c r="F39" s="410"/>
      <c r="G39" s="410"/>
    </row>
    <row r="40" spans="1:7" ht="15" customHeight="1">
      <c r="A40" s="54">
        <v>31</v>
      </c>
      <c r="B40" s="280" t="str">
        <f>Months!$B16&amp;" Cash Receipts"</f>
        <v>April 2023 Cash Receipts</v>
      </c>
      <c r="C40" s="69"/>
      <c r="D40" s="66"/>
      <c r="E40" s="600"/>
      <c r="F40" s="410"/>
      <c r="G40" s="410"/>
    </row>
    <row r="41" spans="1:7" ht="15" customHeight="1">
      <c r="A41" s="54">
        <v>32</v>
      </c>
      <c r="B41" s="280" t="str">
        <f>Months!$B17&amp;" Cash Receipts"</f>
        <v>May 2023 Cash Receipts</v>
      </c>
      <c r="C41" s="69"/>
      <c r="D41" s="66"/>
      <c r="E41" s="600"/>
      <c r="F41" s="410"/>
      <c r="G41" s="410"/>
    </row>
    <row r="42" spans="1:7" ht="15" customHeight="1" thickBot="1">
      <c r="A42" s="54">
        <v>33</v>
      </c>
      <c r="B42" s="280" t="str">
        <f>Months!$B18&amp;" Cash Receipts"</f>
        <v>June 2023 Cash Receipts</v>
      </c>
      <c r="C42" s="93"/>
      <c r="D42" s="74"/>
      <c r="E42" s="600"/>
      <c r="F42" s="410"/>
      <c r="G42" s="410"/>
    </row>
    <row r="43" spans="1:7" ht="15" customHeight="1" thickBot="1">
      <c r="A43" s="170">
        <v>34</v>
      </c>
      <c r="B43" s="219" t="s">
        <v>29</v>
      </c>
      <c r="C43" s="221">
        <f>SUM(C31:C42)</f>
        <v>0</v>
      </c>
      <c r="D43" s="221">
        <f>SUM(D31:D42)</f>
        <v>0</v>
      </c>
      <c r="E43" s="598"/>
      <c r="F43" s="410"/>
      <c r="G43" s="410"/>
    </row>
    <row r="44" spans="1:7" ht="15" customHeight="1" thickBot="1">
      <c r="A44" s="101">
        <v>35</v>
      </c>
      <c r="B44" s="233" t="str">
        <f>Months!$C$5&amp;" Deferred Revenue"</f>
        <v>JUNE 30, 2023 Deferred Revenue</v>
      </c>
      <c r="C44" s="231"/>
      <c r="D44" s="232"/>
      <c r="E44" s="600"/>
      <c r="F44" s="410"/>
      <c r="G44" s="410"/>
    </row>
    <row r="45" spans="1:7" ht="15" customHeight="1" thickBot="1">
      <c r="A45" s="222">
        <v>36</v>
      </c>
      <c r="B45" s="269" t="str">
        <f>Months!$C$5&amp;" ACCOUNTS RECEIVABLE"</f>
        <v>JUNE 30, 2023 ACCOUNTS RECEIVABLE</v>
      </c>
      <c r="C45" s="258">
        <f>ROUND((C30-C43+C44),0)</f>
        <v>0</v>
      </c>
      <c r="D45" s="266">
        <f>ROUND((D30-D43+D44),0)</f>
        <v>0</v>
      </c>
      <c r="E45" s="599"/>
      <c r="F45" s="413"/>
      <c r="G45" s="413"/>
    </row>
    <row r="46" ht="10.5" thickTop="1"/>
  </sheetData>
  <sheetProtection password="EBD1" sheet="1"/>
  <mergeCells count="11">
    <mergeCell ref="A1:G1"/>
    <mergeCell ref="C5:D5"/>
    <mergeCell ref="C24:D24"/>
    <mergeCell ref="A4:G4"/>
    <mergeCell ref="A2:G2"/>
    <mergeCell ref="A3:G3"/>
    <mergeCell ref="A25:G25"/>
    <mergeCell ref="B23:C23"/>
    <mergeCell ref="B21:D21"/>
    <mergeCell ref="B22:D22"/>
    <mergeCell ref="I25:N25"/>
  </mergeCells>
  <conditionalFormatting sqref="I20:I22">
    <cfRule type="containsText" priority="1" dxfId="0" operator="containsText" stopIfTrue="1" text="Explanation Required">
      <formula>NOT(ISERROR(SEARCH("Explanation Required",I20)))</formula>
    </cfRule>
  </conditionalFormatting>
  <dataValidations count="2">
    <dataValidation errorStyle="warning" type="whole" allowBlank="1" showInputMessage="1" showErrorMessage="1" error="Insert the average tuition received rather than the total tuition received.  For example, if the school receives $50,000 from 10 pupils, $5,000 should be inserted here. Answer No to change the amount." sqref="C7">
      <formula1>0</formula1>
      <formula2>15000</formula2>
    </dataValidation>
    <dataValidation errorStyle="warning" type="whole" allowBlank="1" showInputMessage="1" showErrorMessage="1" prompt="Do not include the Choice payments from DPI here. Include the average amount expected to be received for 9-12 grade Choice students above the Choice payment. WPCP students in their first year of participation in the WPCP cannot be charged tuition." error="The Choice payments from the DPI are automatically included in the budget and should not be included here. Only tuition received from 9-12 graders with income above 220% of the federal poverty level may be included here." sqref="C8">
      <formula1>0</formula1>
      <formula2>1</formula2>
    </dataValidation>
  </dataValidations>
  <printOptions/>
  <pageMargins left="0.39" right="0.24" top="0.49" bottom="0.3" header="0.25" footer="0.24"/>
  <pageSetup fitToHeight="1" fitToWidth="1" horizontalDpi="600" verticalDpi="600" orientation="portrait" scale="94" r:id="rId1"/>
  <headerFooter alignWithMargins="0">
    <oddHeader>&amp;LPI-PCP-14&amp;RPage 10</oddHeader>
  </headerFooter>
</worksheet>
</file>

<file path=xl/worksheets/sheet16.xml><?xml version="1.0" encoding="utf-8"?>
<worksheet xmlns="http://schemas.openxmlformats.org/spreadsheetml/2006/main" xmlns:r="http://schemas.openxmlformats.org/officeDocument/2006/relationships">
  <sheetPr>
    <tabColor rgb="FFFF0000"/>
    <pageSetUpPr fitToPage="1"/>
  </sheetPr>
  <dimension ref="A1:L49"/>
  <sheetViews>
    <sheetView showGridLines="0" showOutlineSymbols="0" zoomScaleSheetLayoutView="100" workbookViewId="0" topLeftCell="A1">
      <selection activeCell="A4" sqref="A4:I4"/>
    </sheetView>
  </sheetViews>
  <sheetFormatPr defaultColWidth="9.140625" defaultRowHeight="12.75"/>
  <cols>
    <col min="1" max="1" width="3.00390625" style="10" bestFit="1" customWidth="1"/>
    <col min="2" max="2" width="24.421875" style="8" customWidth="1"/>
    <col min="3" max="3" width="15.421875" style="8" customWidth="1"/>
    <col min="4" max="5" width="12.57421875" style="8" customWidth="1"/>
    <col min="6" max="7" width="12.57421875" style="10" customWidth="1"/>
    <col min="8" max="9" width="7.421875" style="8" customWidth="1"/>
    <col min="10" max="10" width="4.8515625" style="8" customWidth="1"/>
    <col min="11" max="16384" width="9.140625" style="8" customWidth="1"/>
  </cols>
  <sheetData>
    <row r="1" spans="1:10" ht="15" customHeight="1">
      <c r="A1" s="1108">
        <f>'Cover Page'!A9</f>
        <v>0</v>
      </c>
      <c r="B1" s="1108"/>
      <c r="C1" s="1108"/>
      <c r="D1" s="1108"/>
      <c r="E1" s="1108"/>
      <c r="F1" s="1108"/>
      <c r="G1" s="1108"/>
      <c r="H1" s="1108"/>
      <c r="I1" s="1108"/>
      <c r="J1" s="24"/>
    </row>
    <row r="2" spans="1:10" ht="15" customHeight="1">
      <c r="A2" s="1035" t="s">
        <v>790</v>
      </c>
      <c r="B2" s="1035"/>
      <c r="C2" s="1035"/>
      <c r="D2" s="1035"/>
      <c r="E2" s="1035"/>
      <c r="F2" s="1035"/>
      <c r="G2" s="1035"/>
      <c r="H2" s="1035"/>
      <c r="I2" s="1035"/>
      <c r="J2" s="19"/>
    </row>
    <row r="3" spans="1:9" ht="15" customHeight="1" thickBot="1">
      <c r="A3" s="1182" t="str">
        <f>'Required Attachments'!A3</f>
        <v>Budget for the period from July 1, 2022 to June 30, 2023</v>
      </c>
      <c r="B3" s="1182"/>
      <c r="C3" s="1182"/>
      <c r="D3" s="1182"/>
      <c r="E3" s="1182"/>
      <c r="F3" s="1182"/>
      <c r="G3" s="1182"/>
      <c r="H3" s="1182"/>
      <c r="I3" s="1182"/>
    </row>
    <row r="4" spans="1:9" ht="59.25" customHeight="1" thickTop="1">
      <c r="A4" s="1191" t="str">
        <f>"Include all external contributions from individuals or unrelated organizations, non government grants, and fundraising received in the previous 2 years, that have a receivable as of "&amp;Months!B21&amp;", or those that the legal entity of the school expects to receive during the "&amp;Months!B1&amp;" school year. Include contributions from related party organizations, including those from a related church or school, on Schedule 4-3."&amp;" For amounts included on Lines 1-18, indicate for each source if there is something in writing from the contributor indicating the funds will be provided. General church contributions should be included in total on Line 20, Column C."</f>
        <v>Include all external contributions from individuals or unrelated organizations, non government grants, and fundraising received in the previous 2 years, that have a receivable as of 6/30/22, or those that the legal entity of the school expects to receive during the 2022-23 school year. Include contributions from related party organizations, including those from a related church or school, on Schedule 4-3. For amounts included on Lines 1-18, indicate for each source if there is something in writing from the contributor indicating the funds will be provided. General church contributions should be included in total on Line 20, Column C.</v>
      </c>
      <c r="B4" s="1191"/>
      <c r="C4" s="1191"/>
      <c r="D4" s="1191"/>
      <c r="E4" s="1191"/>
      <c r="F4" s="1191"/>
      <c r="G4" s="1191"/>
      <c r="H4" s="1191"/>
      <c r="I4" s="1191"/>
    </row>
    <row r="5" spans="1:9" ht="68.25" customHeight="1" thickBot="1">
      <c r="A5" s="1204" t="s">
        <v>760</v>
      </c>
      <c r="B5" s="1204"/>
      <c r="C5" s="1204"/>
      <c r="D5" s="1204"/>
      <c r="E5" s="1204"/>
      <c r="F5" s="1204"/>
      <c r="G5" s="1204"/>
      <c r="H5" s="1204"/>
      <c r="I5" s="1204"/>
    </row>
    <row r="6" spans="1:9" ht="15" customHeight="1" thickTop="1">
      <c r="A6" s="147"/>
      <c r="B6" s="147"/>
      <c r="C6" s="1194" t="s">
        <v>169</v>
      </c>
      <c r="D6" s="1194"/>
      <c r="E6" s="1194"/>
      <c r="F6" s="1194"/>
      <c r="G6" s="1194"/>
      <c r="H6" s="147"/>
      <c r="I6" s="147"/>
    </row>
    <row r="7" spans="1:11" ht="14.25" customHeight="1" thickBot="1">
      <c r="A7" s="834"/>
      <c r="B7" s="1195" t="s">
        <v>6</v>
      </c>
      <c r="C7" s="1196"/>
      <c r="D7" s="191" t="s">
        <v>7</v>
      </c>
      <c r="E7" s="191" t="s">
        <v>8</v>
      </c>
      <c r="F7" s="191" t="s">
        <v>9</v>
      </c>
      <c r="G7" s="350" t="s">
        <v>10</v>
      </c>
      <c r="H7" s="350" t="s">
        <v>11</v>
      </c>
      <c r="I7" s="350" t="s">
        <v>12</v>
      </c>
      <c r="K7" s="824"/>
    </row>
    <row r="8" spans="1:12" ht="25.5" customHeight="1" thickBot="1">
      <c r="A8" s="832" t="s">
        <v>5</v>
      </c>
      <c r="B8" s="1197" t="s">
        <v>516</v>
      </c>
      <c r="C8" s="1198"/>
      <c r="D8" s="61" t="str">
        <f>Months!$B$20&amp;" Actual"</f>
        <v>6/30/21 Actual</v>
      </c>
      <c r="E8" s="61" t="str">
        <f>Months!$B$21&amp;" Actual/Budget"</f>
        <v>6/30/22 Actual/Budget</v>
      </c>
      <c r="F8" s="61" t="str">
        <f>"Receivable as of "&amp;Months!$B$21</f>
        <v>Receivable as of 6/30/22</v>
      </c>
      <c r="G8" s="833" t="str">
        <f>Months!$B$22&amp;" Budget"</f>
        <v>6/30/23 Budget</v>
      </c>
      <c r="H8" s="848" t="s">
        <v>517</v>
      </c>
      <c r="I8" s="848" t="s">
        <v>518</v>
      </c>
      <c r="K8" s="825" t="s">
        <v>290</v>
      </c>
      <c r="L8" s="318" t="s">
        <v>632</v>
      </c>
    </row>
    <row r="9" spans="1:12" ht="15" customHeight="1">
      <c r="A9" s="58">
        <v>1</v>
      </c>
      <c r="B9" s="1189"/>
      <c r="C9" s="1190"/>
      <c r="D9" s="69"/>
      <c r="E9" s="390"/>
      <c r="F9" s="580"/>
      <c r="G9" s="390"/>
      <c r="H9" s="389"/>
      <c r="I9" s="645"/>
      <c r="K9" s="319">
        <f>IF(B9="","",IF(OR(H9="",I9=""),"ERROR",""))</f>
      </c>
      <c r="L9" s="865" t="str">
        <f>IF(AND('Cover Page'!$B$17="X",SUM('SCH 4-2 Revenue'!D9:E9,'SCH 4-2 Revenue'!G9)&gt;1000),"Yes","No")</f>
        <v>No</v>
      </c>
    </row>
    <row r="10" spans="1:12" ht="15" customHeight="1">
      <c r="A10" s="54">
        <v>2</v>
      </c>
      <c r="B10" s="1189"/>
      <c r="C10" s="1190"/>
      <c r="D10" s="69"/>
      <c r="E10" s="389"/>
      <c r="F10" s="579"/>
      <c r="G10" s="389"/>
      <c r="H10" s="389"/>
      <c r="I10" s="645"/>
      <c r="K10" s="320">
        <f aca="true" t="shared" si="0" ref="K10:K26">IF(B10="","",IF(OR(H10="",I10=""),"ERROR",""))</f>
      </c>
      <c r="L10" s="866" t="str">
        <f>IF(AND('Cover Page'!$B$17="X",SUM('SCH 4-2 Revenue'!D10:E10,'SCH 4-2 Revenue'!G10)&gt;1000),"Yes","No")</f>
        <v>No</v>
      </c>
    </row>
    <row r="11" spans="1:12" ht="15" customHeight="1">
      <c r="A11" s="126">
        <v>3</v>
      </c>
      <c r="B11" s="1189"/>
      <c r="C11" s="1190"/>
      <c r="D11" s="69"/>
      <c r="E11" s="245"/>
      <c r="F11" s="245"/>
      <c r="G11" s="245"/>
      <c r="H11" s="389"/>
      <c r="I11" s="645"/>
      <c r="K11" s="320">
        <f t="shared" si="0"/>
      </c>
      <c r="L11" s="866" t="str">
        <f>IF(AND('Cover Page'!$B$17="X",SUM('SCH 4-2 Revenue'!D11:E11,'SCH 4-2 Revenue'!G11)&gt;1000),"Yes","No")</f>
        <v>No</v>
      </c>
    </row>
    <row r="12" spans="1:12" ht="15" customHeight="1">
      <c r="A12" s="54">
        <v>4</v>
      </c>
      <c r="B12" s="1189"/>
      <c r="C12" s="1190"/>
      <c r="D12" s="69"/>
      <c r="E12" s="389"/>
      <c r="F12" s="579"/>
      <c r="G12" s="389"/>
      <c r="H12" s="389"/>
      <c r="I12" s="645"/>
      <c r="K12" s="320">
        <f t="shared" si="0"/>
      </c>
      <c r="L12" s="866" t="str">
        <f>IF(AND('Cover Page'!$B$17="X",SUM('SCH 4-2 Revenue'!D12:E12,'SCH 4-2 Revenue'!G12)&gt;1000),"Yes","No")</f>
        <v>No</v>
      </c>
    </row>
    <row r="13" spans="1:12" ht="15" customHeight="1">
      <c r="A13" s="126">
        <v>5</v>
      </c>
      <c r="B13" s="1189"/>
      <c r="C13" s="1190"/>
      <c r="D13" s="69"/>
      <c r="E13" s="245"/>
      <c r="F13" s="245"/>
      <c r="G13" s="245"/>
      <c r="H13" s="389"/>
      <c r="I13" s="645"/>
      <c r="K13" s="320">
        <f t="shared" si="0"/>
      </c>
      <c r="L13" s="866" t="str">
        <f>IF(AND('Cover Page'!$B$17="X",SUM('SCH 4-2 Revenue'!D13:E13,'SCH 4-2 Revenue'!G13)&gt;1000),"Yes","No")</f>
        <v>No</v>
      </c>
    </row>
    <row r="14" spans="1:12" ht="15" customHeight="1">
      <c r="A14" s="58">
        <v>6</v>
      </c>
      <c r="B14" s="1189"/>
      <c r="C14" s="1190"/>
      <c r="D14" s="69"/>
      <c r="E14" s="390"/>
      <c r="F14" s="580"/>
      <c r="G14" s="390"/>
      <c r="H14" s="389"/>
      <c r="I14" s="645"/>
      <c r="K14" s="320">
        <f t="shared" si="0"/>
      </c>
      <c r="L14" s="866" t="str">
        <f>IF(AND('Cover Page'!$B$17="X",SUM('SCH 4-2 Revenue'!D14:E14,'SCH 4-2 Revenue'!G14)&gt;1000),"Yes","No")</f>
        <v>No</v>
      </c>
    </row>
    <row r="15" spans="1:12" ht="15" customHeight="1">
      <c r="A15" s="54">
        <v>7</v>
      </c>
      <c r="B15" s="1189"/>
      <c r="C15" s="1190"/>
      <c r="D15" s="69"/>
      <c r="E15" s="389"/>
      <c r="F15" s="579"/>
      <c r="G15" s="389"/>
      <c r="H15" s="389"/>
      <c r="I15" s="645"/>
      <c r="K15" s="320">
        <f t="shared" si="0"/>
      </c>
      <c r="L15" s="866" t="str">
        <f>IF(AND('Cover Page'!$B$17="X",SUM('SCH 4-2 Revenue'!D15:E15,'SCH 4-2 Revenue'!G15)&gt;1000),"Yes","No")</f>
        <v>No</v>
      </c>
    </row>
    <row r="16" spans="1:12" ht="15" customHeight="1">
      <c r="A16" s="126">
        <v>8</v>
      </c>
      <c r="B16" s="1189"/>
      <c r="C16" s="1190"/>
      <c r="D16" s="69"/>
      <c r="E16" s="245"/>
      <c r="F16" s="245"/>
      <c r="G16" s="245"/>
      <c r="H16" s="389"/>
      <c r="I16" s="645"/>
      <c r="K16" s="320">
        <f t="shared" si="0"/>
      </c>
      <c r="L16" s="866" t="str">
        <f>IF(AND('Cover Page'!$B$17="X",SUM('SCH 4-2 Revenue'!D16:E16,'SCH 4-2 Revenue'!G16)&gt;1000),"Yes","No")</f>
        <v>No</v>
      </c>
    </row>
    <row r="17" spans="1:12" ht="15" customHeight="1">
      <c r="A17" s="54">
        <v>9</v>
      </c>
      <c r="B17" s="1189"/>
      <c r="C17" s="1190"/>
      <c r="D17" s="69"/>
      <c r="E17" s="389"/>
      <c r="F17" s="579"/>
      <c r="G17" s="389"/>
      <c r="H17" s="389"/>
      <c r="I17" s="645"/>
      <c r="K17" s="320">
        <f t="shared" si="0"/>
      </c>
      <c r="L17" s="866" t="str">
        <f>IF(AND('Cover Page'!$B$17="X",SUM('SCH 4-2 Revenue'!D17:E17,'SCH 4-2 Revenue'!G17)&gt;1000),"Yes","No")</f>
        <v>No</v>
      </c>
    </row>
    <row r="18" spans="1:12" ht="15" customHeight="1">
      <c r="A18" s="126">
        <v>10</v>
      </c>
      <c r="B18" s="1189"/>
      <c r="C18" s="1190"/>
      <c r="D18" s="69"/>
      <c r="E18" s="245"/>
      <c r="F18" s="245"/>
      <c r="G18" s="245"/>
      <c r="H18" s="389"/>
      <c r="I18" s="645"/>
      <c r="K18" s="320">
        <f t="shared" si="0"/>
      </c>
      <c r="L18" s="866" t="str">
        <f>IF(AND('Cover Page'!$B$17="X",SUM('SCH 4-2 Revenue'!D18:E18,'SCH 4-2 Revenue'!G18)&gt;1000),"Yes","No")</f>
        <v>No</v>
      </c>
    </row>
    <row r="19" spans="1:12" ht="15" customHeight="1">
      <c r="A19" s="54">
        <v>11</v>
      </c>
      <c r="B19" s="1189"/>
      <c r="C19" s="1190"/>
      <c r="D19" s="69"/>
      <c r="E19" s="389"/>
      <c r="F19" s="579"/>
      <c r="G19" s="389"/>
      <c r="H19" s="389"/>
      <c r="I19" s="645"/>
      <c r="K19" s="320">
        <f t="shared" si="0"/>
      </c>
      <c r="L19" s="866" t="str">
        <f>IF(AND('Cover Page'!$B$17="X",SUM('SCH 4-2 Revenue'!D19:E19,'SCH 4-2 Revenue'!G19)&gt;1000),"Yes","No")</f>
        <v>No</v>
      </c>
    </row>
    <row r="20" spans="1:12" ht="15" customHeight="1">
      <c r="A20" s="126">
        <v>12</v>
      </c>
      <c r="B20" s="1189"/>
      <c r="C20" s="1190"/>
      <c r="D20" s="69"/>
      <c r="E20" s="245"/>
      <c r="F20" s="245"/>
      <c r="G20" s="245"/>
      <c r="H20" s="389"/>
      <c r="I20" s="645"/>
      <c r="K20" s="320">
        <f t="shared" si="0"/>
      </c>
      <c r="L20" s="866" t="str">
        <f>IF(AND('Cover Page'!$B$17="X",SUM('SCH 4-2 Revenue'!D20:E20,'SCH 4-2 Revenue'!G20)&gt;1000),"Yes","No")</f>
        <v>No</v>
      </c>
    </row>
    <row r="21" spans="1:12" ht="15" customHeight="1">
      <c r="A21" s="54">
        <v>13</v>
      </c>
      <c r="B21" s="1189"/>
      <c r="C21" s="1190"/>
      <c r="D21" s="69"/>
      <c r="E21" s="389"/>
      <c r="F21" s="579"/>
      <c r="G21" s="389"/>
      <c r="H21" s="389"/>
      <c r="I21" s="645"/>
      <c r="K21" s="320">
        <f t="shared" si="0"/>
      </c>
      <c r="L21" s="866" t="str">
        <f>IF(AND('Cover Page'!$B$17="X",SUM('SCH 4-2 Revenue'!D21:E21,'SCH 4-2 Revenue'!G21)&gt;1000),"Yes","No")</f>
        <v>No</v>
      </c>
    </row>
    <row r="22" spans="1:12" ht="15" customHeight="1">
      <c r="A22" s="126">
        <v>14</v>
      </c>
      <c r="B22" s="1189"/>
      <c r="C22" s="1190"/>
      <c r="D22" s="69"/>
      <c r="E22" s="245"/>
      <c r="F22" s="245"/>
      <c r="G22" s="245"/>
      <c r="H22" s="389"/>
      <c r="I22" s="645"/>
      <c r="K22" s="320">
        <f t="shared" si="0"/>
      </c>
      <c r="L22" s="866" t="str">
        <f>IF(AND('Cover Page'!$B$17="X",SUM('SCH 4-2 Revenue'!D22:E22,'SCH 4-2 Revenue'!G22)&gt;1000),"Yes","No")</f>
        <v>No</v>
      </c>
    </row>
    <row r="23" spans="1:12" ht="15" customHeight="1">
      <c r="A23" s="58">
        <v>15</v>
      </c>
      <c r="B23" s="1189"/>
      <c r="C23" s="1190"/>
      <c r="D23" s="69"/>
      <c r="E23" s="390"/>
      <c r="F23" s="580"/>
      <c r="G23" s="390"/>
      <c r="H23" s="389"/>
      <c r="I23" s="645"/>
      <c r="K23" s="320">
        <f t="shared" si="0"/>
      </c>
      <c r="L23" s="866" t="str">
        <f>IF(AND('Cover Page'!$B$17="X",SUM('SCH 4-2 Revenue'!D23:E23,'SCH 4-2 Revenue'!G23)&gt;1000),"Yes","No")</f>
        <v>No</v>
      </c>
    </row>
    <row r="24" spans="1:12" ht="15" customHeight="1">
      <c r="A24" s="54">
        <v>16</v>
      </c>
      <c r="B24" s="1189"/>
      <c r="C24" s="1190"/>
      <c r="D24" s="69"/>
      <c r="E24" s="389"/>
      <c r="F24" s="579"/>
      <c r="G24" s="389"/>
      <c r="H24" s="389"/>
      <c r="I24" s="645"/>
      <c r="K24" s="320">
        <f t="shared" si="0"/>
      </c>
      <c r="L24" s="866" t="str">
        <f>IF(AND('Cover Page'!$B$17="X",SUM('SCH 4-2 Revenue'!D24:E24,'SCH 4-2 Revenue'!G24)&gt;1000),"Yes","No")</f>
        <v>No</v>
      </c>
    </row>
    <row r="25" spans="1:12" ht="15" customHeight="1">
      <c r="A25" s="126">
        <v>17</v>
      </c>
      <c r="B25" s="1189"/>
      <c r="C25" s="1190"/>
      <c r="D25" s="69"/>
      <c r="E25" s="245"/>
      <c r="F25" s="245"/>
      <c r="G25" s="245"/>
      <c r="H25" s="389"/>
      <c r="I25" s="645"/>
      <c r="K25" s="320">
        <f t="shared" si="0"/>
      </c>
      <c r="L25" s="866" t="str">
        <f>IF(AND('Cover Page'!$B$17="X",SUM('SCH 4-2 Revenue'!D25:E25,'SCH 4-2 Revenue'!G25)&gt;1000),"Yes","No")</f>
        <v>No</v>
      </c>
    </row>
    <row r="26" spans="1:12" ht="15" customHeight="1" thickBot="1">
      <c r="A26" s="55">
        <v>18</v>
      </c>
      <c r="B26" s="1201"/>
      <c r="C26" s="1202"/>
      <c r="D26" s="70"/>
      <c r="E26" s="391"/>
      <c r="F26" s="581"/>
      <c r="G26" s="391"/>
      <c r="H26" s="391"/>
      <c r="I26" s="646"/>
      <c r="K26" s="321">
        <f t="shared" si="0"/>
      </c>
      <c r="L26" s="867" t="str">
        <f>IF(AND('Cover Page'!$B$17="X",SUM('SCH 4-2 Revenue'!D26:E26,'SCH 4-2 Revenue'!G26)&gt;1000),"Yes","No")</f>
        <v>No</v>
      </c>
    </row>
    <row r="27" spans="1:12" ht="15" customHeight="1" thickBot="1">
      <c r="A27" s="56">
        <v>19</v>
      </c>
      <c r="B27" s="1199" t="s">
        <v>125</v>
      </c>
      <c r="C27" s="1200"/>
      <c r="D27" s="277">
        <f>SUM(D9:D26)</f>
        <v>0</v>
      </c>
      <c r="E27" s="277">
        <f>SUM(E9:E26)</f>
        <v>0</v>
      </c>
      <c r="F27" s="277">
        <f>SUM(F9:F26)</f>
        <v>0</v>
      </c>
      <c r="G27" s="277">
        <f>SUM(G9:G26)</f>
        <v>0</v>
      </c>
      <c r="H27" s="831">
        <f>COUNTIF(H9:H26,"Yes")</f>
        <v>0</v>
      </c>
      <c r="I27" s="831">
        <f>COUNTIF(I9:I26,"Yes")</f>
        <v>0</v>
      </c>
      <c r="K27" s="316">
        <f>COUNTIF(K9:K26,"ERROR")</f>
        <v>0</v>
      </c>
      <c r="L27" s="316">
        <f>COUNTIF(L9:L26,"YES")</f>
        <v>0</v>
      </c>
    </row>
    <row r="28" spans="1:9" ht="15" customHeight="1" thickTop="1">
      <c r="A28" s="91"/>
      <c r="B28" s="92"/>
      <c r="C28" s="1171" t="s">
        <v>163</v>
      </c>
      <c r="D28" s="1171"/>
      <c r="E28" s="1171"/>
      <c r="F28" s="1171"/>
      <c r="G28" s="1171"/>
      <c r="H28" s="60"/>
      <c r="I28" s="60"/>
    </row>
    <row r="29" spans="1:9" ht="48.75" customHeight="1">
      <c r="A29" s="1181" t="s">
        <v>630</v>
      </c>
      <c r="B29" s="1181"/>
      <c r="C29" s="1181"/>
      <c r="D29" s="1181"/>
      <c r="E29" s="1181"/>
      <c r="F29" s="1181"/>
      <c r="G29" s="1181"/>
      <c r="H29" s="1181"/>
      <c r="I29" s="1181"/>
    </row>
    <row r="30" spans="1:7" ht="33.75" customHeight="1">
      <c r="A30" s="297" t="s">
        <v>5</v>
      </c>
      <c r="B30" s="1192" t="s">
        <v>199</v>
      </c>
      <c r="C30" s="1192"/>
      <c r="D30" s="117" t="s">
        <v>594</v>
      </c>
      <c r="E30" s="149" t="s">
        <v>601</v>
      </c>
      <c r="F30" s="8"/>
      <c r="G30" s="8"/>
    </row>
    <row r="31" spans="1:7" ht="15" customHeight="1">
      <c r="A31" s="164">
        <v>20</v>
      </c>
      <c r="B31" s="1193" t="str">
        <f>"Total "&amp;Months!$B$1&amp;" Revenues"</f>
        <v>Total 2022-23 Revenues</v>
      </c>
      <c r="C31" s="1193"/>
      <c r="D31" s="453">
        <f>G27</f>
        <v>0</v>
      </c>
      <c r="E31" s="74"/>
      <c r="F31" s="8"/>
      <c r="G31" s="8"/>
    </row>
    <row r="32" spans="1:7" ht="15" customHeight="1">
      <c r="A32" s="101">
        <v>21</v>
      </c>
      <c r="B32" s="1205" t="str">
        <f>Months!$B$4&amp;" Deferred Revenue"</f>
        <v>June 30, 2022 Deferred Revenue</v>
      </c>
      <c r="C32" s="1205"/>
      <c r="D32" s="69"/>
      <c r="E32" s="232"/>
      <c r="F32" s="8"/>
      <c r="G32" s="8"/>
    </row>
    <row r="33" spans="1:7" ht="15" customHeight="1" thickBot="1">
      <c r="A33" s="99">
        <v>22</v>
      </c>
      <c r="B33" s="1206" t="str">
        <f>Months!$B$4&amp;" Accounts Receivable"</f>
        <v>June 30, 2022 Accounts Receivable</v>
      </c>
      <c r="C33" s="1206"/>
      <c r="D33" s="453">
        <f>F27</f>
        <v>0</v>
      </c>
      <c r="E33" s="477"/>
      <c r="F33" s="8"/>
      <c r="G33" s="8"/>
    </row>
    <row r="34" spans="1:7" ht="15" customHeight="1" thickBot="1">
      <c r="A34" s="100">
        <v>23</v>
      </c>
      <c r="B34" s="1207" t="s">
        <v>218</v>
      </c>
      <c r="C34" s="1207"/>
      <c r="D34" s="454">
        <f>D31-D32+D33</f>
        <v>0</v>
      </c>
      <c r="E34" s="248">
        <f>E31-E32+E33</f>
        <v>0</v>
      </c>
      <c r="F34" s="8"/>
      <c r="G34" s="8"/>
    </row>
    <row r="35" spans="1:7" ht="15" customHeight="1">
      <c r="A35" s="64">
        <v>24</v>
      </c>
      <c r="B35" s="1208" t="str">
        <f>Months!$B7&amp;" Cash Receipts"</f>
        <v>July 2022 Cash Receipts</v>
      </c>
      <c r="C35" s="1208"/>
      <c r="D35" s="93"/>
      <c r="E35" s="74"/>
      <c r="F35" s="8"/>
      <c r="G35" s="8"/>
    </row>
    <row r="36" spans="1:7" ht="15" customHeight="1">
      <c r="A36" s="54">
        <v>25</v>
      </c>
      <c r="B36" s="1203" t="str">
        <f>Months!$B8&amp;" Cash Receipts"</f>
        <v>August 2022 Cash Receipts</v>
      </c>
      <c r="C36" s="1203"/>
      <c r="D36" s="93"/>
      <c r="E36" s="66"/>
      <c r="F36" s="8"/>
      <c r="G36" s="8"/>
    </row>
    <row r="37" spans="1:7" ht="15" customHeight="1">
      <c r="A37" s="54">
        <v>26</v>
      </c>
      <c r="B37" s="1203" t="str">
        <f>Months!$B9&amp;" Cash Receipts"</f>
        <v>September 2022 Cash Receipts</v>
      </c>
      <c r="C37" s="1203"/>
      <c r="D37" s="69"/>
      <c r="E37" s="66"/>
      <c r="F37" s="8"/>
      <c r="G37" s="8"/>
    </row>
    <row r="38" spans="1:7" ht="15" customHeight="1">
      <c r="A38" s="54">
        <v>27</v>
      </c>
      <c r="B38" s="1203" t="str">
        <f>Months!$B10&amp;" Cash Receipts"</f>
        <v>October 2022 Cash Receipts</v>
      </c>
      <c r="C38" s="1203"/>
      <c r="D38" s="69"/>
      <c r="E38" s="66"/>
      <c r="F38" s="8"/>
      <c r="G38" s="8"/>
    </row>
    <row r="39" spans="1:7" ht="15" customHeight="1">
      <c r="A39" s="54">
        <v>28</v>
      </c>
      <c r="B39" s="1203" t="str">
        <f>Months!$B11&amp;" Cash Receipts"</f>
        <v>November 2022 Cash Receipts</v>
      </c>
      <c r="C39" s="1203"/>
      <c r="D39" s="69"/>
      <c r="E39" s="66"/>
      <c r="F39" s="8"/>
      <c r="G39" s="8"/>
    </row>
    <row r="40" spans="1:7" ht="15" customHeight="1">
      <c r="A40" s="54">
        <v>29</v>
      </c>
      <c r="B40" s="1203" t="str">
        <f>Months!$B12&amp;" Cash Receipts"</f>
        <v>December 2022 Cash Receipts</v>
      </c>
      <c r="C40" s="1203"/>
      <c r="D40" s="69"/>
      <c r="E40" s="66"/>
      <c r="F40" s="8"/>
      <c r="G40" s="8"/>
    </row>
    <row r="41" spans="1:7" ht="15" customHeight="1">
      <c r="A41" s="54">
        <v>30</v>
      </c>
      <c r="B41" s="1203" t="str">
        <f>Months!$B13&amp;" Cash Receipts"</f>
        <v>January 2023 Cash Receipts</v>
      </c>
      <c r="C41" s="1203"/>
      <c r="D41" s="69"/>
      <c r="E41" s="66"/>
      <c r="F41" s="8"/>
      <c r="G41" s="8"/>
    </row>
    <row r="42" spans="1:7" ht="15" customHeight="1">
      <c r="A42" s="54">
        <v>31</v>
      </c>
      <c r="B42" s="1203" t="str">
        <f>Months!$B14&amp;" Cash Receipts"</f>
        <v>February 2023 Cash Receipts</v>
      </c>
      <c r="C42" s="1203"/>
      <c r="D42" s="69"/>
      <c r="E42" s="66"/>
      <c r="F42" s="8"/>
      <c r="G42" s="8"/>
    </row>
    <row r="43" spans="1:7" ht="15" customHeight="1">
      <c r="A43" s="54">
        <v>32</v>
      </c>
      <c r="B43" s="1203" t="str">
        <f>Months!$B15&amp;" Cash Receipts"</f>
        <v>March 2023 Cash Receipts</v>
      </c>
      <c r="C43" s="1203"/>
      <c r="D43" s="69"/>
      <c r="E43" s="66"/>
      <c r="F43" s="8"/>
      <c r="G43" s="8"/>
    </row>
    <row r="44" spans="1:7" ht="15" customHeight="1">
      <c r="A44" s="54">
        <v>33</v>
      </c>
      <c r="B44" s="1203" t="str">
        <f>Months!$B16&amp;" Cash Receipts"</f>
        <v>April 2023 Cash Receipts</v>
      </c>
      <c r="C44" s="1203"/>
      <c r="D44" s="69"/>
      <c r="E44" s="66"/>
      <c r="F44" s="8"/>
      <c r="G44" s="8"/>
    </row>
    <row r="45" spans="1:7" ht="15" customHeight="1">
      <c r="A45" s="54">
        <v>34</v>
      </c>
      <c r="B45" s="1203" t="str">
        <f>Months!$B17&amp;" Cash Receipts"</f>
        <v>May 2023 Cash Receipts</v>
      </c>
      <c r="C45" s="1203"/>
      <c r="D45" s="69"/>
      <c r="E45" s="66"/>
      <c r="F45" s="8"/>
      <c r="G45" s="8"/>
    </row>
    <row r="46" spans="1:7" ht="15" customHeight="1" thickBot="1">
      <c r="A46" s="54">
        <v>35</v>
      </c>
      <c r="B46" s="1210" t="str">
        <f>Months!$B18&amp;" Cash Receipts"</f>
        <v>June 2023 Cash Receipts</v>
      </c>
      <c r="C46" s="1210"/>
      <c r="D46" s="93"/>
      <c r="E46" s="74"/>
      <c r="F46" s="8"/>
      <c r="G46" s="8"/>
    </row>
    <row r="47" spans="1:7" ht="15" customHeight="1" thickBot="1">
      <c r="A47" s="170">
        <v>36</v>
      </c>
      <c r="B47" s="1211" t="s">
        <v>29</v>
      </c>
      <c r="C47" s="1211"/>
      <c r="D47" s="221">
        <f>SUM(D35:D46)</f>
        <v>0</v>
      </c>
      <c r="E47" s="221">
        <f>SUM(E35:E46)</f>
        <v>0</v>
      </c>
      <c r="F47" s="8"/>
      <c r="G47" s="8"/>
    </row>
    <row r="48" spans="1:7" ht="15" customHeight="1" thickBot="1">
      <c r="A48" s="101">
        <v>37</v>
      </c>
      <c r="B48" s="1212" t="str">
        <f>Months!$C$5&amp;" Deferred Revenue"</f>
        <v>JUNE 30, 2023 Deferred Revenue</v>
      </c>
      <c r="C48" s="1212"/>
      <c r="D48" s="231"/>
      <c r="E48" s="232"/>
      <c r="F48" s="8"/>
      <c r="G48" s="8"/>
    </row>
    <row r="49" spans="1:7" ht="15" customHeight="1" thickBot="1">
      <c r="A49" s="222">
        <v>38</v>
      </c>
      <c r="B49" s="1209" t="str">
        <f>Months!$C$5&amp;" ACCOUNTS RECEIVABLE"</f>
        <v>JUNE 30, 2023 ACCOUNTS RECEIVABLE</v>
      </c>
      <c r="C49" s="1209"/>
      <c r="D49" s="258">
        <f>ROUND((D34-D47+D48),0)</f>
        <v>0</v>
      </c>
      <c r="E49" s="266">
        <f>ROUND((E34-E47+E48),0)</f>
        <v>0</v>
      </c>
      <c r="F49" s="8"/>
      <c r="G49" s="8"/>
    </row>
    <row r="50" ht="10.5" thickTop="1"/>
  </sheetData>
  <sheetProtection password="EBD1" sheet="1"/>
  <mergeCells count="49">
    <mergeCell ref="C28:G28"/>
    <mergeCell ref="B49:C49"/>
    <mergeCell ref="B43:C43"/>
    <mergeCell ref="B44:C44"/>
    <mergeCell ref="B45:C45"/>
    <mergeCell ref="B46:C46"/>
    <mergeCell ref="B47:C47"/>
    <mergeCell ref="B48:C48"/>
    <mergeCell ref="B37:C37"/>
    <mergeCell ref="B38:C38"/>
    <mergeCell ref="B39:C39"/>
    <mergeCell ref="B40:C40"/>
    <mergeCell ref="B41:C41"/>
    <mergeCell ref="B42:C42"/>
    <mergeCell ref="A5:I5"/>
    <mergeCell ref="B32:C32"/>
    <mergeCell ref="B33:C33"/>
    <mergeCell ref="B34:C34"/>
    <mergeCell ref="B35:C35"/>
    <mergeCell ref="B36:C36"/>
    <mergeCell ref="B15:C15"/>
    <mergeCell ref="B19:C19"/>
    <mergeCell ref="B27:C27"/>
    <mergeCell ref="A3:I3"/>
    <mergeCell ref="A2:I2"/>
    <mergeCell ref="B20:C20"/>
    <mergeCell ref="B25:C25"/>
    <mergeCell ref="B26:C26"/>
    <mergeCell ref="B16:C16"/>
    <mergeCell ref="A29:I29"/>
    <mergeCell ref="B30:C30"/>
    <mergeCell ref="B31:C31"/>
    <mergeCell ref="B21:C21"/>
    <mergeCell ref="C6:G6"/>
    <mergeCell ref="B18:C18"/>
    <mergeCell ref="B7:C7"/>
    <mergeCell ref="B17:C17"/>
    <mergeCell ref="B8:C8"/>
    <mergeCell ref="B9:C9"/>
    <mergeCell ref="A1:I1"/>
    <mergeCell ref="B23:C23"/>
    <mergeCell ref="B24:C24"/>
    <mergeCell ref="B10:C10"/>
    <mergeCell ref="B11:C11"/>
    <mergeCell ref="B12:C12"/>
    <mergeCell ref="B13:C13"/>
    <mergeCell ref="B14:C14"/>
    <mergeCell ref="B22:C22"/>
    <mergeCell ref="A4:I4"/>
  </mergeCells>
  <conditionalFormatting sqref="K9:K26">
    <cfRule type="containsText" priority="1" dxfId="0" operator="containsText" stopIfTrue="1" text="ERROR">
      <formula>NOT(ISERROR(SEARCH("ERROR",K9)))</formula>
    </cfRule>
  </conditionalFormatting>
  <dataValidations count="4">
    <dataValidation type="list" allowBlank="1" showInputMessage="1" showErrorMessage="1" prompt="Indicate Yes if the school has a written agreement indicating it will receive the funding in Column D or E.  Otherwise, insert No.  If Yes is inserted, the agreement must be provided with the budget." sqref="H9:H26">
      <formula1>"Yes,No"</formula1>
    </dataValidation>
    <dataValidation type="list" allowBlank="1" showInputMessage="1" showErrorMessage="1" prompt="Indicate Yes if the school will obtain the funds through fundraising efforts.  Otherwise, indicate No." sqref="I9:I26">
      <formula1>"Yes,No"</formula1>
    </dataValidation>
    <dataValidation allowBlank="1" showInputMessage="1" showErrorMessage="1" prompt="If the school has received a written commitment by June 30, 2017 to receive an amount but has not yet received the amount, include the amount in this column. If the school has not yet met the requirements to obtain the funding do NOT include the amount." sqref="F9:F26"/>
    <dataValidation allowBlank="1" showInputMessage="1" showErrorMessage="1" prompt="Do not include receivables in Column D in this column." sqref="G9:G26"/>
  </dataValidations>
  <printOptions/>
  <pageMargins left="0.39" right="0.24" top="0.49" bottom="0.3" header="0.25" footer="0.24"/>
  <pageSetup fitToHeight="1" fitToWidth="1" horizontalDpi="600" verticalDpi="600" orientation="portrait" scale="89" r:id="rId1"/>
  <headerFooter alignWithMargins="0">
    <oddHeader>&amp;LPI-PCP-14&amp;RPage 11</oddHeader>
  </headerFooter>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G47"/>
  <sheetViews>
    <sheetView showGridLines="0" showOutlineSymbols="0" zoomScaleSheetLayoutView="100" workbookViewId="0" topLeftCell="A1">
      <selection activeCell="A5" sqref="A5"/>
    </sheetView>
  </sheetViews>
  <sheetFormatPr defaultColWidth="9.140625" defaultRowHeight="12.75"/>
  <cols>
    <col min="1" max="1" width="3.00390625" style="10" bestFit="1" customWidth="1"/>
    <col min="2" max="2" width="33.00390625" style="8" customWidth="1"/>
    <col min="3" max="3" width="19.140625" style="8" customWidth="1"/>
    <col min="4" max="5" width="15.00390625" style="8" customWidth="1"/>
    <col min="6" max="6" width="15.00390625" style="10" customWidth="1"/>
    <col min="7" max="16384" width="9.140625" style="8" customWidth="1"/>
  </cols>
  <sheetData>
    <row r="1" spans="1:6" ht="15" customHeight="1">
      <c r="A1" s="1108">
        <f>'Cover Page'!A9</f>
        <v>0</v>
      </c>
      <c r="B1" s="1108"/>
      <c r="C1" s="1108"/>
      <c r="D1" s="1108"/>
      <c r="E1" s="1108"/>
      <c r="F1" s="1108"/>
    </row>
    <row r="2" spans="1:6" ht="15" customHeight="1">
      <c r="A2" s="1035" t="s">
        <v>791</v>
      </c>
      <c r="B2" s="1035"/>
      <c r="C2" s="1035"/>
      <c r="D2" s="1035"/>
      <c r="E2" s="1035"/>
      <c r="F2" s="1035"/>
    </row>
    <row r="3" spans="1:6" ht="15" customHeight="1" thickBot="1">
      <c r="A3" s="1182" t="str">
        <f>'Required Attachments'!A3</f>
        <v>Budget for the period from July 1, 2022 to June 30, 2023</v>
      </c>
      <c r="B3" s="1182"/>
      <c r="C3" s="1182"/>
      <c r="D3" s="1182"/>
      <c r="E3" s="1182"/>
      <c r="F3" s="1182"/>
    </row>
    <row r="4" spans="1:6" ht="63" customHeight="1" thickBot="1" thickTop="1">
      <c r="A4" s="1213" t="s">
        <v>875</v>
      </c>
      <c r="B4" s="1213"/>
      <c r="C4" s="1213"/>
      <c r="D4" s="1213"/>
      <c r="E4" s="1213"/>
      <c r="F4" s="1213"/>
    </row>
    <row r="5" spans="1:6" ht="15" customHeight="1" thickTop="1">
      <c r="A5" s="147"/>
      <c r="B5" s="50"/>
      <c r="C5" s="1194" t="s">
        <v>588</v>
      </c>
      <c r="D5" s="1194"/>
      <c r="E5" s="1194"/>
      <c r="F5" s="147"/>
    </row>
    <row r="6" spans="1:6" s="546" customFormat="1" ht="36" customHeight="1">
      <c r="A6" s="297" t="s">
        <v>5</v>
      </c>
      <c r="B6" s="849" t="s">
        <v>587</v>
      </c>
      <c r="C6" s="853" t="s">
        <v>597</v>
      </c>
      <c r="D6" s="149" t="str">
        <f>"C
"&amp;Months!$B$20&amp;" Actual"</f>
        <v>C
6/30/21 Actual</v>
      </c>
      <c r="E6" s="149" t="str">
        <f>"D
"&amp;Months!$B$21&amp;" Actual/Budget"</f>
        <v>D
6/30/22 Actual/Budget</v>
      </c>
      <c r="F6" s="612" t="str">
        <f>"E
"&amp;Months!$B$22&amp;" Budgeted"</f>
        <v>E
6/30/23 Budgeted</v>
      </c>
    </row>
    <row r="7" spans="1:6" ht="15" customHeight="1">
      <c r="A7" s="126">
        <v>1</v>
      </c>
      <c r="B7" s="486" t="s">
        <v>180</v>
      </c>
      <c r="C7" s="854"/>
      <c r="D7" s="93"/>
      <c r="E7" s="245"/>
      <c r="F7" s="245"/>
    </row>
    <row r="8" spans="1:6" ht="15" customHeight="1" thickBot="1">
      <c r="A8" s="174">
        <v>2</v>
      </c>
      <c r="B8" s="841" t="s">
        <v>181</v>
      </c>
      <c r="C8" s="856"/>
      <c r="D8" s="286"/>
      <c r="E8" s="839"/>
      <c r="F8" s="839"/>
    </row>
    <row r="9" spans="1:6" ht="15" customHeight="1" thickTop="1">
      <c r="A9" s="840"/>
      <c r="B9" s="50"/>
      <c r="C9" s="1216" t="s">
        <v>761</v>
      </c>
      <c r="D9" s="1216"/>
      <c r="E9" s="1216"/>
      <c r="F9" s="840"/>
    </row>
    <row r="10" spans="1:6" s="546" customFormat="1" ht="36" customHeight="1">
      <c r="A10" s="297" t="s">
        <v>5</v>
      </c>
      <c r="B10" s="849" t="s">
        <v>722</v>
      </c>
      <c r="C10" s="853" t="s">
        <v>597</v>
      </c>
      <c r="D10" s="149" t="str">
        <f>"C
"&amp;Months!$B$20&amp;" Actual"</f>
        <v>C
6/30/21 Actual</v>
      </c>
      <c r="E10" s="149" t="str">
        <f>"D
"&amp;Months!$B$21&amp;" Actual/Budget"</f>
        <v>D
6/30/22 Actual/Budget</v>
      </c>
      <c r="F10" s="612" t="str">
        <f>"E
"&amp;Months!$B$22&amp;" Budgeted"</f>
        <v>E
6/30/23 Budgeted</v>
      </c>
    </row>
    <row r="11" spans="1:6" ht="15" customHeight="1">
      <c r="A11" s="58">
        <v>3</v>
      </c>
      <c r="B11" s="847"/>
      <c r="C11" s="854"/>
      <c r="D11" s="69"/>
      <c r="E11" s="390"/>
      <c r="F11" s="390"/>
    </row>
    <row r="12" spans="1:6" ht="15" customHeight="1">
      <c r="A12" s="54">
        <v>4</v>
      </c>
      <c r="B12" s="847"/>
      <c r="C12" s="854"/>
      <c r="D12" s="69"/>
      <c r="E12" s="389"/>
      <c r="F12" s="389"/>
    </row>
    <row r="13" spans="1:6" ht="15" customHeight="1">
      <c r="A13" s="126">
        <v>5</v>
      </c>
      <c r="B13" s="847"/>
      <c r="C13" s="854"/>
      <c r="D13" s="69"/>
      <c r="E13" s="245"/>
      <c r="F13" s="245"/>
    </row>
    <row r="14" spans="1:6" ht="15" customHeight="1">
      <c r="A14" s="58">
        <v>6</v>
      </c>
      <c r="B14" s="847"/>
      <c r="C14" s="854"/>
      <c r="D14" s="69"/>
      <c r="E14" s="389"/>
      <c r="F14" s="389"/>
    </row>
    <row r="15" spans="1:6" ht="15" customHeight="1">
      <c r="A15" s="54">
        <v>7</v>
      </c>
      <c r="B15" s="847"/>
      <c r="C15" s="854"/>
      <c r="D15" s="69"/>
      <c r="E15" s="245"/>
      <c r="F15" s="245"/>
    </row>
    <row r="16" spans="1:6" ht="15" customHeight="1">
      <c r="A16" s="126">
        <v>8</v>
      </c>
      <c r="B16" s="847"/>
      <c r="C16" s="854"/>
      <c r="D16" s="69"/>
      <c r="E16" s="390"/>
      <c r="F16" s="390"/>
    </row>
    <row r="17" spans="1:6" ht="15" customHeight="1">
      <c r="A17" s="58">
        <v>9</v>
      </c>
      <c r="B17" s="847"/>
      <c r="C17" s="854"/>
      <c r="D17" s="69"/>
      <c r="E17" s="389"/>
      <c r="F17" s="389"/>
    </row>
    <row r="18" spans="1:6" ht="15" customHeight="1">
      <c r="A18" s="54">
        <v>10</v>
      </c>
      <c r="B18" s="847"/>
      <c r="C18" s="854"/>
      <c r="D18" s="69"/>
      <c r="E18" s="245"/>
      <c r="F18" s="245"/>
    </row>
    <row r="19" spans="1:6" ht="15" customHeight="1">
      <c r="A19" s="126">
        <v>11</v>
      </c>
      <c r="B19" s="847"/>
      <c r="C19" s="854"/>
      <c r="D19" s="69"/>
      <c r="E19" s="389"/>
      <c r="F19" s="389"/>
    </row>
    <row r="20" spans="1:6" ht="15" customHeight="1" thickBot="1">
      <c r="A20" s="55">
        <v>12</v>
      </c>
      <c r="B20" s="846"/>
      <c r="C20" s="855"/>
      <c r="D20" s="70"/>
      <c r="E20" s="391"/>
      <c r="F20" s="391"/>
    </row>
    <row r="21" spans="1:6" ht="15" customHeight="1" thickBot="1">
      <c r="A21" s="76">
        <v>13</v>
      </c>
      <c r="B21" s="1214" t="s">
        <v>796</v>
      </c>
      <c r="C21" s="1215"/>
      <c r="D21" s="416">
        <f>SUM(D11:D20)</f>
        <v>0</v>
      </c>
      <c r="E21" s="416">
        <f>SUM(E11:E20)</f>
        <v>0</v>
      </c>
      <c r="F21" s="278">
        <f>SUM(F11:F20)</f>
        <v>0</v>
      </c>
    </row>
    <row r="22" spans="1:6" ht="15" customHeight="1" thickTop="1">
      <c r="A22" s="91"/>
      <c r="B22" s="60"/>
      <c r="C22" s="1171" t="s">
        <v>163</v>
      </c>
      <c r="D22" s="1171"/>
      <c r="E22" s="60"/>
      <c r="F22" s="60"/>
    </row>
    <row r="23" spans="1:6" ht="41.25" customHeight="1">
      <c r="A23" s="1106" t="s">
        <v>626</v>
      </c>
      <c r="B23" s="1106"/>
      <c r="C23" s="1106"/>
      <c r="D23" s="1106"/>
      <c r="E23" s="1106"/>
      <c r="F23" s="1106"/>
    </row>
    <row r="24" spans="1:5" ht="42" customHeight="1">
      <c r="A24" s="297" t="s">
        <v>5</v>
      </c>
      <c r="B24" s="149" t="s">
        <v>199</v>
      </c>
      <c r="C24" s="117" t="s">
        <v>762</v>
      </c>
      <c r="D24" s="149" t="s">
        <v>226</v>
      </c>
      <c r="E24" s="149" t="s">
        <v>227</v>
      </c>
    </row>
    <row r="25" spans="1:5" ht="15" customHeight="1">
      <c r="A25" s="164">
        <v>14</v>
      </c>
      <c r="B25" s="165" t="str">
        <f>"Total "&amp;Months!$B$1&amp;" Revenues"</f>
        <v>Total 2022-23 Revenues</v>
      </c>
      <c r="C25" s="453">
        <f>F21</f>
        <v>0</v>
      </c>
      <c r="D25" s="453">
        <f>F7</f>
        <v>0</v>
      </c>
      <c r="E25" s="463">
        <f>F8</f>
        <v>0</v>
      </c>
    </row>
    <row r="26" spans="1:5" ht="15" customHeight="1">
      <c r="A26" s="101">
        <v>15</v>
      </c>
      <c r="B26" s="233" t="str">
        <f>Months!$B$4&amp;" Deferred Revenue"</f>
        <v>June 30, 2022 Deferred Revenue</v>
      </c>
      <c r="C26" s="231"/>
      <c r="D26" s="231"/>
      <c r="E26" s="232"/>
    </row>
    <row r="27" spans="1:5" ht="15" customHeight="1" thickBot="1">
      <c r="A27" s="99">
        <v>16</v>
      </c>
      <c r="B27" s="233" t="str">
        <f>Months!$B$4&amp;" Accounts Receivable"</f>
        <v>June 30, 2022 Accounts Receivable</v>
      </c>
      <c r="C27" s="78"/>
      <c r="D27" s="78"/>
      <c r="E27" s="94"/>
    </row>
    <row r="28" spans="1:5" ht="15" customHeight="1" thickBot="1">
      <c r="A28" s="100">
        <v>17</v>
      </c>
      <c r="B28" s="270" t="s">
        <v>218</v>
      </c>
      <c r="C28" s="454">
        <f>C25-C26+C27</f>
        <v>0</v>
      </c>
      <c r="D28" s="454">
        <f>D25-D26+D27</f>
        <v>0</v>
      </c>
      <c r="E28" s="248">
        <f>E25-E26+E27</f>
        <v>0</v>
      </c>
    </row>
    <row r="29" spans="1:6" ht="15" customHeight="1">
      <c r="A29" s="64">
        <v>18</v>
      </c>
      <c r="B29" s="280" t="str">
        <f>Months!$B7&amp;" Cash Receipts"</f>
        <v>July 2022 Cash Receipts</v>
      </c>
      <c r="C29" s="93"/>
      <c r="D29" s="93"/>
      <c r="E29" s="74"/>
      <c r="F29" s="8"/>
    </row>
    <row r="30" spans="1:6" ht="15" customHeight="1">
      <c r="A30" s="54">
        <v>19</v>
      </c>
      <c r="B30" s="280" t="str">
        <f>Months!$B8&amp;" Cash Receipts"</f>
        <v>August 2022 Cash Receipts</v>
      </c>
      <c r="C30" s="93"/>
      <c r="D30" s="69"/>
      <c r="E30" s="66"/>
      <c r="F30" s="8"/>
    </row>
    <row r="31" spans="1:6" ht="15" customHeight="1">
      <c r="A31" s="54">
        <v>20</v>
      </c>
      <c r="B31" s="280" t="str">
        <f>Months!$B9&amp;" Cash Receipts"</f>
        <v>September 2022 Cash Receipts</v>
      </c>
      <c r="C31" s="69"/>
      <c r="D31" s="69"/>
      <c r="E31" s="66"/>
      <c r="F31" s="8"/>
    </row>
    <row r="32" spans="1:6" ht="15" customHeight="1">
      <c r="A32" s="54">
        <v>21</v>
      </c>
      <c r="B32" s="280" t="str">
        <f>Months!$B10&amp;" Cash Receipts"</f>
        <v>October 2022 Cash Receipts</v>
      </c>
      <c r="C32" s="69"/>
      <c r="D32" s="69"/>
      <c r="E32" s="66"/>
      <c r="F32" s="8"/>
    </row>
    <row r="33" spans="1:6" ht="15" customHeight="1">
      <c r="A33" s="54">
        <v>22</v>
      </c>
      <c r="B33" s="280" t="str">
        <f>Months!$B11&amp;" Cash Receipts"</f>
        <v>November 2022 Cash Receipts</v>
      </c>
      <c r="C33" s="69"/>
      <c r="D33" s="69"/>
      <c r="E33" s="66"/>
      <c r="F33" s="8"/>
    </row>
    <row r="34" spans="1:6" ht="15" customHeight="1">
      <c r="A34" s="54">
        <v>23</v>
      </c>
      <c r="B34" s="280" t="str">
        <f>Months!$B12&amp;" Cash Receipts"</f>
        <v>December 2022 Cash Receipts</v>
      </c>
      <c r="C34" s="69"/>
      <c r="D34" s="69"/>
      <c r="E34" s="66"/>
      <c r="F34" s="8"/>
    </row>
    <row r="35" spans="1:6" ht="15" customHeight="1">
      <c r="A35" s="54">
        <v>24</v>
      </c>
      <c r="B35" s="280" t="str">
        <f>Months!$B13&amp;" Cash Receipts"</f>
        <v>January 2023 Cash Receipts</v>
      </c>
      <c r="C35" s="69"/>
      <c r="D35" s="69"/>
      <c r="E35" s="66"/>
      <c r="F35" s="8"/>
    </row>
    <row r="36" spans="1:6" ht="15" customHeight="1">
      <c r="A36" s="54">
        <v>25</v>
      </c>
      <c r="B36" s="280" t="str">
        <f>Months!$B14&amp;" Cash Receipts"</f>
        <v>February 2023 Cash Receipts</v>
      </c>
      <c r="C36" s="69"/>
      <c r="D36" s="69"/>
      <c r="E36" s="66"/>
      <c r="F36" s="8"/>
    </row>
    <row r="37" spans="1:6" ht="15" customHeight="1">
      <c r="A37" s="54">
        <v>26</v>
      </c>
      <c r="B37" s="280" t="str">
        <f>Months!$B15&amp;" Cash Receipts"</f>
        <v>March 2023 Cash Receipts</v>
      </c>
      <c r="C37" s="69"/>
      <c r="D37" s="69"/>
      <c r="E37" s="66"/>
      <c r="F37" s="8"/>
    </row>
    <row r="38" spans="1:6" ht="15" customHeight="1">
      <c r="A38" s="54">
        <v>27</v>
      </c>
      <c r="B38" s="280" t="str">
        <f>Months!$B16&amp;" Cash Receipts"</f>
        <v>April 2023 Cash Receipts</v>
      </c>
      <c r="C38" s="69"/>
      <c r="D38" s="69"/>
      <c r="E38" s="66"/>
      <c r="F38" s="8"/>
    </row>
    <row r="39" spans="1:5" ht="15" customHeight="1">
      <c r="A39" s="54">
        <v>28</v>
      </c>
      <c r="B39" s="280" t="str">
        <f>Months!$B17&amp;" Cash Receipts"</f>
        <v>May 2023 Cash Receipts</v>
      </c>
      <c r="C39" s="69"/>
      <c r="D39" s="69"/>
      <c r="E39" s="66"/>
    </row>
    <row r="40" spans="1:5" ht="15" customHeight="1" thickBot="1">
      <c r="A40" s="54">
        <v>29</v>
      </c>
      <c r="B40" s="280" t="str">
        <f>Months!$B18&amp;" Cash Receipts"</f>
        <v>June 2023 Cash Receipts</v>
      </c>
      <c r="C40" s="93"/>
      <c r="D40" s="93"/>
      <c r="E40" s="74"/>
    </row>
    <row r="41" spans="1:5" ht="15" customHeight="1" thickBot="1">
      <c r="A41" s="170">
        <v>30</v>
      </c>
      <c r="B41" s="219" t="s">
        <v>29</v>
      </c>
      <c r="C41" s="221">
        <f>SUM(C29:C40)</f>
        <v>0</v>
      </c>
      <c r="D41" s="221">
        <f>SUM(D29:D40)</f>
        <v>0</v>
      </c>
      <c r="E41" s="221">
        <f>SUM(E29:E40)</f>
        <v>0</v>
      </c>
    </row>
    <row r="42" spans="1:5" ht="15" customHeight="1" thickBot="1">
      <c r="A42" s="101">
        <v>31</v>
      </c>
      <c r="B42" s="233" t="str">
        <f>Months!$C$5&amp;" Deferred Revenue"</f>
        <v>JUNE 30, 2023 Deferred Revenue</v>
      </c>
      <c r="C42" s="231"/>
      <c r="D42" s="231"/>
      <c r="E42" s="232"/>
    </row>
    <row r="43" spans="1:5" ht="15" customHeight="1" thickBot="1">
      <c r="A43" s="222">
        <v>32</v>
      </c>
      <c r="B43" s="269" t="str">
        <f>Months!$C$5&amp;" ACCOUNTS RECEIVABLE"</f>
        <v>JUNE 30, 2023 ACCOUNTS RECEIVABLE</v>
      </c>
      <c r="C43" s="258">
        <f>ROUND((C28-C41+C42),0)</f>
        <v>0</v>
      </c>
      <c r="D43" s="258">
        <f>ROUND((D28-D41+D42),0)</f>
        <v>0</v>
      </c>
      <c r="E43" s="266">
        <f>ROUND((E28-E41+E42),0)</f>
        <v>0</v>
      </c>
    </row>
    <row r="44" ht="10.5" thickTop="1">
      <c r="G44" s="10"/>
    </row>
    <row r="45" ht="9.75">
      <c r="G45" s="10"/>
    </row>
    <row r="46" ht="9.75">
      <c r="G46" s="10"/>
    </row>
    <row r="47" ht="9.75">
      <c r="G47" s="10"/>
    </row>
  </sheetData>
  <sheetProtection password="EBD1" sheet="1"/>
  <mergeCells count="9">
    <mergeCell ref="A2:F2"/>
    <mergeCell ref="A1:F1"/>
    <mergeCell ref="A3:F3"/>
    <mergeCell ref="A23:F23"/>
    <mergeCell ref="A4:F4"/>
    <mergeCell ref="B21:C21"/>
    <mergeCell ref="C22:D22"/>
    <mergeCell ref="C9:E9"/>
    <mergeCell ref="C5:E5"/>
  </mergeCells>
  <dataValidations count="3">
    <dataValidation allowBlank="1" showInputMessage="1" showErrorMessage="1" prompt="If the church that is the same legal entity as the school is providing funding to the school, DO NOT include the revenue here.  All of the churches revenues and expenses must be included in Schedules 3 and 4 of the budget, as applicable." sqref="B11:B20"/>
    <dataValidation type="list" allowBlank="1" showInputMessage="1" showErrorMessage="1" prompt="Select how frequently the church or school provides the subsidy on average." sqref="C11:C20">
      <formula1>"Weekly,Bimonthly,Monthly,Every Other Month,Quarterly,Twice a Year,Three Times a Year,Annually"</formula1>
    </dataValidation>
    <dataValidation type="list" allowBlank="1" showInputMessage="1" showErrorMessage="1" prompt="Select how frequently the income is typically received by the school." sqref="C7:C8">
      <formula1>"Weekly,Bimonthly,Monthly,Every Other Month,Quarterly,Twice a Year,Three Times a Year,Annually"</formula1>
    </dataValidation>
  </dataValidations>
  <printOptions/>
  <pageMargins left="0.39" right="0.24" top="0.49" bottom="0.3" header="0.25" footer="0.24"/>
  <pageSetup fitToHeight="1" fitToWidth="1" horizontalDpi="600" verticalDpi="600" orientation="portrait" scale="99" r:id="rId1"/>
  <headerFooter alignWithMargins="0">
    <oddHeader>&amp;LPI-PCP-14&amp;RPage 12</oddHeader>
  </headerFooter>
</worksheet>
</file>

<file path=xl/worksheets/sheet18.xml><?xml version="1.0" encoding="utf-8"?>
<worksheet xmlns="http://schemas.openxmlformats.org/spreadsheetml/2006/main" xmlns:r="http://schemas.openxmlformats.org/officeDocument/2006/relationships">
  <sheetPr>
    <tabColor rgb="FFFF0000"/>
    <pageSetUpPr fitToPage="1"/>
  </sheetPr>
  <dimension ref="A1:Q34"/>
  <sheetViews>
    <sheetView showGridLines="0" showZeros="0" showOutlineSymbols="0" workbookViewId="0" topLeftCell="A1">
      <selection activeCell="C4" sqref="C4:F4"/>
    </sheetView>
  </sheetViews>
  <sheetFormatPr defaultColWidth="9.140625" defaultRowHeight="12.75"/>
  <cols>
    <col min="1" max="1" width="4.421875" style="8" bestFit="1" customWidth="1"/>
    <col min="2" max="2" width="30.8515625" style="8" bestFit="1" customWidth="1"/>
    <col min="3" max="8" width="13.00390625" style="8" customWidth="1"/>
    <col min="9" max="16384" width="9.140625" style="8" customWidth="1"/>
  </cols>
  <sheetData>
    <row r="1" spans="1:8" ht="18.75" customHeight="1">
      <c r="A1" s="1035">
        <f>'Cover Page'!A9</f>
        <v>0</v>
      </c>
      <c r="B1" s="1035"/>
      <c r="C1" s="1035"/>
      <c r="D1" s="1035"/>
      <c r="E1" s="1035"/>
      <c r="F1" s="1035"/>
      <c r="G1" s="1035"/>
      <c r="H1" s="1035"/>
    </row>
    <row r="2" spans="1:8" ht="18.75" customHeight="1">
      <c r="A2" s="1108" t="s">
        <v>459</v>
      </c>
      <c r="B2" s="1108"/>
      <c r="C2" s="1108"/>
      <c r="D2" s="1108"/>
      <c r="E2" s="1108"/>
      <c r="F2" s="1108"/>
      <c r="G2" s="1108"/>
      <c r="H2" s="1108"/>
    </row>
    <row r="3" spans="1:8" ht="19.5" customHeight="1" thickBot="1">
      <c r="A3" s="1182" t="str">
        <f>'Required Attachments'!A3</f>
        <v>Budget for the period from July 1, 2022 to June 30, 2023</v>
      </c>
      <c r="B3" s="1182"/>
      <c r="C3" s="1182"/>
      <c r="D3" s="1182"/>
      <c r="E3" s="1182"/>
      <c r="F3" s="1182"/>
      <c r="G3" s="1182"/>
      <c r="H3" s="1182"/>
    </row>
    <row r="4" spans="1:8" ht="19.5" customHeight="1" thickTop="1">
      <c r="A4" s="91"/>
      <c r="B4" s="92"/>
      <c r="C4" s="1171" t="s">
        <v>167</v>
      </c>
      <c r="D4" s="1171"/>
      <c r="E4" s="1171"/>
      <c r="F4" s="1171"/>
      <c r="G4" s="60"/>
      <c r="H4" s="60"/>
    </row>
    <row r="5" spans="1:8" ht="36" customHeight="1" thickBot="1">
      <c r="A5" s="1223" t="s">
        <v>680</v>
      </c>
      <c r="B5" s="1223"/>
      <c r="C5" s="1223"/>
      <c r="D5" s="1223"/>
      <c r="E5" s="1223"/>
      <c r="F5" s="1223"/>
      <c r="G5" s="1223"/>
      <c r="H5" s="1223"/>
    </row>
    <row r="6" spans="1:11" ht="37.5" customHeight="1" thickBot="1">
      <c r="A6" s="297" t="s">
        <v>5</v>
      </c>
      <c r="B6" s="149" t="s">
        <v>458</v>
      </c>
      <c r="C6" s="1085" t="s">
        <v>457</v>
      </c>
      <c r="D6" s="1113"/>
      <c r="E6" s="1113"/>
      <c r="F6" s="149" t="str">
        <f>"C
"&amp;Months!$B$20&amp;" Actual"</f>
        <v>C
6/30/21 Actual</v>
      </c>
      <c r="G6" s="149" t="str">
        <f>"D
"&amp;Months!$B$21&amp;" Actual/Budget"</f>
        <v>D
6/30/22 Actual/Budget</v>
      </c>
      <c r="H6" s="612" t="str">
        <f>"E
"&amp;Months!$B$22&amp;" Budgeted"</f>
        <v>E
6/30/23 Budgeted</v>
      </c>
      <c r="K6" s="318" t="s">
        <v>290</v>
      </c>
    </row>
    <row r="7" spans="1:11" ht="49.5" customHeight="1">
      <c r="A7" s="72">
        <v>1</v>
      </c>
      <c r="B7" s="387"/>
      <c r="C7" s="1217"/>
      <c r="D7" s="1097"/>
      <c r="E7" s="1218"/>
      <c r="F7" s="823"/>
      <c r="G7" s="823"/>
      <c r="H7" s="823"/>
      <c r="K7" s="319">
        <f>IF(AND(C16&gt;0,C7=""),"ERROR","")</f>
      </c>
    </row>
    <row r="8" spans="1:11" ht="49.5" customHeight="1">
      <c r="A8" s="72">
        <v>2</v>
      </c>
      <c r="B8" s="387"/>
      <c r="C8" s="1217"/>
      <c r="D8" s="1097"/>
      <c r="E8" s="1218"/>
      <c r="F8" s="823"/>
      <c r="G8" s="823"/>
      <c r="H8" s="823"/>
      <c r="K8" s="320">
        <f>IF(AND(D16&gt;0,C8=""),"ERROR","")</f>
      </c>
    </row>
    <row r="9" spans="1:11" ht="49.5" customHeight="1">
      <c r="A9" s="72">
        <v>3</v>
      </c>
      <c r="B9" s="387"/>
      <c r="C9" s="1217"/>
      <c r="D9" s="1097"/>
      <c r="E9" s="1218"/>
      <c r="F9" s="823"/>
      <c r="G9" s="823"/>
      <c r="H9" s="823"/>
      <c r="K9" s="320">
        <f>IF(AND(E16&gt;0,C9=""),"ERROR","")</f>
      </c>
    </row>
    <row r="10" spans="1:11" ht="49.5" customHeight="1">
      <c r="A10" s="72">
        <v>4</v>
      </c>
      <c r="B10" s="387"/>
      <c r="C10" s="1217"/>
      <c r="D10" s="1097"/>
      <c r="E10" s="1218"/>
      <c r="F10" s="823"/>
      <c r="G10" s="823"/>
      <c r="H10" s="823"/>
      <c r="K10" s="320">
        <f>IF(AND(F16&gt;0,C10=""),"ERROR","")</f>
      </c>
    </row>
    <row r="11" spans="1:11" ht="49.5" customHeight="1" thickBot="1">
      <c r="A11" s="72">
        <v>5</v>
      </c>
      <c r="B11" s="387"/>
      <c r="C11" s="1219"/>
      <c r="D11" s="1105"/>
      <c r="E11" s="1220"/>
      <c r="F11" s="823"/>
      <c r="G11" s="823"/>
      <c r="H11" s="823"/>
      <c r="K11" s="321">
        <f>IF(AND(G16&gt;0,C11=""),"ERROR","")</f>
      </c>
    </row>
    <row r="12" spans="1:11" ht="19.5" customHeight="1" thickBot="1" thickTop="1">
      <c r="A12" s="91"/>
      <c r="B12" s="92"/>
      <c r="C12" s="1171" t="s">
        <v>168</v>
      </c>
      <c r="D12" s="1171"/>
      <c r="E12" s="1171"/>
      <c r="F12" s="1171"/>
      <c r="G12" s="60"/>
      <c r="H12" s="60"/>
      <c r="K12" s="316">
        <f>COUNTIF(K7:K11,"ERROR")</f>
        <v>0</v>
      </c>
    </row>
    <row r="13" spans="1:8" ht="37.5" customHeight="1">
      <c r="A13" s="1106" t="s">
        <v>763</v>
      </c>
      <c r="B13" s="1106"/>
      <c r="C13" s="1106"/>
      <c r="D13" s="1106"/>
      <c r="E13" s="1106"/>
      <c r="F13" s="1106"/>
      <c r="G13" s="1106"/>
      <c r="H13" s="1106"/>
    </row>
    <row r="14" spans="1:8" s="80" customFormat="1" ht="10.5">
      <c r="A14" s="1221" t="s">
        <v>5</v>
      </c>
      <c r="B14" s="249" t="s">
        <v>6</v>
      </c>
      <c r="C14" s="249" t="s">
        <v>7</v>
      </c>
      <c r="D14" s="249" t="s">
        <v>8</v>
      </c>
      <c r="E14" s="249" t="s">
        <v>9</v>
      </c>
      <c r="F14" s="249" t="s">
        <v>10</v>
      </c>
      <c r="G14" s="250" t="s">
        <v>11</v>
      </c>
      <c r="H14" s="251" t="s">
        <v>12</v>
      </c>
    </row>
    <row r="15" spans="1:17" ht="48" customHeight="1">
      <c r="A15" s="1222"/>
      <c r="B15" s="61" t="s">
        <v>165</v>
      </c>
      <c r="C15" s="53">
        <f>B7</f>
        <v>0</v>
      </c>
      <c r="D15" s="53">
        <f>B8</f>
        <v>0</v>
      </c>
      <c r="E15" s="61">
        <f>B9</f>
        <v>0</v>
      </c>
      <c r="F15" s="61">
        <f>B10</f>
        <v>0</v>
      </c>
      <c r="G15" s="61">
        <f>B11</f>
        <v>0</v>
      </c>
      <c r="H15" s="61" t="s">
        <v>166</v>
      </c>
      <c r="K15" s="1186"/>
      <c r="L15" s="1186"/>
      <c r="M15" s="1186"/>
      <c r="N15" s="1186"/>
      <c r="O15" s="1186"/>
      <c r="P15" s="1186"/>
      <c r="Q15" s="1186"/>
    </row>
    <row r="16" spans="1:8" ht="15" customHeight="1">
      <c r="A16" s="164">
        <v>6</v>
      </c>
      <c r="B16" s="165" t="str">
        <f>"Total "&amp;Months!$B$1&amp;" Revenues"</f>
        <v>Total 2022-23 Revenues</v>
      </c>
      <c r="C16" s="453">
        <f>H7</f>
        <v>0</v>
      </c>
      <c r="D16" s="453">
        <f>H8</f>
        <v>0</v>
      </c>
      <c r="E16" s="453">
        <f>H9</f>
        <v>0</v>
      </c>
      <c r="F16" s="463">
        <f>H10</f>
        <v>0</v>
      </c>
      <c r="G16" s="453">
        <f>H11</f>
        <v>0</v>
      </c>
      <c r="H16" s="463">
        <f>SUM(C16:G16)</f>
        <v>0</v>
      </c>
    </row>
    <row r="17" spans="1:8" ht="15" customHeight="1">
      <c r="A17" s="101">
        <v>7</v>
      </c>
      <c r="B17" s="233" t="str">
        <f>Months!$B$4&amp;" Deferred Revenue"</f>
        <v>June 30, 2022 Deferred Revenue</v>
      </c>
      <c r="C17" s="231"/>
      <c r="D17" s="231"/>
      <c r="E17" s="231"/>
      <c r="F17" s="232"/>
      <c r="G17" s="231"/>
      <c r="H17" s="485">
        <f aca="true" t="shared" si="0" ref="H17:H34">SUM(C17:G17)</f>
        <v>0</v>
      </c>
    </row>
    <row r="18" spans="1:8" ht="15" customHeight="1" thickBot="1">
      <c r="A18" s="99">
        <v>8</v>
      </c>
      <c r="B18" s="233" t="str">
        <f>Months!$B$4&amp;" Accounts Receivable"</f>
        <v>June 30, 2022 Accounts Receivable</v>
      </c>
      <c r="C18" s="78"/>
      <c r="D18" s="78"/>
      <c r="E18" s="78"/>
      <c r="F18" s="94"/>
      <c r="G18" s="78"/>
      <c r="H18" s="484">
        <f t="shared" si="0"/>
        <v>0</v>
      </c>
    </row>
    <row r="19" spans="1:8" ht="15" customHeight="1" thickBot="1">
      <c r="A19" s="100">
        <v>9</v>
      </c>
      <c r="B19" s="270" t="s">
        <v>218</v>
      </c>
      <c r="C19" s="454">
        <f>C16-C17+C18</f>
        <v>0</v>
      </c>
      <c r="D19" s="454">
        <f>D16-D17+D18</f>
        <v>0</v>
      </c>
      <c r="E19" s="454">
        <f>E16-E17+E18</f>
        <v>0</v>
      </c>
      <c r="F19" s="454">
        <f>F16-F17+F18</f>
        <v>0</v>
      </c>
      <c r="G19" s="454">
        <f>G16-G17+G18</f>
        <v>0</v>
      </c>
      <c r="H19" s="248">
        <f t="shared" si="0"/>
        <v>0</v>
      </c>
    </row>
    <row r="20" spans="1:8" ht="15" customHeight="1">
      <c r="A20" s="64">
        <v>10</v>
      </c>
      <c r="B20" s="280" t="str">
        <f>Months!B7&amp;" Cash Receipts"</f>
        <v>July 2022 Cash Receipts</v>
      </c>
      <c r="C20" s="93"/>
      <c r="D20" s="93"/>
      <c r="E20" s="74"/>
      <c r="F20" s="74"/>
      <c r="G20" s="74"/>
      <c r="H20" s="463">
        <f t="shared" si="0"/>
        <v>0</v>
      </c>
    </row>
    <row r="21" spans="1:8" ht="15" customHeight="1">
      <c r="A21" s="54">
        <v>11</v>
      </c>
      <c r="B21" s="280" t="str">
        <f>Months!B8&amp;" Cash Receipts"</f>
        <v>August 2022 Cash Receipts</v>
      </c>
      <c r="C21" s="93"/>
      <c r="D21" s="69"/>
      <c r="E21" s="66"/>
      <c r="F21" s="66"/>
      <c r="G21" s="66"/>
      <c r="H21" s="464">
        <f t="shared" si="0"/>
        <v>0</v>
      </c>
    </row>
    <row r="22" spans="1:8" ht="15" customHeight="1">
      <c r="A22" s="54">
        <v>12</v>
      </c>
      <c r="B22" s="280" t="str">
        <f>Months!B9&amp;" Cash Receipts"</f>
        <v>September 2022 Cash Receipts</v>
      </c>
      <c r="C22" s="69"/>
      <c r="D22" s="69"/>
      <c r="E22" s="66"/>
      <c r="F22" s="66"/>
      <c r="G22" s="66"/>
      <c r="H22" s="464">
        <f t="shared" si="0"/>
        <v>0</v>
      </c>
    </row>
    <row r="23" spans="1:8" ht="15" customHeight="1">
      <c r="A23" s="54">
        <v>13</v>
      </c>
      <c r="B23" s="280" t="str">
        <f>Months!B10&amp;" Cash Receipts"</f>
        <v>October 2022 Cash Receipts</v>
      </c>
      <c r="C23" s="69"/>
      <c r="D23" s="69"/>
      <c r="E23" s="66"/>
      <c r="F23" s="66"/>
      <c r="G23" s="66"/>
      <c r="H23" s="464">
        <f t="shared" si="0"/>
        <v>0</v>
      </c>
    </row>
    <row r="24" spans="1:8" ht="15" customHeight="1">
      <c r="A24" s="54">
        <v>14</v>
      </c>
      <c r="B24" s="280" t="str">
        <f>Months!B11&amp;" Cash Receipts"</f>
        <v>November 2022 Cash Receipts</v>
      </c>
      <c r="C24" s="69"/>
      <c r="D24" s="69"/>
      <c r="E24" s="66"/>
      <c r="F24" s="66"/>
      <c r="G24" s="66"/>
      <c r="H24" s="464">
        <f t="shared" si="0"/>
        <v>0</v>
      </c>
    </row>
    <row r="25" spans="1:8" ht="15" customHeight="1">
      <c r="A25" s="54">
        <v>15</v>
      </c>
      <c r="B25" s="280" t="str">
        <f>Months!B12&amp;" Cash Receipts"</f>
        <v>December 2022 Cash Receipts</v>
      </c>
      <c r="C25" s="69"/>
      <c r="D25" s="69"/>
      <c r="E25" s="66"/>
      <c r="F25" s="66"/>
      <c r="G25" s="66"/>
      <c r="H25" s="464">
        <f t="shared" si="0"/>
        <v>0</v>
      </c>
    </row>
    <row r="26" spans="1:8" ht="15" customHeight="1">
      <c r="A26" s="54">
        <v>16</v>
      </c>
      <c r="B26" s="280" t="str">
        <f>Months!B13&amp;" Cash Receipts"</f>
        <v>January 2023 Cash Receipts</v>
      </c>
      <c r="C26" s="69"/>
      <c r="D26" s="69"/>
      <c r="E26" s="66"/>
      <c r="F26" s="66"/>
      <c r="G26" s="66"/>
      <c r="H26" s="464">
        <f t="shared" si="0"/>
        <v>0</v>
      </c>
    </row>
    <row r="27" spans="1:8" ht="15" customHeight="1">
      <c r="A27" s="54">
        <v>17</v>
      </c>
      <c r="B27" s="280" t="str">
        <f>Months!B14&amp;" Cash Receipts"</f>
        <v>February 2023 Cash Receipts</v>
      </c>
      <c r="C27" s="69"/>
      <c r="D27" s="69"/>
      <c r="E27" s="66"/>
      <c r="F27" s="66"/>
      <c r="G27" s="66"/>
      <c r="H27" s="464">
        <f t="shared" si="0"/>
        <v>0</v>
      </c>
    </row>
    <row r="28" spans="1:8" ht="15" customHeight="1">
      <c r="A28" s="54">
        <v>18</v>
      </c>
      <c r="B28" s="280" t="str">
        <f>Months!B15&amp;" Cash Receipts"</f>
        <v>March 2023 Cash Receipts</v>
      </c>
      <c r="C28" s="69"/>
      <c r="D28" s="69"/>
      <c r="E28" s="66"/>
      <c r="F28" s="66"/>
      <c r="G28" s="66"/>
      <c r="H28" s="464">
        <f t="shared" si="0"/>
        <v>0</v>
      </c>
    </row>
    <row r="29" spans="1:8" ht="15" customHeight="1">
      <c r="A29" s="54">
        <v>19</v>
      </c>
      <c r="B29" s="280" t="str">
        <f>Months!B16&amp;" Cash Receipts"</f>
        <v>April 2023 Cash Receipts</v>
      </c>
      <c r="C29" s="69"/>
      <c r="D29" s="69"/>
      <c r="E29" s="66"/>
      <c r="F29" s="66"/>
      <c r="G29" s="66"/>
      <c r="H29" s="464">
        <f t="shared" si="0"/>
        <v>0</v>
      </c>
    </row>
    <row r="30" spans="1:8" ht="15" customHeight="1">
      <c r="A30" s="54">
        <v>20</v>
      </c>
      <c r="B30" s="280" t="str">
        <f>Months!B17&amp;" Cash Receipts"</f>
        <v>May 2023 Cash Receipts</v>
      </c>
      <c r="C30" s="69"/>
      <c r="D30" s="69"/>
      <c r="E30" s="66"/>
      <c r="F30" s="66"/>
      <c r="G30" s="66"/>
      <c r="H30" s="464">
        <f t="shared" si="0"/>
        <v>0</v>
      </c>
    </row>
    <row r="31" spans="1:8" ht="15" customHeight="1" thickBot="1">
      <c r="A31" s="54">
        <v>21</v>
      </c>
      <c r="B31" s="280" t="str">
        <f>Months!B18&amp;" Cash Receipts"</f>
        <v>June 2023 Cash Receipts</v>
      </c>
      <c r="C31" s="93"/>
      <c r="D31" s="93"/>
      <c r="E31" s="74"/>
      <c r="F31" s="74"/>
      <c r="G31" s="74"/>
      <c r="H31" s="463">
        <f t="shared" si="0"/>
        <v>0</v>
      </c>
    </row>
    <row r="32" spans="1:8" ht="15" customHeight="1" thickBot="1">
      <c r="A32" s="170">
        <v>22</v>
      </c>
      <c r="B32" s="219" t="s">
        <v>29</v>
      </c>
      <c r="C32" s="221">
        <f>SUM(C20:C31)</f>
        <v>0</v>
      </c>
      <c r="D32" s="221">
        <f>SUM(D20:D31)</f>
        <v>0</v>
      </c>
      <c r="E32" s="221">
        <f>SUM(E20:E31)</f>
        <v>0</v>
      </c>
      <c r="F32" s="221">
        <f>SUM(F20:F31)</f>
        <v>0</v>
      </c>
      <c r="G32" s="221">
        <f>SUM(G20:G31)</f>
        <v>0</v>
      </c>
      <c r="H32" s="248">
        <f t="shared" si="0"/>
        <v>0</v>
      </c>
    </row>
    <row r="33" spans="1:8" ht="15" customHeight="1" thickBot="1">
      <c r="A33" s="101">
        <v>23</v>
      </c>
      <c r="B33" s="233" t="str">
        <f>Months!$C$5&amp;" Deferred Revenue"</f>
        <v>JUNE 30, 2023 Deferred Revenue</v>
      </c>
      <c r="C33" s="231"/>
      <c r="D33" s="231"/>
      <c r="E33" s="231"/>
      <c r="F33" s="232"/>
      <c r="G33" s="231"/>
      <c r="H33" s="485">
        <f t="shared" si="0"/>
        <v>0</v>
      </c>
    </row>
    <row r="34" spans="1:8" ht="15" customHeight="1" thickBot="1">
      <c r="A34" s="222">
        <v>24</v>
      </c>
      <c r="B34" s="269" t="str">
        <f>Months!$C$5&amp;" ACCOUNTS RECEIVABLE"</f>
        <v>JUNE 30, 2023 ACCOUNTS RECEIVABLE</v>
      </c>
      <c r="C34" s="258">
        <f>ROUND((C19-C32+C33),0)</f>
        <v>0</v>
      </c>
      <c r="D34" s="258">
        <f>ROUND((D19-D32+D33),0)</f>
        <v>0</v>
      </c>
      <c r="E34" s="258">
        <f>ROUND((E19-E32+E33),0)</f>
        <v>0</v>
      </c>
      <c r="F34" s="258">
        <f>ROUND((F19-F32+F33),0)</f>
        <v>0</v>
      </c>
      <c r="G34" s="258">
        <f>ROUND((G19-G32+G33),0)</f>
        <v>0</v>
      </c>
      <c r="H34" s="283">
        <f t="shared" si="0"/>
        <v>0</v>
      </c>
    </row>
    <row r="35" ht="10.5" thickTop="1"/>
  </sheetData>
  <sheetProtection password="EBD1" sheet="1"/>
  <mergeCells count="15">
    <mergeCell ref="A3:H3"/>
    <mergeCell ref="C6:E6"/>
    <mergeCell ref="C7:E7"/>
    <mergeCell ref="C8:E8"/>
    <mergeCell ref="C9:E9"/>
    <mergeCell ref="K15:Q15"/>
    <mergeCell ref="C10:E10"/>
    <mergeCell ref="C11:E11"/>
    <mergeCell ref="A1:H1"/>
    <mergeCell ref="A14:A15"/>
    <mergeCell ref="A13:H13"/>
    <mergeCell ref="C4:F4"/>
    <mergeCell ref="C12:F12"/>
    <mergeCell ref="A5:H5"/>
    <mergeCell ref="A2:H2"/>
  </mergeCells>
  <conditionalFormatting sqref="K7:K11">
    <cfRule type="cellIs" priority="1" dxfId="0" operator="equal" stopIfTrue="1">
      <formula>"ERROR"</formula>
    </cfRule>
  </conditionalFormatting>
  <dataValidations count="1">
    <dataValidation allowBlank="1" showInputMessage="1" showErrorMessage="1" prompt="Only revenue not identified on Schedule 4-1, 4-2, or 4-3 may be included in this schedule. Revenue from a church or other part of the organization that is part of the legal entity of the school may NOT be included here." sqref="B7:B11"/>
  </dataValidations>
  <printOptions/>
  <pageMargins left="0.33" right="0.35" top="0.49" bottom="0.43" header="0.26" footer="0.28"/>
  <pageSetup fitToHeight="1" fitToWidth="1" horizontalDpi="600" verticalDpi="600" orientation="portrait" scale="89" r:id="rId1"/>
  <headerFooter alignWithMargins="0">
    <oddHeader>&amp;LPI-PCP-14&amp;RPage 13</oddHeader>
  </headerFooter>
</worksheet>
</file>

<file path=xl/worksheets/sheet19.xml><?xml version="1.0" encoding="utf-8"?>
<worksheet xmlns="http://schemas.openxmlformats.org/spreadsheetml/2006/main" xmlns:r="http://schemas.openxmlformats.org/officeDocument/2006/relationships">
  <sheetPr>
    <tabColor theme="9" tint="0.5999900102615356"/>
    <pageSetUpPr fitToPage="1"/>
  </sheetPr>
  <dimension ref="A1:K43"/>
  <sheetViews>
    <sheetView showGridLines="0" showOutlineSymbols="0" zoomScaleSheetLayoutView="100" workbookViewId="0" topLeftCell="A4">
      <selection activeCell="G22" sqref="G22"/>
    </sheetView>
  </sheetViews>
  <sheetFormatPr defaultColWidth="8.8515625" defaultRowHeight="15" customHeight="1"/>
  <cols>
    <col min="1" max="1" width="4.57421875" style="408" customWidth="1"/>
    <col min="2" max="2" width="26.421875" style="8" customWidth="1"/>
    <col min="3" max="3" width="7.421875" style="8" customWidth="1"/>
    <col min="4" max="7" width="14.421875" style="8" customWidth="1"/>
    <col min="8" max="8" width="8.8515625" style="10" customWidth="1"/>
    <col min="9" max="9" width="8.8515625" style="8" customWidth="1"/>
    <col min="10" max="10" width="10.8515625" style="8" customWidth="1"/>
    <col min="11" max="11" width="10.57421875" style="8" customWidth="1"/>
    <col min="12" max="16384" width="8.8515625" style="8" customWidth="1"/>
  </cols>
  <sheetData>
    <row r="1" spans="1:7" ht="15" customHeight="1">
      <c r="A1" s="1036">
        <f>'Cover Page'!A9</f>
        <v>0</v>
      </c>
      <c r="B1" s="1036"/>
      <c r="C1" s="1036"/>
      <c r="D1" s="1036"/>
      <c r="E1" s="1036"/>
      <c r="F1" s="1036"/>
      <c r="G1" s="1036"/>
    </row>
    <row r="2" spans="1:7" ht="15" customHeight="1">
      <c r="A2" s="1035" t="s">
        <v>447</v>
      </c>
      <c r="B2" s="1035"/>
      <c r="C2" s="1035"/>
      <c r="D2" s="1035"/>
      <c r="E2" s="1035"/>
      <c r="F2" s="1035"/>
      <c r="G2" s="1035"/>
    </row>
    <row r="3" spans="1:7" ht="15" customHeight="1" thickBot="1">
      <c r="A3" s="1109" t="str">
        <f>'Required Attachments'!A3</f>
        <v>Budget for the period from July 1, 2022 to June 30, 2023</v>
      </c>
      <c r="B3" s="1109"/>
      <c r="C3" s="1109"/>
      <c r="D3" s="1109"/>
      <c r="E3" s="1109"/>
      <c r="F3" s="1109"/>
      <c r="G3" s="1109"/>
    </row>
    <row r="4" spans="1:7" ht="13.5" customHeight="1" thickTop="1">
      <c r="A4" s="152"/>
      <c r="B4" s="153"/>
      <c r="C4" s="1171" t="s">
        <v>129</v>
      </c>
      <c r="D4" s="1171"/>
      <c r="E4" s="1171"/>
      <c r="F4" s="153"/>
      <c r="G4" s="153"/>
    </row>
    <row r="5" spans="1:7" ht="57" customHeight="1" thickBot="1">
      <c r="A5" s="1224" t="str">
        <f>"Column C is the total cost for any fixed assets owned by the legal entity of the school as of "&amp;Months!B4&amp;". The entity may choose to include all of the fixed assets it expended cash for, some of the fixed assets it expended cash for, or none of its fixed assets. "&amp;"Donated assets may not be included in this schedule since these are not eligible education expenses. "&amp;"See the Instructions tab for an explanation of what should be included in each category. Column B should be the number of years that the assets are depreciated. For leasehold improvements, Column B should equal the remaining term of the lease as of "&amp;Months!B4&amp;"."</f>
        <v>Column C is the total cost for any fixed assets owned by the legal entity of the school as of June 30, 2022. The entity may choose to include all of the fixed assets it expended cash for, some of the fixed assets it expended cash for, or none of its fixed assets. Donated assets may not be included in this schedule since these are not eligible education expenses. See the Instructions tab for an explanation of what should be included in each category. Column B should be the number of years that the assets are depreciated. For leasehold improvements, Column B should equal the remaining term of the lease as of June 30, 2022.</v>
      </c>
      <c r="B5" s="1224"/>
      <c r="C5" s="1224"/>
      <c r="D5" s="1224"/>
      <c r="E5" s="1224"/>
      <c r="F5" s="1224"/>
      <c r="G5" s="1224"/>
    </row>
    <row r="6" spans="1:9" ht="34.5" customHeight="1" thickBot="1">
      <c r="A6" s="28" t="s">
        <v>5</v>
      </c>
      <c r="B6" s="149" t="s">
        <v>91</v>
      </c>
      <c r="C6" s="149" t="s">
        <v>230</v>
      </c>
      <c r="D6" s="117" t="str">
        <f>"C
"&amp;Months!B4&amp;" Balance"</f>
        <v>C
June 30, 2022 Balance</v>
      </c>
      <c r="E6" s="117" t="s">
        <v>462</v>
      </c>
      <c r="F6" s="117" t="s">
        <v>231</v>
      </c>
      <c r="G6" s="149" t="str">
        <f>"F
"&amp;Months!B5&amp;" Balance"</f>
        <v>F
June 30, 2023 Balance</v>
      </c>
      <c r="I6" s="322" t="s">
        <v>292</v>
      </c>
    </row>
    <row r="7" spans="1:9" ht="13.5" customHeight="1">
      <c r="A7" s="54">
        <v>1</v>
      </c>
      <c r="B7" s="116" t="s">
        <v>127</v>
      </c>
      <c r="C7" s="417"/>
      <c r="D7" s="69"/>
      <c r="E7" s="66"/>
      <c r="F7" s="66"/>
      <c r="G7" s="464">
        <f aca="true" t="shared" si="0" ref="G7:G12">D7+E7-F7</f>
        <v>0</v>
      </c>
      <c r="I7" s="319"/>
    </row>
    <row r="8" spans="1:9" ht="13.5" customHeight="1">
      <c r="A8" s="54">
        <v>2</v>
      </c>
      <c r="B8" s="214" t="s">
        <v>564</v>
      </c>
      <c r="C8" s="284"/>
      <c r="D8" s="69"/>
      <c r="E8" s="66"/>
      <c r="F8" s="66"/>
      <c r="G8" s="464">
        <f t="shared" si="0"/>
        <v>0</v>
      </c>
      <c r="I8" s="320">
        <f>IF(AND(G8&gt;0,C8=""),"ERROR","")</f>
      </c>
    </row>
    <row r="9" spans="1:9" ht="13.5" customHeight="1">
      <c r="A9" s="54">
        <v>3</v>
      </c>
      <c r="B9" s="214" t="s">
        <v>14</v>
      </c>
      <c r="C9" s="284"/>
      <c r="D9" s="69"/>
      <c r="E9" s="66"/>
      <c r="F9" s="66"/>
      <c r="G9" s="464">
        <f t="shared" si="0"/>
        <v>0</v>
      </c>
      <c r="I9" s="320">
        <f>IF(AND(G9&gt;0,C9=""),"ERROR","")</f>
      </c>
    </row>
    <row r="10" spans="1:9" ht="13.5" customHeight="1">
      <c r="A10" s="54">
        <v>4</v>
      </c>
      <c r="B10" s="214" t="s">
        <v>13</v>
      </c>
      <c r="C10" s="284"/>
      <c r="D10" s="69"/>
      <c r="E10" s="66"/>
      <c r="F10" s="66"/>
      <c r="G10" s="464">
        <f t="shared" si="0"/>
        <v>0</v>
      </c>
      <c r="I10" s="320">
        <f>IF(AND(G10&gt;0,C10=""),"ERROR","")</f>
      </c>
    </row>
    <row r="11" spans="1:9" ht="13.5" customHeight="1">
      <c r="A11" s="54">
        <v>5</v>
      </c>
      <c r="B11" s="214" t="s">
        <v>15</v>
      </c>
      <c r="C11" s="284"/>
      <c r="D11" s="69"/>
      <c r="E11" s="66"/>
      <c r="F11" s="66"/>
      <c r="G11" s="464">
        <f t="shared" si="0"/>
        <v>0</v>
      </c>
      <c r="I11" s="320">
        <f>IF(AND(G11&gt;0,C11=""),"ERROR","")</f>
      </c>
    </row>
    <row r="12" spans="1:9" ht="13.5" customHeight="1" thickBot="1">
      <c r="A12" s="54">
        <v>6</v>
      </c>
      <c r="B12" s="214" t="s">
        <v>128</v>
      </c>
      <c r="C12" s="417"/>
      <c r="D12" s="69"/>
      <c r="E12" s="66"/>
      <c r="F12" s="66"/>
      <c r="G12" s="464">
        <f t="shared" si="0"/>
        <v>0</v>
      </c>
      <c r="I12" s="323"/>
    </row>
    <row r="13" spans="1:9" ht="13.5" customHeight="1" thickBot="1">
      <c r="A13" s="59">
        <v>7</v>
      </c>
      <c r="B13" s="216" t="s">
        <v>125</v>
      </c>
      <c r="C13" s="418"/>
      <c r="D13" s="629">
        <f>SUM(D7:D12)</f>
        <v>0</v>
      </c>
      <c r="E13" s="629">
        <f>SUM(E7:E12)</f>
        <v>0</v>
      </c>
      <c r="F13" s="629">
        <f>SUM(F7:F12)</f>
        <v>0</v>
      </c>
      <c r="G13" s="630">
        <f>SUM(G7:G12)</f>
        <v>0</v>
      </c>
      <c r="I13" s="316">
        <f>COUNTIF(I7:I12,"ERROR")</f>
        <v>0</v>
      </c>
    </row>
    <row r="14" spans="1:7" ht="13.5" customHeight="1" thickTop="1">
      <c r="A14" s="152"/>
      <c r="B14" s="153"/>
      <c r="C14" s="1171" t="s">
        <v>615</v>
      </c>
      <c r="D14" s="1171"/>
      <c r="E14" s="1171"/>
      <c r="F14" s="153"/>
      <c r="G14" s="153"/>
    </row>
    <row r="15" spans="1:7" ht="36.75" customHeight="1" thickBot="1">
      <c r="A15" s="1224" t="str">
        <f>"Column C is the accumulated depreciation as of "&amp;Months!B4&amp;", based on the years of service in B above. Insert the percent of each category that is school related and the depreciation during the school year for each category. "&amp;"Land is considered fully depreciated in the first year it is used for educational programming."</f>
        <v>Column C is the accumulated depreciation as of June 30, 2022, based on the years of service in B above. Insert the percent of each category that is school related and the depreciation during the school year for each category. Land is considered fully depreciated in the first year it is used for educational programming.</v>
      </c>
      <c r="B15" s="1224"/>
      <c r="C15" s="1224"/>
      <c r="D15" s="1224"/>
      <c r="E15" s="1224"/>
      <c r="F15" s="1224"/>
      <c r="G15" s="1224"/>
    </row>
    <row r="16" spans="1:11" ht="34.5" customHeight="1" thickBot="1">
      <c r="A16" s="28" t="s">
        <v>5</v>
      </c>
      <c r="B16" s="149" t="s">
        <v>91</v>
      </c>
      <c r="C16" s="149" t="s">
        <v>234</v>
      </c>
      <c r="D16" s="117" t="str">
        <f>"C
"&amp;Months!B4&amp;" Balance"</f>
        <v>C
June 30, 2022 Balance</v>
      </c>
      <c r="E16" s="117" t="s">
        <v>232</v>
      </c>
      <c r="F16" s="117" t="s">
        <v>233</v>
      </c>
      <c r="G16" s="149" t="str">
        <f>"F
"&amp;Months!B5&amp;" Balance"</f>
        <v>F
June 30, 2023 Balance</v>
      </c>
      <c r="H16" s="578"/>
      <c r="I16" s="318" t="s">
        <v>291</v>
      </c>
      <c r="J16" s="318" t="s">
        <v>548</v>
      </c>
      <c r="K16" s="318" t="s">
        <v>549</v>
      </c>
    </row>
    <row r="17" spans="1:11" ht="13.5" customHeight="1">
      <c r="A17" s="54">
        <v>8</v>
      </c>
      <c r="B17" s="116" t="s">
        <v>127</v>
      </c>
      <c r="C17" s="805"/>
      <c r="D17" s="69"/>
      <c r="E17" s="66">
        <f>E7+D7-D17</f>
        <v>0</v>
      </c>
      <c r="F17" s="66"/>
      <c r="G17" s="464">
        <f>D17+E17-F17</f>
        <v>0</v>
      </c>
      <c r="I17" s="319">
        <f>IF(AND(E17&gt;0,C17=""),"ERROR","")</f>
      </c>
      <c r="J17" s="807"/>
      <c r="K17" s="807"/>
    </row>
    <row r="18" spans="1:11" ht="13.5" customHeight="1">
      <c r="A18" s="54">
        <v>9</v>
      </c>
      <c r="B18" s="214" t="s">
        <v>564</v>
      </c>
      <c r="C18" s="805"/>
      <c r="D18" s="69"/>
      <c r="E18" s="66"/>
      <c r="F18" s="66"/>
      <c r="G18" s="464">
        <f>D18+E18-F18</f>
        <v>0</v>
      </c>
      <c r="I18" s="320">
        <f>IF(AND(E18&gt;0,C18=""),"ERROR","")</f>
      </c>
      <c r="J18" s="567">
        <f>IF(AND(D8&gt;0,D18=""),"ERROR","")</f>
      </c>
      <c r="K18" s="567">
        <f>IF(G8-G18&gt;0,IF(E18&gt;0,"","ERROR"),"")</f>
      </c>
    </row>
    <row r="19" spans="1:11" ht="13.5" customHeight="1">
      <c r="A19" s="54">
        <v>10</v>
      </c>
      <c r="B19" s="214" t="s">
        <v>14</v>
      </c>
      <c r="C19" s="805"/>
      <c r="D19" s="69"/>
      <c r="E19" s="66"/>
      <c r="F19" s="66"/>
      <c r="G19" s="464">
        <f>D19+E19-F19</f>
        <v>0</v>
      </c>
      <c r="I19" s="320">
        <f>IF(AND(E19&gt;0,C19=""),"ERROR","")</f>
      </c>
      <c r="J19" s="567">
        <f>IF(AND(D9&gt;0,D19=""),"ERROR","")</f>
      </c>
      <c r="K19" s="567">
        <f>IF(G9-G19&gt;0,IF(E19&gt;0,"","ERROR"),"")</f>
      </c>
    </row>
    <row r="20" spans="1:11" ht="13.5" customHeight="1">
      <c r="A20" s="54">
        <v>11</v>
      </c>
      <c r="B20" s="214" t="s">
        <v>13</v>
      </c>
      <c r="C20" s="805"/>
      <c r="D20" s="69"/>
      <c r="E20" s="66"/>
      <c r="F20" s="66"/>
      <c r="G20" s="464">
        <f>D20+E20-F20</f>
        <v>0</v>
      </c>
      <c r="I20" s="320">
        <f>IF(AND(E20&gt;0,C20=""),"ERROR","")</f>
      </c>
      <c r="J20" s="567">
        <f>IF(AND(D10&gt;0,D20=""),"ERROR","")</f>
      </c>
      <c r="K20" s="567">
        <f>IF(G10-G20&gt;0,IF(E20&gt;0,"","ERROR"),"")</f>
      </c>
    </row>
    <row r="21" spans="1:11" ht="13.5" customHeight="1" thickBot="1">
      <c r="A21" s="54">
        <v>12</v>
      </c>
      <c r="B21" s="214" t="s">
        <v>15</v>
      </c>
      <c r="C21" s="805"/>
      <c r="D21" s="69"/>
      <c r="E21" s="66"/>
      <c r="F21" s="66"/>
      <c r="G21" s="464">
        <f>D21+E21-F21</f>
        <v>0</v>
      </c>
      <c r="I21" s="320">
        <f>IF(AND(E21&gt;0,C21=""),"ERROR","")</f>
      </c>
      <c r="J21" s="567">
        <f>IF(AND(D11&gt;0,D21=""),"ERROR","")</f>
      </c>
      <c r="K21" s="567">
        <f>IF(G11-G21&gt;0,IF(E21&gt;0,"","ERROR"),"")</f>
      </c>
    </row>
    <row r="22" spans="1:11" ht="13.5" customHeight="1" thickBot="1">
      <c r="A22" s="59">
        <v>13</v>
      </c>
      <c r="B22" s="216" t="s">
        <v>125</v>
      </c>
      <c r="C22" s="419"/>
      <c r="D22" s="629">
        <f>SUM(D17:D21)</f>
        <v>0</v>
      </c>
      <c r="E22" s="629">
        <f>SUM(E17:E21)</f>
        <v>0</v>
      </c>
      <c r="F22" s="629">
        <f>SUM(F17:F21)</f>
        <v>0</v>
      </c>
      <c r="G22" s="630">
        <f>SUM(G17:G21)</f>
        <v>0</v>
      </c>
      <c r="I22" s="621">
        <f>COUNTIF(I17:I21,"ERROR")</f>
        <v>0</v>
      </c>
      <c r="J22" s="621">
        <f>COUNTIF(J17:J21,"ERROR")</f>
        <v>0</v>
      </c>
      <c r="K22" s="621">
        <f>COUNTIF(K17:K21,"ERROR")</f>
        <v>0</v>
      </c>
    </row>
    <row r="23" spans="1:9" ht="13.5" customHeight="1" thickBot="1" thickTop="1">
      <c r="A23" s="152"/>
      <c r="B23" s="153"/>
      <c r="C23" s="1083" t="s">
        <v>130</v>
      </c>
      <c r="D23" s="1083"/>
      <c r="E23" s="1083"/>
      <c r="F23" s="153"/>
      <c r="G23" s="153"/>
      <c r="I23" s="317">
        <f>COUNTIF(I7:K21,"ERROR")</f>
        <v>0</v>
      </c>
    </row>
    <row r="24" spans="1:7" ht="36.75" customHeight="1">
      <c r="A24" s="1160" t="s">
        <v>764</v>
      </c>
      <c r="B24" s="1160"/>
      <c r="C24" s="1160"/>
      <c r="D24" s="1160"/>
      <c r="E24" s="1160"/>
      <c r="F24" s="1160"/>
      <c r="G24" s="1160"/>
    </row>
    <row r="25" spans="1:7" ht="35.25" customHeight="1">
      <c r="A25" s="63" t="s">
        <v>5</v>
      </c>
      <c r="B25" s="61" t="s">
        <v>199</v>
      </c>
      <c r="C25" s="934"/>
      <c r="D25" s="61" t="s">
        <v>235</v>
      </c>
      <c r="E25" s="10"/>
      <c r="F25" s="10"/>
      <c r="G25" s="10"/>
    </row>
    <row r="26" spans="1:7" ht="13.5" customHeight="1">
      <c r="A26" s="126">
        <v>14</v>
      </c>
      <c r="B26" s="922" t="str">
        <f>"Total "&amp;Months!B1&amp;" Payments"</f>
        <v>Total 2022-23 Payments</v>
      </c>
      <c r="C26" s="923"/>
      <c r="D26" s="485">
        <f>E13-F12</f>
        <v>0</v>
      </c>
      <c r="E26" s="10"/>
      <c r="F26" s="10"/>
      <c r="G26" s="10"/>
    </row>
    <row r="27" spans="1:7" ht="15" customHeight="1" thickBot="1">
      <c r="A27" s="99">
        <v>15</v>
      </c>
      <c r="B27" s="607" t="str">
        <f>Months!B4&amp;" Accounts Payable"</f>
        <v>June 30, 2022 Accounts Payable</v>
      </c>
      <c r="C27" s="925"/>
      <c r="D27" s="94"/>
      <c r="E27" s="10"/>
      <c r="F27" s="10"/>
      <c r="G27" s="10"/>
    </row>
    <row r="28" spans="1:7" ht="15" customHeight="1" thickBot="1">
      <c r="A28" s="100">
        <v>16</v>
      </c>
      <c r="B28" s="270" t="s">
        <v>211</v>
      </c>
      <c r="C28" s="119"/>
      <c r="D28" s="915">
        <f>D26+D27</f>
        <v>0</v>
      </c>
      <c r="E28" s="10"/>
      <c r="F28" s="10"/>
      <c r="G28" s="10"/>
    </row>
    <row r="29" spans="1:7" ht="13.5" customHeight="1">
      <c r="A29" s="64">
        <v>17</v>
      </c>
      <c r="B29" s="920" t="str">
        <f>Months!B7&amp;" Cash Payments"</f>
        <v>July 2022 Cash Payments</v>
      </c>
      <c r="C29" s="921"/>
      <c r="D29" s="74"/>
      <c r="E29" s="10"/>
      <c r="F29" s="10"/>
      <c r="G29" s="10"/>
    </row>
    <row r="30" spans="1:7" ht="13.5" customHeight="1">
      <c r="A30" s="54">
        <v>18</v>
      </c>
      <c r="B30" s="918" t="str">
        <f>Months!B8&amp;" Cash Payments"</f>
        <v>August 2022 Cash Payments</v>
      </c>
      <c r="C30" s="919"/>
      <c r="D30" s="74"/>
      <c r="E30" s="10"/>
      <c r="F30" s="10"/>
      <c r="G30" s="10"/>
    </row>
    <row r="31" spans="1:7" ht="13.5" customHeight="1">
      <c r="A31" s="54">
        <v>19</v>
      </c>
      <c r="B31" s="918" t="str">
        <f>Months!B9&amp;" Cash Payments"</f>
        <v>September 2022 Cash Payments</v>
      </c>
      <c r="C31" s="919"/>
      <c r="D31" s="66"/>
      <c r="E31" s="10"/>
      <c r="F31" s="10"/>
      <c r="G31" s="10"/>
    </row>
    <row r="32" spans="1:7" ht="13.5" customHeight="1">
      <c r="A32" s="54">
        <v>20</v>
      </c>
      <c r="B32" s="918" t="str">
        <f>Months!B10&amp;" Cash Payments"</f>
        <v>October 2022 Cash Payments</v>
      </c>
      <c r="C32" s="919"/>
      <c r="D32" s="66"/>
      <c r="E32" s="10"/>
      <c r="F32" s="10"/>
      <c r="G32" s="10"/>
    </row>
    <row r="33" spans="1:7" ht="13.5" customHeight="1">
      <c r="A33" s="54">
        <v>21</v>
      </c>
      <c r="B33" s="918" t="str">
        <f>Months!B11&amp;" Cash Payments"</f>
        <v>November 2022 Cash Payments</v>
      </c>
      <c r="C33" s="919"/>
      <c r="D33" s="66"/>
      <c r="E33" s="10"/>
      <c r="F33" s="10"/>
      <c r="G33" s="10"/>
    </row>
    <row r="34" spans="1:7" ht="13.5" customHeight="1">
      <c r="A34" s="54">
        <v>22</v>
      </c>
      <c r="B34" s="918" t="str">
        <f>Months!B12&amp;" Cash Payments"</f>
        <v>December 2022 Cash Payments</v>
      </c>
      <c r="C34" s="919"/>
      <c r="D34" s="66"/>
      <c r="E34" s="10"/>
      <c r="F34" s="10"/>
      <c r="G34" s="10"/>
    </row>
    <row r="35" spans="1:7" ht="13.5" customHeight="1">
      <c r="A35" s="54">
        <v>23</v>
      </c>
      <c r="B35" s="918" t="str">
        <f>Months!B13&amp;" Cash Payments"</f>
        <v>January 2023 Cash Payments</v>
      </c>
      <c r="C35" s="919"/>
      <c r="D35" s="66"/>
      <c r="E35" s="10"/>
      <c r="F35" s="10"/>
      <c r="G35" s="10"/>
    </row>
    <row r="36" spans="1:7" ht="13.5" customHeight="1">
      <c r="A36" s="54">
        <v>24</v>
      </c>
      <c r="B36" s="918" t="str">
        <f>Months!B14&amp;" Cash Payments"</f>
        <v>February 2023 Cash Payments</v>
      </c>
      <c r="C36" s="919"/>
      <c r="D36" s="66"/>
      <c r="E36" s="10"/>
      <c r="F36" s="10"/>
      <c r="G36" s="10"/>
    </row>
    <row r="37" spans="1:7" ht="13.5" customHeight="1">
      <c r="A37" s="54">
        <v>25</v>
      </c>
      <c r="B37" s="918" t="str">
        <f>Months!B15&amp;" Cash Payments"</f>
        <v>March 2023 Cash Payments</v>
      </c>
      <c r="C37" s="919"/>
      <c r="D37" s="66"/>
      <c r="E37" s="10"/>
      <c r="F37" s="10"/>
      <c r="G37" s="10"/>
    </row>
    <row r="38" spans="1:7" ht="13.5" customHeight="1">
      <c r="A38" s="54">
        <v>26</v>
      </c>
      <c r="B38" s="918" t="str">
        <f>Months!B16&amp;" Cash Payments"</f>
        <v>April 2023 Cash Payments</v>
      </c>
      <c r="C38" s="919"/>
      <c r="D38" s="66"/>
      <c r="E38" s="10"/>
      <c r="F38" s="10"/>
      <c r="G38" s="10"/>
    </row>
    <row r="39" spans="1:7" ht="13.5" customHeight="1">
      <c r="A39" s="54">
        <v>27</v>
      </c>
      <c r="B39" s="918" t="str">
        <f>Months!B17&amp;" Cash Payments"</f>
        <v>May 2023 Cash Payments</v>
      </c>
      <c r="C39" s="919"/>
      <c r="D39" s="66"/>
      <c r="E39" s="10"/>
      <c r="F39" s="10"/>
      <c r="G39" s="10"/>
    </row>
    <row r="40" spans="1:7" ht="13.5" customHeight="1" thickBot="1">
      <c r="A40" s="64">
        <v>28</v>
      </c>
      <c r="B40" s="918" t="str">
        <f>Months!B18&amp;" Cash Payments"</f>
        <v>June 2023 Cash Payments</v>
      </c>
      <c r="C40" s="919"/>
      <c r="D40" s="74"/>
      <c r="E40" s="10"/>
      <c r="F40" s="10"/>
      <c r="G40" s="10"/>
    </row>
    <row r="41" spans="1:7" ht="13.5" customHeight="1" thickBot="1">
      <c r="A41" s="170">
        <v>29</v>
      </c>
      <c r="B41" s="219" t="s">
        <v>30</v>
      </c>
      <c r="C41" s="914"/>
      <c r="D41" s="221">
        <f>SUM(D29:D40)</f>
        <v>0</v>
      </c>
      <c r="E41" s="10"/>
      <c r="F41" s="10"/>
      <c r="G41" s="10"/>
    </row>
    <row r="42" spans="1:7" ht="15" customHeight="1" thickBot="1">
      <c r="A42" s="222">
        <v>30</v>
      </c>
      <c r="B42" s="926" t="str">
        <f>Months!C5&amp;" ACCOUNTS PAYABLE"</f>
        <v>JUNE 30, 2023 ACCOUNTS PAYABLE</v>
      </c>
      <c r="C42" s="927"/>
      <c r="D42" s="266">
        <f>D28-D41</f>
        <v>0</v>
      </c>
      <c r="E42" s="10"/>
      <c r="F42" s="10"/>
      <c r="G42" s="10"/>
    </row>
    <row r="43" spans="5:7" ht="15" customHeight="1" thickTop="1">
      <c r="E43" s="10"/>
      <c r="F43" s="10"/>
      <c r="G43" s="10"/>
    </row>
  </sheetData>
  <sheetProtection password="EBD1" sheet="1"/>
  <mergeCells count="9">
    <mergeCell ref="A24:G24"/>
    <mergeCell ref="C23:E23"/>
    <mergeCell ref="A15:G15"/>
    <mergeCell ref="A1:G1"/>
    <mergeCell ref="A2:G2"/>
    <mergeCell ref="A3:G3"/>
    <mergeCell ref="A5:G5"/>
    <mergeCell ref="C4:E4"/>
    <mergeCell ref="C14:E14"/>
  </mergeCells>
  <conditionalFormatting sqref="I7:I12">
    <cfRule type="containsText" priority="4" dxfId="0" operator="containsText" stopIfTrue="1" text="ERROR">
      <formula>NOT(ISERROR(SEARCH("ERROR",I7)))</formula>
    </cfRule>
  </conditionalFormatting>
  <conditionalFormatting sqref="I17:K21">
    <cfRule type="containsText" priority="1" dxfId="0" operator="containsText" stopIfTrue="1" text="ERROR">
      <formula>NOT(ISERROR(SEARCH("ERROR",I17)))</formula>
    </cfRule>
  </conditionalFormatting>
  <dataValidations count="10">
    <dataValidation allowBlank="1" showInputMessage="1" showErrorMessage="1" prompt="Insert the total depreciation expense taken for each asset category as of the beginning of the school year." sqref="D18:D21"/>
    <dataValidation allowBlank="1" showInputMessage="1" showErrorMessage="1" prompt="Insert the anticipated years of service for each asset category." sqref="C8:C10"/>
    <dataValidation allowBlank="1" showInputMessage="1" showErrorMessage="1" prompt="Insert the percent of each category that is used for K-12 educational programming.  if not fully used for educational programming, an allocation method should be used." sqref="C18:C21"/>
    <dataValidation allowBlank="1" showInputMessage="1" showErrorMessage="1" prompt="If any amounts are included in Column E, Lines 1-5, insert the amount of depreciation included in Columns C and D, Lines 8-12 for the asset that will be disposed of." sqref="F17:F21"/>
    <dataValidation allowBlank="1" showInputMessage="1" showErrorMessage="1" prompt="Insert the additional amount of depreciation expense that the school will have for the asset category during the year." sqref="E18:E21"/>
    <dataValidation allowBlank="1" showInputMessage="1" showErrorMessage="1" prompt="Schools new to the MPCP, RPCP, WPCP, and SNSP must insert 0 here. Schools that previously participated in the MPCP, RPCP, WPCP or SNSP should insert the depreciation taken on land as of the beginning of the school year." sqref="D17"/>
    <dataValidation allowBlank="1" showInputMessage="1" showErrorMessage="1" prompt="If all land is NOT being used for educational programming at least partially, decrease this amount by the original purchase price of that land." sqref="E17"/>
    <dataValidation allowBlank="1" showInputMessage="1" showErrorMessage="1" prompt="Insert the remaining term of the lease at the beginning of the school year." sqref="C11"/>
    <dataValidation allowBlank="1" showInputMessage="1" showErrorMessage="1" prompt="Insert the percent of each category that is used for K-12 educational programming. If not fully used for educational programming, an allocation method should be used." sqref="C17"/>
    <dataValidation allowBlank="1" showInputMessage="1" showErrorMessage="1" prompt="Insert the total purchase price for all assets in each category as of the specified date." sqref="D7:D12"/>
  </dataValidations>
  <printOptions horizontalCentered="1"/>
  <pageMargins left="0.33" right="0.24" top="0.36" bottom="0.21" header="0.17" footer="0.17"/>
  <pageSetup firstPageNumber="1" useFirstPageNumber="1" fitToHeight="1" fitToWidth="1" horizontalDpi="600" verticalDpi="600" orientation="portrait" r:id="rId1"/>
  <headerFooter alignWithMargins="0">
    <oddHeader>&amp;LPI-PCP-14&amp;RPage 14</oddHeader>
  </headerFooter>
</worksheet>
</file>

<file path=xl/worksheets/sheet2.xml><?xml version="1.0" encoding="utf-8"?>
<worksheet xmlns="http://schemas.openxmlformats.org/spreadsheetml/2006/main" xmlns:r="http://schemas.openxmlformats.org/officeDocument/2006/relationships">
  <dimension ref="A1:C39"/>
  <sheetViews>
    <sheetView showGridLines="0" workbookViewId="0" topLeftCell="A1">
      <selection activeCell="A8" sqref="A8"/>
    </sheetView>
  </sheetViews>
  <sheetFormatPr defaultColWidth="9.140625" defaultRowHeight="12.75"/>
  <cols>
    <col min="1" max="1" width="96.421875" style="3" customWidth="1"/>
    <col min="2" max="16384" width="9.140625" style="185" customWidth="1"/>
  </cols>
  <sheetData>
    <row r="1" spans="1:3" s="1" customFormat="1" ht="12.75">
      <c r="A1" s="401" t="s">
        <v>481</v>
      </c>
      <c r="B1" s="348"/>
      <c r="C1" s="348"/>
    </row>
    <row r="2" ht="12">
      <c r="A2" s="114"/>
    </row>
    <row r="3" ht="25.5">
      <c r="A3" s="647" t="s">
        <v>482</v>
      </c>
    </row>
    <row r="4" ht="12">
      <c r="A4" s="114"/>
    </row>
    <row r="5" ht="12.75">
      <c r="A5" s="111" t="s">
        <v>372</v>
      </c>
    </row>
    <row r="6" ht="12">
      <c r="A6" s="114"/>
    </row>
    <row r="7" ht="12.75">
      <c r="A7" s="3" t="s">
        <v>752</v>
      </c>
    </row>
    <row r="8" ht="12">
      <c r="A8" s="114"/>
    </row>
    <row r="9" ht="50.25">
      <c r="A9" s="3" t="s">
        <v>868</v>
      </c>
    </row>
    <row r="10" ht="12">
      <c r="A10" s="114"/>
    </row>
    <row r="11" ht="40.5" customHeight="1">
      <c r="A11" s="6" t="s">
        <v>563</v>
      </c>
    </row>
    <row r="12" ht="12">
      <c r="A12" s="114"/>
    </row>
    <row r="13" ht="171" customHeight="1">
      <c r="A13" s="3" t="s">
        <v>753</v>
      </c>
    </row>
    <row r="14" ht="152.25" customHeight="1">
      <c r="A14" s="3" t="s">
        <v>861</v>
      </c>
    </row>
    <row r="15" ht="12">
      <c r="A15" s="114"/>
    </row>
    <row r="16" ht="210.75" customHeight="1">
      <c r="A16" s="3" t="s">
        <v>782</v>
      </c>
    </row>
    <row r="17" ht="210" customHeight="1">
      <c r="A17" s="3" t="s">
        <v>862</v>
      </c>
    </row>
    <row r="18" ht="12">
      <c r="A18" s="114"/>
    </row>
    <row r="19" ht="345" customHeight="1">
      <c r="A19" s="3" t="s">
        <v>869</v>
      </c>
    </row>
    <row r="21" ht="37.5">
      <c r="A21" s="3" t="s">
        <v>800</v>
      </c>
    </row>
    <row r="23" ht="63">
      <c r="A23" s="3" t="s">
        <v>870</v>
      </c>
    </row>
    <row r="25" ht="85.5" customHeight="1">
      <c r="A25" s="3" t="s">
        <v>675</v>
      </c>
    </row>
    <row r="26" ht="12">
      <c r="A26" s="185"/>
    </row>
    <row r="27" ht="72" customHeight="1">
      <c r="A27" s="3" t="s">
        <v>695</v>
      </c>
    </row>
    <row r="28" ht="12">
      <c r="A28" s="185"/>
    </row>
    <row r="29" ht="66" customHeight="1">
      <c r="A29" s="3" t="s">
        <v>754</v>
      </c>
    </row>
    <row r="30" ht="12">
      <c r="A30" s="185"/>
    </row>
    <row r="31" ht="51" customHeight="1">
      <c r="A31" s="3" t="s">
        <v>676</v>
      </c>
    </row>
    <row r="33" ht="63">
      <c r="A33" s="3" t="s">
        <v>565</v>
      </c>
    </row>
    <row r="35" ht="79.5" customHeight="1">
      <c r="A35" s="3" t="s">
        <v>684</v>
      </c>
    </row>
    <row r="37" ht="57" customHeight="1">
      <c r="A37" s="3" t="s">
        <v>704</v>
      </c>
    </row>
    <row r="39" ht="12">
      <c r="A39" s="3" t="s">
        <v>448</v>
      </c>
    </row>
  </sheetData>
  <sheetProtection password="EBD1" sheet="1"/>
  <printOptions/>
  <pageMargins left="0.39" right="0.35" top="0.6" bottom="0.82" header="0.39"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tabColor theme="9" tint="0.5999900102615356"/>
    <pageSetUpPr fitToPage="1"/>
  </sheetPr>
  <dimension ref="A1:I33"/>
  <sheetViews>
    <sheetView showGridLines="0" showOutlineSymbols="0" workbookViewId="0" topLeftCell="C1">
      <pane ySplit="7" topLeftCell="A8" activePane="bottomLeft" state="frozen"/>
      <selection pane="topLeft" activeCell="B11" sqref="B11"/>
      <selection pane="bottomLeft" activeCell="I7" sqref="I7"/>
    </sheetView>
  </sheetViews>
  <sheetFormatPr defaultColWidth="8.8515625" defaultRowHeight="12.75"/>
  <cols>
    <col min="1" max="1" width="3.140625" style="21" bestFit="1" customWidth="1"/>
    <col min="2" max="2" width="20.140625" style="8" customWidth="1"/>
    <col min="3" max="4" width="24.57421875" style="8" customWidth="1"/>
    <col min="5" max="5" width="22.00390625" style="8" customWidth="1"/>
    <col min="6" max="6" width="28.421875" style="8" customWidth="1"/>
    <col min="7" max="7" width="13.57421875" style="8" customWidth="1"/>
    <col min="8" max="8" width="8.8515625" style="10" customWidth="1"/>
    <col min="9" max="16384" width="8.8515625" style="8" customWidth="1"/>
  </cols>
  <sheetData>
    <row r="1" spans="1:7" ht="12.75" customHeight="1">
      <c r="A1" s="1035">
        <f>'Cover Page'!A9</f>
        <v>0</v>
      </c>
      <c r="B1" s="1035"/>
      <c r="C1" s="1035"/>
      <c r="D1" s="1035"/>
      <c r="E1" s="1035"/>
      <c r="F1" s="1035"/>
      <c r="G1" s="1035"/>
    </row>
    <row r="2" spans="1:7" ht="11.25">
      <c r="A2" s="1036" t="s">
        <v>731</v>
      </c>
      <c r="B2" s="1036"/>
      <c r="C2" s="1036"/>
      <c r="D2" s="1036"/>
      <c r="E2" s="1036"/>
      <c r="F2" s="1036"/>
      <c r="G2" s="1036"/>
    </row>
    <row r="3" spans="1:7" ht="12" thickBot="1">
      <c r="A3" s="1109" t="str">
        <f>'Required Attachments'!A3</f>
        <v>Budget for the period from July 1, 2022 to June 30, 2023</v>
      </c>
      <c r="B3" s="1109"/>
      <c r="C3" s="1109"/>
      <c r="D3" s="1109"/>
      <c r="E3" s="1109"/>
      <c r="F3" s="1109"/>
      <c r="G3" s="1109"/>
    </row>
    <row r="4" spans="1:7" ht="15" customHeight="1" thickTop="1">
      <c r="A4" s="139"/>
      <c r="B4" s="140"/>
      <c r="C4" s="140"/>
      <c r="D4" s="1171" t="s">
        <v>294</v>
      </c>
      <c r="E4" s="1171"/>
      <c r="F4" s="140"/>
      <c r="G4" s="140"/>
    </row>
    <row r="5" spans="1:7" s="138" customFormat="1" ht="39.75" customHeight="1">
      <c r="A5" s="1141" t="s">
        <v>656</v>
      </c>
      <c r="B5" s="1141"/>
      <c r="C5" s="1141"/>
      <c r="D5" s="1141"/>
      <c r="E5" s="1141"/>
      <c r="F5" s="1141"/>
      <c r="G5" s="1141"/>
    </row>
    <row r="6" spans="1:7" s="386" customFormat="1" ht="15" customHeight="1">
      <c r="A6" s="141"/>
      <c r="B6" s="142" t="s">
        <v>6</v>
      </c>
      <c r="C6" s="142" t="s">
        <v>7</v>
      </c>
      <c r="D6" s="142" t="s">
        <v>8</v>
      </c>
      <c r="E6" s="142" t="s">
        <v>9</v>
      </c>
      <c r="F6" s="142" t="s">
        <v>10</v>
      </c>
      <c r="G6" s="350" t="s">
        <v>11</v>
      </c>
    </row>
    <row r="7" spans="1:8" s="129" customFormat="1" ht="39.75" customHeight="1">
      <c r="A7" s="179" t="s">
        <v>5</v>
      </c>
      <c r="B7" s="53" t="s">
        <v>77</v>
      </c>
      <c r="C7" s="53" t="s">
        <v>80</v>
      </c>
      <c r="D7" s="53" t="s">
        <v>74</v>
      </c>
      <c r="E7" s="53" t="s">
        <v>75</v>
      </c>
      <c r="F7" s="53" t="s">
        <v>76</v>
      </c>
      <c r="G7" s="61" t="s">
        <v>379</v>
      </c>
      <c r="H7" s="137"/>
    </row>
    <row r="8" spans="1:8" s="388" customFormat="1" ht="30" customHeight="1">
      <c r="A8" s="180">
        <v>1</v>
      </c>
      <c r="B8" s="136"/>
      <c r="C8" s="136"/>
      <c r="D8" s="136"/>
      <c r="E8" s="136"/>
      <c r="F8" s="136"/>
      <c r="G8" s="143"/>
      <c r="H8" s="382"/>
    </row>
    <row r="9" spans="1:8" s="388" customFormat="1" ht="30" customHeight="1">
      <c r="A9" s="180">
        <v>2</v>
      </c>
      <c r="B9" s="136"/>
      <c r="C9" s="136"/>
      <c r="D9" s="136"/>
      <c r="E9" s="136"/>
      <c r="F9" s="136"/>
      <c r="G9" s="143"/>
      <c r="H9" s="382"/>
    </row>
    <row r="10" spans="1:8" s="388" customFormat="1" ht="30" customHeight="1">
      <c r="A10" s="180">
        <v>3</v>
      </c>
      <c r="B10" s="136"/>
      <c r="C10" s="136"/>
      <c r="D10" s="136"/>
      <c r="E10" s="136"/>
      <c r="F10" s="136"/>
      <c r="G10" s="143"/>
      <c r="H10" s="382"/>
    </row>
    <row r="11" spans="1:8" s="388" customFormat="1" ht="30" customHeight="1">
      <c r="A11" s="180">
        <v>4</v>
      </c>
      <c r="B11" s="136"/>
      <c r="C11" s="136"/>
      <c r="D11" s="136"/>
      <c r="E11" s="136"/>
      <c r="F11" s="136"/>
      <c r="G11" s="143"/>
      <c r="H11" s="382"/>
    </row>
    <row r="12" spans="1:8" s="388" customFormat="1" ht="30" customHeight="1">
      <c r="A12" s="180">
        <v>5</v>
      </c>
      <c r="B12" s="136"/>
      <c r="C12" s="136"/>
      <c r="D12" s="136"/>
      <c r="E12" s="136"/>
      <c r="F12" s="136"/>
      <c r="G12" s="143"/>
      <c r="H12" s="382"/>
    </row>
    <row r="13" spans="1:8" s="388" customFormat="1" ht="30" customHeight="1">
      <c r="A13" s="180">
        <v>6</v>
      </c>
      <c r="B13" s="136"/>
      <c r="C13" s="136"/>
      <c r="D13" s="136"/>
      <c r="E13" s="136"/>
      <c r="F13" s="136"/>
      <c r="G13" s="143"/>
      <c r="H13" s="382"/>
    </row>
    <row r="14" spans="1:8" s="388" customFormat="1" ht="30" customHeight="1">
      <c r="A14" s="180">
        <v>7</v>
      </c>
      <c r="B14" s="136"/>
      <c r="C14" s="136"/>
      <c r="D14" s="136"/>
      <c r="E14" s="136"/>
      <c r="F14" s="136"/>
      <c r="G14" s="143"/>
      <c r="H14" s="382"/>
    </row>
    <row r="15" spans="1:8" s="388" customFormat="1" ht="30" customHeight="1">
      <c r="A15" s="180">
        <v>8</v>
      </c>
      <c r="B15" s="136"/>
      <c r="C15" s="136"/>
      <c r="D15" s="136"/>
      <c r="E15" s="136"/>
      <c r="F15" s="136"/>
      <c r="G15" s="143"/>
      <c r="H15" s="382"/>
    </row>
    <row r="16" spans="1:8" s="388" customFormat="1" ht="30" customHeight="1">
      <c r="A16" s="180">
        <v>9</v>
      </c>
      <c r="B16" s="136"/>
      <c r="C16" s="136"/>
      <c r="D16" s="136"/>
      <c r="E16" s="136"/>
      <c r="F16" s="136"/>
      <c r="G16" s="143"/>
      <c r="H16" s="382"/>
    </row>
    <row r="17" spans="1:8" s="388" customFormat="1" ht="30" customHeight="1" thickBot="1">
      <c r="A17" s="349">
        <v>10</v>
      </c>
      <c r="B17" s="361"/>
      <c r="C17" s="361"/>
      <c r="D17" s="361"/>
      <c r="E17" s="361"/>
      <c r="F17" s="361"/>
      <c r="G17" s="362"/>
      <c r="H17" s="382"/>
    </row>
    <row r="18" spans="1:9" ht="10.5" thickTop="1">
      <c r="A18" s="79"/>
      <c r="B18" s="79"/>
      <c r="C18" s="50"/>
      <c r="D18" s="1225" t="s">
        <v>263</v>
      </c>
      <c r="E18" s="1225"/>
      <c r="F18" s="73"/>
      <c r="G18" s="79"/>
      <c r="H18" s="302"/>
      <c r="I18" s="303"/>
    </row>
    <row r="19" spans="1:9" ht="24.75" customHeight="1">
      <c r="A19" s="420"/>
      <c r="B19" s="1226" t="s">
        <v>381</v>
      </c>
      <c r="C19" s="1226"/>
      <c r="D19" s="1226"/>
      <c r="E19" s="1226"/>
      <c r="F19" s="1226"/>
      <c r="G19" s="1227" t="str">
        <f>IF('SCH 5-1 Fixed Assets'!G9&gt;5000,"NOT REQUIRED","REQUIRED")</f>
        <v>REQUIRED</v>
      </c>
      <c r="H19" s="304"/>
      <c r="I19" s="178"/>
    </row>
    <row r="20" spans="1:9" ht="34.5" customHeight="1">
      <c r="A20" s="180">
        <v>11</v>
      </c>
      <c r="B20" s="1217"/>
      <c r="C20" s="1097"/>
      <c r="D20" s="1097"/>
      <c r="E20" s="1097"/>
      <c r="F20" s="1097"/>
      <c r="G20" s="1229"/>
      <c r="I20" s="290" t="str">
        <f>IF(AND(G19="REQUIRED",B20=""),"ERROR","OK")</f>
        <v>ERROR</v>
      </c>
    </row>
    <row r="21" spans="1:9" ht="26.25" customHeight="1">
      <c r="A21" s="420"/>
      <c r="B21" s="1226" t="s">
        <v>380</v>
      </c>
      <c r="C21" s="1226"/>
      <c r="D21" s="1226"/>
      <c r="E21" s="1226"/>
      <c r="F21" s="1226"/>
      <c r="G21" s="1227" t="str">
        <f>IF('SCH 5-1 Fixed Assets'!G10&gt;5000,"NOT REQUIRED","REQUIRED")</f>
        <v>REQUIRED</v>
      </c>
      <c r="H21" s="304"/>
      <c r="I21" s="178"/>
    </row>
    <row r="22" spans="1:9" ht="34.5" customHeight="1" thickBot="1">
      <c r="A22" s="349">
        <v>12</v>
      </c>
      <c r="B22" s="1219"/>
      <c r="C22" s="1105"/>
      <c r="D22" s="1105"/>
      <c r="E22" s="1105"/>
      <c r="F22" s="1105"/>
      <c r="G22" s="1228"/>
      <c r="H22" s="450"/>
      <c r="I22" s="290" t="str">
        <f>IF(AND(G21="REQUIRED",B22=""),"ERROR","OK")</f>
        <v>ERROR</v>
      </c>
    </row>
    <row r="23" spans="2:9" ht="10.5" thickTop="1">
      <c r="B23" s="10"/>
      <c r="C23" s="10"/>
      <c r="D23" s="10"/>
      <c r="E23" s="10"/>
      <c r="F23" s="10"/>
      <c r="G23" s="10"/>
      <c r="H23" s="178"/>
      <c r="I23" s="178"/>
    </row>
    <row r="24" spans="2:7" ht="9.75">
      <c r="B24" s="10"/>
      <c r="C24" s="10"/>
      <c r="D24" s="10"/>
      <c r="E24" s="10"/>
      <c r="F24" s="10"/>
      <c r="G24" s="10"/>
    </row>
    <row r="27" spans="3:5" ht="19.5" hidden="1">
      <c r="C27" s="388" t="s">
        <v>82</v>
      </c>
      <c r="E27" s="8" t="s">
        <v>97</v>
      </c>
    </row>
    <row r="28" spans="3:5" ht="9.75" hidden="1">
      <c r="C28" s="8" t="s">
        <v>480</v>
      </c>
      <c r="E28" s="8" t="s">
        <v>96</v>
      </c>
    </row>
    <row r="29" spans="3:5" ht="19.5" hidden="1">
      <c r="C29" s="388" t="s">
        <v>83</v>
      </c>
      <c r="E29" s="8" t="s">
        <v>78</v>
      </c>
    </row>
    <row r="30" spans="3:5" ht="19.5" hidden="1">
      <c r="C30" s="388" t="s">
        <v>84</v>
      </c>
      <c r="E30" s="8" t="s">
        <v>79</v>
      </c>
    </row>
    <row r="31" spans="3:5" ht="9.75" hidden="1">
      <c r="C31" s="388" t="s">
        <v>81</v>
      </c>
      <c r="E31" s="8" t="s">
        <v>833</v>
      </c>
    </row>
    <row r="32" ht="9.75" hidden="1">
      <c r="C32" s="388" t="s">
        <v>831</v>
      </c>
    </row>
    <row r="33" ht="9.75" hidden="1">
      <c r="C33" s="388" t="s">
        <v>832</v>
      </c>
    </row>
  </sheetData>
  <sheetProtection password="EBD1" sheet="1"/>
  <mergeCells count="12">
    <mergeCell ref="A1:G1"/>
    <mergeCell ref="A5:G5"/>
    <mergeCell ref="G21:G22"/>
    <mergeCell ref="G19:G20"/>
    <mergeCell ref="B19:F19"/>
    <mergeCell ref="B20:F20"/>
    <mergeCell ref="D18:E18"/>
    <mergeCell ref="D4:E4"/>
    <mergeCell ref="B21:F21"/>
    <mergeCell ref="B22:F22"/>
    <mergeCell ref="A2:G2"/>
    <mergeCell ref="A3:G3"/>
  </mergeCells>
  <conditionalFormatting sqref="I22 I20">
    <cfRule type="containsText" priority="1" dxfId="0" operator="containsText" stopIfTrue="1" text="ERROR">
      <formula>NOT(ISERROR(SEARCH("ERROR",I20)))</formula>
    </cfRule>
  </conditionalFormatting>
  <dataValidations count="3">
    <dataValidation type="list" allowBlank="1" showInputMessage="1" showErrorMessage="1" sqref="E8:E17">
      <formula1>$E$27:$E$31</formula1>
    </dataValidation>
    <dataValidation type="list" allowBlank="1" showInputMessage="1" showErrorMessage="1" sqref="G8:G17">
      <formula1>"Yes,No"</formula1>
    </dataValidation>
    <dataValidation type="list" allowBlank="1" showInputMessage="1" showErrorMessage="1" sqref="C8:C17">
      <formula1>$C$27:$C$33</formula1>
    </dataValidation>
  </dataValidations>
  <printOptions/>
  <pageMargins left="0.23" right="0.22" top="0.36" bottom="0.27" header="0.19" footer="0.2"/>
  <pageSetup firstPageNumber="1" useFirstPageNumber="1" fitToHeight="1" fitToWidth="1" horizontalDpi="600" verticalDpi="600" orientation="landscape" r:id="rId4"/>
  <headerFooter alignWithMargins="0">
    <oddHeader>&amp;LPage 15&amp;RPI-PCP-14</oddHeader>
  </headerFooter>
  <drawing r:id="rId3"/>
  <legacyDrawing r:id="rId2"/>
</worksheet>
</file>

<file path=xl/worksheets/sheet21.xml><?xml version="1.0" encoding="utf-8"?>
<worksheet xmlns="http://schemas.openxmlformats.org/spreadsheetml/2006/main" xmlns:r="http://schemas.openxmlformats.org/officeDocument/2006/relationships">
  <sheetPr>
    <tabColor theme="9" tint="0.5999900102615356"/>
    <pageSetUpPr fitToPage="1"/>
  </sheetPr>
  <dimension ref="A1:M40"/>
  <sheetViews>
    <sheetView showGridLines="0" showOutlineSymbols="0" zoomScaleSheetLayoutView="100" workbookViewId="0" topLeftCell="A1">
      <selection activeCell="A2" sqref="A2:G2"/>
    </sheetView>
  </sheetViews>
  <sheetFormatPr defaultColWidth="8.8515625" defaultRowHeight="15" customHeight="1"/>
  <cols>
    <col min="1" max="1" width="3.421875" style="408" customWidth="1"/>
    <col min="2" max="2" width="24.421875" style="8" customWidth="1"/>
    <col min="3" max="3" width="21.421875" style="8" customWidth="1"/>
    <col min="4" max="4" width="8.57421875" style="8" customWidth="1"/>
    <col min="5" max="7" width="12.57421875" style="8" customWidth="1"/>
    <col min="8" max="8" width="10.421875" style="8" customWidth="1"/>
    <col min="9" max="9" width="8.8515625" style="8" customWidth="1"/>
    <col min="10" max="10" width="9.57421875" style="8" customWidth="1"/>
    <col min="11" max="11" width="10.00390625" style="8" customWidth="1"/>
    <col min="12" max="12" width="10.57421875" style="8" customWidth="1"/>
    <col min="13" max="13" width="10.421875" style="8" customWidth="1"/>
    <col min="14" max="16384" width="8.8515625" style="8" customWidth="1"/>
  </cols>
  <sheetData>
    <row r="1" spans="1:7" ht="15" customHeight="1">
      <c r="A1" s="1035">
        <f>'Cover Page'!A9</f>
        <v>0</v>
      </c>
      <c r="B1" s="1035"/>
      <c r="C1" s="1035"/>
      <c r="D1" s="1035"/>
      <c r="E1" s="1035"/>
      <c r="F1" s="1035"/>
      <c r="G1" s="1035"/>
    </row>
    <row r="2" spans="1:7" ht="15" customHeight="1">
      <c r="A2" s="1036" t="s">
        <v>730</v>
      </c>
      <c r="B2" s="1036"/>
      <c r="C2" s="1036"/>
      <c r="D2" s="1036"/>
      <c r="E2" s="1036"/>
      <c r="F2" s="1036"/>
      <c r="G2" s="1036"/>
    </row>
    <row r="3" spans="1:7" ht="15" customHeight="1" thickBot="1">
      <c r="A3" s="1109" t="str">
        <f>'Required Attachments'!A3</f>
        <v>Budget for the period from July 1, 2022 to June 30, 2023</v>
      </c>
      <c r="B3" s="1109"/>
      <c r="C3" s="1109"/>
      <c r="D3" s="1109"/>
      <c r="E3" s="1109"/>
      <c r="F3" s="1109"/>
      <c r="G3" s="1109"/>
    </row>
    <row r="4" spans="1:7" ht="13.5" customHeight="1" thickTop="1">
      <c r="A4" s="91"/>
      <c r="B4" s="92"/>
      <c r="C4" s="1171" t="s">
        <v>728</v>
      </c>
      <c r="D4" s="1171"/>
      <c r="E4" s="1171"/>
      <c r="F4" s="60"/>
      <c r="G4" s="60"/>
    </row>
    <row r="5" spans="1:12" ht="57" customHeight="1" thickBot="1">
      <c r="A5" s="1223" t="str">
        <f>"Identify any leases that the legal entity of the school currently has or expects to have for the "&amp;Months!B1&amp;" school year and the name of the lessor in Columns A and B. Then, identify whether the lease is for renting a location in C. "&amp;"Finally, identify the required lease payments to be made based on the lease in Columns D-F. The amount in these columns should be the cash payments required. "&amp;"A copy of all leases for renting a location and any other leases that have total remaining payments of $10,000 or more in Columns D-F must be provided with the budget."</f>
        <v>Identify any leases that the legal entity of the school currently has or expects to have for the 2022-23 school year and the name of the lessor in Columns A and B. Then, identify whether the lease is for renting a location in C. Finally, identify the required lease payments to be made based on the lease in Columns D-F. The amount in these columns should be the cash payments required. A copy of all leases for renting a location and any other leases that have total remaining payments of $10,000 or more in Columns D-F must be provided with the budget.</v>
      </c>
      <c r="B5" s="1223"/>
      <c r="C5" s="1223"/>
      <c r="D5" s="1223"/>
      <c r="E5" s="1223"/>
      <c r="F5" s="1223"/>
      <c r="G5" s="1223"/>
      <c r="I5" s="1230" t="s">
        <v>290</v>
      </c>
      <c r="J5" s="1230"/>
      <c r="K5" s="1230"/>
      <c r="L5" s="1230"/>
    </row>
    <row r="6" spans="1:13" ht="57" customHeight="1" thickBot="1">
      <c r="A6" s="297" t="s">
        <v>5</v>
      </c>
      <c r="B6" s="149" t="s">
        <v>765</v>
      </c>
      <c r="C6" s="149" t="s">
        <v>736</v>
      </c>
      <c r="D6" s="117" t="s">
        <v>734</v>
      </c>
      <c r="E6" s="149" t="str">
        <f>"D
Total "&amp;Months!E33&amp;" "&amp;" Payments Per Lease"</f>
        <v>D
Total 2022-23  Payments Per Lease</v>
      </c>
      <c r="F6" s="149" t="str">
        <f>"E
Total "&amp;Months!F33&amp;" Payments Per Lease"</f>
        <v>E
Total 2023-24 Payments Per Lease</v>
      </c>
      <c r="G6" s="849" t="str">
        <f>"F
Total Payments Per Lease After "&amp;Months!F33</f>
        <v>F
Total Payments Per Lease After 2023-24</v>
      </c>
      <c r="I6" s="931" t="s">
        <v>306</v>
      </c>
      <c r="J6" s="933" t="s">
        <v>735</v>
      </c>
      <c r="K6" s="933" t="s">
        <v>738</v>
      </c>
      <c r="L6" s="932" t="s">
        <v>737</v>
      </c>
      <c r="M6" s="933" t="s">
        <v>750</v>
      </c>
    </row>
    <row r="7" spans="1:13" ht="30" customHeight="1">
      <c r="A7" s="72">
        <v>1</v>
      </c>
      <c r="B7" s="953"/>
      <c r="C7" s="953"/>
      <c r="D7" s="954"/>
      <c r="E7" s="823"/>
      <c r="F7" s="823"/>
      <c r="G7" s="823"/>
      <c r="I7" s="653">
        <f>IF(AND(SUM(E7:G7)&gt;0,B7=""),"ERROR","")</f>
      </c>
      <c r="J7" s="320">
        <f>IF(AND(SUM(E7:G7)&gt;0,C7=""),"ERROR","")</f>
      </c>
      <c r="K7" s="320">
        <f>IF(AND(SUM(E7:G7)&gt;0,D7=""),"ERROR","")</f>
      </c>
      <c r="L7" s="654">
        <f>IF(AND(B7="",C7="",D7=""),"",IF(SUM(E7:G7)=0,"ERROR",""))</f>
      </c>
      <c r="M7" s="866" t="str">
        <f>IF(AND(D7="No",SUM(E7:G7)&gt;9999),"Yes","No")</f>
        <v>No</v>
      </c>
    </row>
    <row r="8" spans="1:13" ht="30" customHeight="1">
      <c r="A8" s="72">
        <v>2</v>
      </c>
      <c r="B8" s="953"/>
      <c r="C8" s="953"/>
      <c r="D8" s="954"/>
      <c r="E8" s="823"/>
      <c r="F8" s="823"/>
      <c r="G8" s="823"/>
      <c r="I8" s="653">
        <f aca="true" t="shared" si="0" ref="I8:I14">IF(AND(SUM(E8:G8)&gt;0,B8=""),"ERROR","")</f>
      </c>
      <c r="J8" s="320">
        <f aca="true" t="shared" si="1" ref="J8:J14">IF(AND(SUM(E8:G8)&gt;0,C8=""),"ERROR","")</f>
      </c>
      <c r="K8" s="320">
        <f aca="true" t="shared" si="2" ref="K8:K14">IF(AND(SUM(E8:G8)&gt;0,D8=""),"ERROR","")</f>
      </c>
      <c r="L8" s="654">
        <f aca="true" t="shared" si="3" ref="L8:L14">IF(AND(B8="",C8="",D8=""),"",IF(SUM(E8:G8)=0,"ERROR",""))</f>
      </c>
      <c r="M8" s="866" t="str">
        <f aca="true" t="shared" si="4" ref="M8:M14">IF(AND(D8="No",SUM(E8:G8)&gt;9999),"Yes","No")</f>
        <v>No</v>
      </c>
    </row>
    <row r="9" spans="1:13" ht="30" customHeight="1">
      <c r="A9" s="72">
        <v>3</v>
      </c>
      <c r="B9" s="953"/>
      <c r="C9" s="953"/>
      <c r="D9" s="954"/>
      <c r="E9" s="823"/>
      <c r="F9" s="823"/>
      <c r="G9" s="823"/>
      <c r="I9" s="653">
        <f t="shared" si="0"/>
      </c>
      <c r="J9" s="320">
        <f t="shared" si="1"/>
      </c>
      <c r="K9" s="320">
        <f t="shared" si="2"/>
      </c>
      <c r="L9" s="654">
        <f t="shared" si="3"/>
      </c>
      <c r="M9" s="866" t="str">
        <f t="shared" si="4"/>
        <v>No</v>
      </c>
    </row>
    <row r="10" spans="1:13" ht="30" customHeight="1">
      <c r="A10" s="72">
        <v>4</v>
      </c>
      <c r="B10" s="953"/>
      <c r="C10" s="953"/>
      <c r="D10" s="954"/>
      <c r="E10" s="823"/>
      <c r="F10" s="823"/>
      <c r="G10" s="823"/>
      <c r="I10" s="653">
        <f t="shared" si="0"/>
      </c>
      <c r="J10" s="320">
        <f t="shared" si="1"/>
      </c>
      <c r="K10" s="320">
        <f t="shared" si="2"/>
      </c>
      <c r="L10" s="654">
        <f t="shared" si="3"/>
      </c>
      <c r="M10" s="866" t="str">
        <f t="shared" si="4"/>
        <v>No</v>
      </c>
    </row>
    <row r="11" spans="1:13" ht="30" customHeight="1">
      <c r="A11" s="72">
        <v>5</v>
      </c>
      <c r="B11" s="953"/>
      <c r="C11" s="953"/>
      <c r="D11" s="954"/>
      <c r="E11" s="823"/>
      <c r="F11" s="823"/>
      <c r="G11" s="823"/>
      <c r="I11" s="653">
        <f t="shared" si="0"/>
      </c>
      <c r="J11" s="320">
        <f t="shared" si="1"/>
      </c>
      <c r="K11" s="320">
        <f t="shared" si="2"/>
      </c>
      <c r="L11" s="654">
        <f t="shared" si="3"/>
      </c>
      <c r="M11" s="866" t="str">
        <f t="shared" si="4"/>
        <v>No</v>
      </c>
    </row>
    <row r="12" spans="1:13" ht="30" customHeight="1">
      <c r="A12" s="72">
        <v>6</v>
      </c>
      <c r="B12" s="953"/>
      <c r="C12" s="953"/>
      <c r="D12" s="954"/>
      <c r="E12" s="823"/>
      <c r="F12" s="823"/>
      <c r="G12" s="823"/>
      <c r="I12" s="653">
        <f t="shared" si="0"/>
      </c>
      <c r="J12" s="320">
        <f t="shared" si="1"/>
      </c>
      <c r="K12" s="320">
        <f t="shared" si="2"/>
      </c>
      <c r="L12" s="654">
        <f t="shared" si="3"/>
      </c>
      <c r="M12" s="866" t="str">
        <f t="shared" si="4"/>
        <v>No</v>
      </c>
    </row>
    <row r="13" spans="1:13" ht="30" customHeight="1">
      <c r="A13" s="72">
        <v>7</v>
      </c>
      <c r="B13" s="953"/>
      <c r="C13" s="953"/>
      <c r="D13" s="954"/>
      <c r="E13" s="823"/>
      <c r="F13" s="823"/>
      <c r="G13" s="823"/>
      <c r="I13" s="653">
        <f t="shared" si="0"/>
      </c>
      <c r="J13" s="320">
        <f t="shared" si="1"/>
      </c>
      <c r="K13" s="320">
        <f t="shared" si="2"/>
      </c>
      <c r="L13" s="654">
        <f>IF(AND(B13="",C13="",D13=""),"",IF(SUM(E13:G13)=0,"ERROR",""))</f>
      </c>
      <c r="M13" s="866" t="str">
        <f t="shared" si="4"/>
        <v>No</v>
      </c>
    </row>
    <row r="14" spans="1:13" ht="30" customHeight="1" thickBot="1">
      <c r="A14" s="211">
        <v>8</v>
      </c>
      <c r="B14" s="962"/>
      <c r="C14" s="962"/>
      <c r="D14" s="963"/>
      <c r="E14" s="964"/>
      <c r="F14" s="964"/>
      <c r="G14" s="964"/>
      <c r="I14" s="813">
        <f t="shared" si="0"/>
      </c>
      <c r="J14" s="323">
        <f t="shared" si="1"/>
      </c>
      <c r="K14" s="323">
        <f t="shared" si="2"/>
      </c>
      <c r="L14" s="655">
        <f t="shared" si="3"/>
      </c>
      <c r="M14" s="789" t="str">
        <f t="shared" si="4"/>
        <v>No</v>
      </c>
    </row>
    <row r="15" spans="1:13" ht="16.5" customHeight="1" thickBot="1">
      <c r="A15" s="960">
        <v>9</v>
      </c>
      <c r="B15" s="965" t="s">
        <v>125</v>
      </c>
      <c r="C15" s="966"/>
      <c r="D15" s="967"/>
      <c r="E15" s="968">
        <f>SUM(E7:E14)</f>
        <v>0</v>
      </c>
      <c r="F15" s="968">
        <f>SUM(F7:F14)</f>
        <v>0</v>
      </c>
      <c r="G15" s="968">
        <f>SUM(G7:G14)</f>
        <v>0</v>
      </c>
      <c r="I15" s="9"/>
      <c r="J15" s="9"/>
      <c r="K15" s="9"/>
      <c r="L15" s="9"/>
      <c r="M15" s="21"/>
    </row>
    <row r="16" spans="1:13" ht="13.5" customHeight="1" thickTop="1">
      <c r="A16" s="91"/>
      <c r="B16" s="92"/>
      <c r="C16" s="1171" t="s">
        <v>163</v>
      </c>
      <c r="D16" s="1171"/>
      <c r="E16" s="1171"/>
      <c r="F16" s="60"/>
      <c r="G16" s="60"/>
      <c r="I16" s="20">
        <f>COUNTIF(I7:I14,"ERROR")</f>
        <v>0</v>
      </c>
      <c r="J16" s="20">
        <f>COUNTIF(J7:J14,"ERROR")</f>
        <v>0</v>
      </c>
      <c r="K16" s="20">
        <f>COUNTIF(K7:K14,"ERROR")</f>
        <v>0</v>
      </c>
      <c r="L16" s="20">
        <f>COUNTIF(L7:L14,"ERROR")</f>
        <v>0</v>
      </c>
      <c r="M16" s="8">
        <f>COUNTIF(M7:M14,"Yes")</f>
        <v>0</v>
      </c>
    </row>
    <row r="17" spans="1:7" ht="60.75" customHeight="1">
      <c r="A17" s="1231" t="s">
        <v>797</v>
      </c>
      <c r="B17" s="1231"/>
      <c r="C17" s="1231"/>
      <c r="D17" s="1231"/>
      <c r="E17" s="1231"/>
      <c r="F17" s="1231"/>
      <c r="G17" s="1231"/>
    </row>
    <row r="18" spans="1:7" ht="34.5" customHeight="1">
      <c r="A18" s="832" t="s">
        <v>5</v>
      </c>
      <c r="B18" s="1085" t="s">
        <v>199</v>
      </c>
      <c r="C18" s="1113"/>
      <c r="D18" s="1086"/>
      <c r="E18" s="53" t="s">
        <v>724</v>
      </c>
      <c r="F18" s="61" t="s">
        <v>725</v>
      </c>
      <c r="G18" s="947"/>
    </row>
    <row r="19" spans="1:7" ht="13.5" customHeight="1">
      <c r="A19" s="897">
        <v>10</v>
      </c>
      <c r="B19" s="373" t="s">
        <v>141</v>
      </c>
      <c r="C19" s="374"/>
      <c r="D19" s="374"/>
      <c r="E19" s="66"/>
      <c r="F19" s="66"/>
      <c r="G19" s="928"/>
    </row>
    <row r="20" spans="1:7" ht="3" customHeight="1">
      <c r="A20" s="935"/>
      <c r="B20" s="936"/>
      <c r="C20" s="938"/>
      <c r="D20" s="938"/>
      <c r="E20" s="937"/>
      <c r="F20" s="946"/>
      <c r="G20" s="948"/>
    </row>
    <row r="21" spans="1:7" ht="13.5" customHeight="1">
      <c r="A21" s="75">
        <v>11</v>
      </c>
      <c r="B21" s="373" t="str">
        <f>"Total "&amp;Months!$B$1&amp;" Payments Per Lease"</f>
        <v>Total 2022-23 Payments Per Lease</v>
      </c>
      <c r="C21" s="374"/>
      <c r="D21" s="374"/>
      <c r="E21" s="481">
        <f>SUMIF(D7:D14,"Yes",E7:E14)</f>
        <v>0</v>
      </c>
      <c r="F21" s="481">
        <f>SUMIF(D7:D14,"No",E7:E14)</f>
        <v>0</v>
      </c>
      <c r="G21" s="928"/>
    </row>
    <row r="22" spans="1:7" ht="13.5" customHeight="1">
      <c r="A22" s="75">
        <v>12</v>
      </c>
      <c r="B22" s="373" t="str">
        <f>"Lease Payments Due Prior to "&amp;Months!$B$4&amp;" Not Paid as of "&amp;Months!$B$4</f>
        <v>Lease Payments Due Prior to June 30, 2022 Not Paid as of June 30, 2022</v>
      </c>
      <c r="C22" s="374"/>
      <c r="D22" s="374"/>
      <c r="E22" s="66"/>
      <c r="F22" s="66"/>
      <c r="G22" s="928"/>
    </row>
    <row r="23" spans="1:7" ht="13.5" customHeight="1" thickBot="1">
      <c r="A23" s="101">
        <v>13</v>
      </c>
      <c r="B23" s="373" t="str">
        <f>Months!$B$4&amp;" Prepaid Expenses"</f>
        <v>June 30, 2022 Prepaid Expenses</v>
      </c>
      <c r="C23" s="10"/>
      <c r="D23" s="939"/>
      <c r="E23" s="232"/>
      <c r="F23" s="924"/>
      <c r="G23" s="928"/>
    </row>
    <row r="24" spans="1:7" ht="13.5" customHeight="1" thickBot="1">
      <c r="A24" s="100">
        <v>14</v>
      </c>
      <c r="B24" s="270" t="s">
        <v>211</v>
      </c>
      <c r="C24" s="940"/>
      <c r="D24" s="940"/>
      <c r="E24" s="454">
        <f>E21+E22</f>
        <v>0</v>
      </c>
      <c r="F24" s="915">
        <f>F21+F22</f>
        <v>0</v>
      </c>
      <c r="G24" s="928"/>
    </row>
    <row r="25" spans="1:7" ht="13.5" customHeight="1">
      <c r="A25" s="64">
        <v>15</v>
      </c>
      <c r="B25" s="280" t="str">
        <f>Months!$B7&amp;" Cash Payments"</f>
        <v>July 2022 Cash Payments</v>
      </c>
      <c r="C25" s="941"/>
      <c r="D25" s="941"/>
      <c r="E25" s="74"/>
      <c r="F25" s="74"/>
      <c r="G25" s="928"/>
    </row>
    <row r="26" spans="1:7" ht="13.5" customHeight="1">
      <c r="A26" s="54">
        <v>16</v>
      </c>
      <c r="B26" s="280" t="str">
        <f>Months!$B8&amp;" Cash Payments"</f>
        <v>August 2022 Cash Payments</v>
      </c>
      <c r="C26" s="941"/>
      <c r="D26" s="941"/>
      <c r="E26" s="74"/>
      <c r="F26" s="66"/>
      <c r="G26" s="928"/>
    </row>
    <row r="27" spans="1:7" ht="13.5" customHeight="1">
      <c r="A27" s="54">
        <v>17</v>
      </c>
      <c r="B27" s="280" t="str">
        <f>Months!$B9&amp;" Cash Payments"</f>
        <v>September 2022 Cash Payments</v>
      </c>
      <c r="C27" s="941"/>
      <c r="D27" s="941"/>
      <c r="E27" s="74"/>
      <c r="F27" s="66"/>
      <c r="G27" s="928"/>
    </row>
    <row r="28" spans="1:7" ht="13.5" customHeight="1">
      <c r="A28" s="54">
        <v>18</v>
      </c>
      <c r="B28" s="280" t="str">
        <f>Months!$B10&amp;" Cash Payments"</f>
        <v>October 2022 Cash Payments</v>
      </c>
      <c r="C28" s="941"/>
      <c r="D28" s="941"/>
      <c r="E28" s="74"/>
      <c r="F28" s="66"/>
      <c r="G28" s="928"/>
    </row>
    <row r="29" spans="1:7" ht="13.5" customHeight="1">
      <c r="A29" s="54">
        <v>19</v>
      </c>
      <c r="B29" s="280" t="str">
        <f>Months!$B11&amp;" Cash Payments"</f>
        <v>November 2022 Cash Payments</v>
      </c>
      <c r="C29" s="941"/>
      <c r="D29" s="941"/>
      <c r="E29" s="74"/>
      <c r="F29" s="66"/>
      <c r="G29" s="928"/>
    </row>
    <row r="30" spans="1:7" ht="13.5" customHeight="1">
      <c r="A30" s="54">
        <v>20</v>
      </c>
      <c r="B30" s="280" t="str">
        <f>Months!$B12&amp;" Cash Payments"</f>
        <v>December 2022 Cash Payments</v>
      </c>
      <c r="C30" s="941"/>
      <c r="D30" s="941"/>
      <c r="E30" s="74"/>
      <c r="F30" s="66"/>
      <c r="G30" s="928"/>
    </row>
    <row r="31" spans="1:7" ht="13.5" customHeight="1">
      <c r="A31" s="54">
        <v>21</v>
      </c>
      <c r="B31" s="280" t="str">
        <f>Months!$B13&amp;" Cash Payments"</f>
        <v>January 2023 Cash Payments</v>
      </c>
      <c r="C31" s="941"/>
      <c r="D31" s="941"/>
      <c r="E31" s="74"/>
      <c r="F31" s="66"/>
      <c r="G31" s="928"/>
    </row>
    <row r="32" spans="1:7" ht="13.5" customHeight="1">
      <c r="A32" s="54">
        <v>22</v>
      </c>
      <c r="B32" s="280" t="str">
        <f>Months!$B14&amp;" Cash Payments"</f>
        <v>February 2023 Cash Payments</v>
      </c>
      <c r="C32" s="941"/>
      <c r="D32" s="941"/>
      <c r="E32" s="74"/>
      <c r="F32" s="66"/>
      <c r="G32" s="928"/>
    </row>
    <row r="33" spans="1:7" ht="15" customHeight="1">
      <c r="A33" s="54">
        <v>23</v>
      </c>
      <c r="B33" s="280" t="str">
        <f>Months!$B15&amp;" Cash Payments"</f>
        <v>March 2023 Cash Payments</v>
      </c>
      <c r="C33" s="941"/>
      <c r="D33" s="941"/>
      <c r="E33" s="74"/>
      <c r="F33" s="66"/>
      <c r="G33" s="928"/>
    </row>
    <row r="34" spans="1:7" ht="15" customHeight="1">
      <c r="A34" s="54">
        <v>24</v>
      </c>
      <c r="B34" s="280" t="str">
        <f>Months!$B16&amp;" Cash Payments"</f>
        <v>April 2023 Cash Payments</v>
      </c>
      <c r="C34" s="941"/>
      <c r="D34" s="941"/>
      <c r="E34" s="74"/>
      <c r="F34" s="66"/>
      <c r="G34" s="928"/>
    </row>
    <row r="35" spans="1:7" ht="15" customHeight="1">
      <c r="A35" s="54">
        <v>25</v>
      </c>
      <c r="B35" s="280" t="str">
        <f>Months!$B17&amp;" Cash Payments"</f>
        <v>May 2023 Cash Payments</v>
      </c>
      <c r="C35" s="941"/>
      <c r="D35" s="941"/>
      <c r="E35" s="74"/>
      <c r="F35" s="66"/>
      <c r="G35" s="928"/>
    </row>
    <row r="36" spans="1:7" ht="15" customHeight="1" thickBot="1">
      <c r="A36" s="55">
        <v>26</v>
      </c>
      <c r="B36" s="280" t="str">
        <f>Months!$B18&amp;" Cash Payments"</f>
        <v>June 2023 Cash Payments</v>
      </c>
      <c r="C36" s="941"/>
      <c r="D36" s="941"/>
      <c r="E36" s="74"/>
      <c r="F36" s="66"/>
      <c r="G36" s="928"/>
    </row>
    <row r="37" spans="1:7" ht="15" customHeight="1" thickBot="1">
      <c r="A37" s="76">
        <v>27</v>
      </c>
      <c r="B37" s="219" t="s">
        <v>30</v>
      </c>
      <c r="C37" s="942"/>
      <c r="D37" s="942"/>
      <c r="E37" s="221">
        <f>SUM(E25:E36)</f>
        <v>0</v>
      </c>
      <c r="F37" s="221">
        <f>SUM(F25:F36)</f>
        <v>0</v>
      </c>
      <c r="G37" s="928"/>
    </row>
    <row r="38" spans="1:7" ht="13.5" customHeight="1" thickBot="1">
      <c r="A38" s="56">
        <v>28</v>
      </c>
      <c r="B38" s="943" t="str">
        <f>Months!$C$5&amp;" Prepaid Expenses"</f>
        <v>JUNE 30, 2023 Prepaid Expenses</v>
      </c>
      <c r="C38" s="340"/>
      <c r="D38" s="944"/>
      <c r="E38" s="886"/>
      <c r="F38" s="886"/>
      <c r="G38" s="928"/>
    </row>
    <row r="39" spans="6:7" ht="15" customHeight="1" thickTop="1">
      <c r="F39" s="10"/>
      <c r="G39" s="14"/>
    </row>
    <row r="40" ht="15" customHeight="1">
      <c r="G40" s="14"/>
    </row>
  </sheetData>
  <sheetProtection password="EBD1" sheet="1"/>
  <mergeCells count="9">
    <mergeCell ref="I5:L5"/>
    <mergeCell ref="C16:E16"/>
    <mergeCell ref="A1:G1"/>
    <mergeCell ref="A2:G2"/>
    <mergeCell ref="A3:G3"/>
    <mergeCell ref="B18:D18"/>
    <mergeCell ref="C4:E4"/>
    <mergeCell ref="A5:G5"/>
    <mergeCell ref="A17:G17"/>
  </mergeCells>
  <conditionalFormatting sqref="I7 I11:I15">
    <cfRule type="cellIs" priority="4" dxfId="0" operator="equal" stopIfTrue="1">
      <formula>"ERROR"</formula>
    </cfRule>
  </conditionalFormatting>
  <conditionalFormatting sqref="I8:I10">
    <cfRule type="cellIs" priority="3" dxfId="0" operator="equal" stopIfTrue="1">
      <formula>"ERROR"</formula>
    </cfRule>
  </conditionalFormatting>
  <conditionalFormatting sqref="I7:L15">
    <cfRule type="cellIs" priority="1" dxfId="0" operator="equal" stopIfTrue="1">
      <formula>"ERROR"</formula>
    </cfRule>
  </conditionalFormatting>
  <dataValidations count="1">
    <dataValidation type="list" allowBlank="1" showInputMessage="1" showErrorMessage="1" sqref="D7:D15">
      <formula1>"Yes,No"</formula1>
    </dataValidation>
  </dataValidations>
  <printOptions horizontalCentered="1"/>
  <pageMargins left="0.33" right="0.24" top="0.2" bottom="0.2" header="0.17" footer="0.17"/>
  <pageSetup firstPageNumber="1" useFirstPageNumber="1" fitToHeight="1" fitToWidth="1" horizontalDpi="600" verticalDpi="600" orientation="portrait" scale="94" r:id="rId1"/>
  <headerFooter alignWithMargins="0">
    <oddHeader>&amp;LPI-PCP-14&amp;RPage 16</oddHeader>
  </headerFooter>
</worksheet>
</file>

<file path=xl/worksheets/sheet22.xml><?xml version="1.0" encoding="utf-8"?>
<worksheet xmlns="http://schemas.openxmlformats.org/spreadsheetml/2006/main" xmlns:r="http://schemas.openxmlformats.org/officeDocument/2006/relationships">
  <sheetPr>
    <tabColor theme="4" tint="0.5999900102615356"/>
    <pageSetUpPr fitToPage="1"/>
  </sheetPr>
  <dimension ref="A1:N49"/>
  <sheetViews>
    <sheetView showGridLines="0" showZeros="0" showOutlineSymbols="0" zoomScaleSheetLayoutView="100" workbookViewId="0" topLeftCell="A1">
      <selection activeCell="E7" sqref="E7"/>
    </sheetView>
  </sheetViews>
  <sheetFormatPr defaultColWidth="8.8515625" defaultRowHeight="15" customHeight="1"/>
  <cols>
    <col min="1" max="1" width="3.57421875" style="408" customWidth="1"/>
    <col min="2" max="2" width="29.8515625" style="8" customWidth="1"/>
    <col min="3" max="3" width="11.8515625" style="8" customWidth="1"/>
    <col min="4" max="4" width="13.8515625" style="8" customWidth="1"/>
    <col min="5" max="5" width="12.57421875" style="8" customWidth="1"/>
    <col min="6" max="7" width="11.57421875" style="8" customWidth="1"/>
    <col min="8" max="8" width="12.57421875" style="8" customWidth="1"/>
    <col min="9" max="9" width="8.8515625" style="10" customWidth="1"/>
    <col min="10" max="16384" width="8.8515625" style="8" customWidth="1"/>
  </cols>
  <sheetData>
    <row r="1" spans="1:8" ht="15" customHeight="1">
      <c r="A1" s="1036">
        <f>'Cover Page'!A9</f>
        <v>0</v>
      </c>
      <c r="B1" s="1036"/>
      <c r="C1" s="1036"/>
      <c r="D1" s="1036"/>
      <c r="E1" s="1036"/>
      <c r="F1" s="1036"/>
      <c r="G1" s="1036"/>
      <c r="H1" s="1036"/>
    </row>
    <row r="2" spans="1:8" ht="15" customHeight="1">
      <c r="A2" s="1035" t="s">
        <v>135</v>
      </c>
      <c r="B2" s="1035"/>
      <c r="C2" s="1035"/>
      <c r="D2" s="1035"/>
      <c r="E2" s="1035"/>
      <c r="F2" s="1035"/>
      <c r="G2" s="1035"/>
      <c r="H2" s="1035"/>
    </row>
    <row r="3" spans="1:8" ht="15" customHeight="1" thickBot="1">
      <c r="A3" s="1109" t="str">
        <f>'Required Attachments'!A3</f>
        <v>Budget for the period from July 1, 2022 to June 30, 2023</v>
      </c>
      <c r="B3" s="1109"/>
      <c r="C3" s="1109"/>
      <c r="D3" s="1109"/>
      <c r="E3" s="1109"/>
      <c r="F3" s="1109"/>
      <c r="G3" s="1109"/>
      <c r="H3" s="1109"/>
    </row>
    <row r="4" spans="1:10" ht="13.5" customHeight="1" thickTop="1">
      <c r="A4" s="152"/>
      <c r="B4" s="153"/>
      <c r="C4" s="1171" t="s">
        <v>134</v>
      </c>
      <c r="D4" s="1171"/>
      <c r="E4" s="1171"/>
      <c r="F4" s="153"/>
      <c r="G4" s="153"/>
      <c r="H4" s="153"/>
      <c r="J4" s="15"/>
    </row>
    <row r="5" spans="1:8" ht="54.75" customHeight="1" thickBot="1">
      <c r="A5" s="1224" t="s">
        <v>657</v>
      </c>
      <c r="B5" s="1224"/>
      <c r="C5" s="1224"/>
      <c r="D5" s="1224"/>
      <c r="E5" s="1224"/>
      <c r="F5" s="1224"/>
      <c r="G5" s="1224"/>
      <c r="H5" s="1224"/>
    </row>
    <row r="6" spans="1:14" ht="24.75" customHeight="1" thickBot="1">
      <c r="A6" s="822" t="s">
        <v>5</v>
      </c>
      <c r="B6" s="149" t="s">
        <v>132</v>
      </c>
      <c r="C6" s="117" t="s">
        <v>240</v>
      </c>
      <c r="D6" s="117" t="s">
        <v>242</v>
      </c>
      <c r="E6" s="117" t="s">
        <v>241</v>
      </c>
      <c r="F6" s="1085" t="s">
        <v>600</v>
      </c>
      <c r="G6" s="1113"/>
      <c r="H6" s="149" t="s">
        <v>599</v>
      </c>
      <c r="J6" s="322" t="s">
        <v>290</v>
      </c>
      <c r="N6" s="10"/>
    </row>
    <row r="7" spans="1:12" ht="13.5" customHeight="1">
      <c r="A7" s="54">
        <v>1</v>
      </c>
      <c r="B7" s="68"/>
      <c r="C7" s="144"/>
      <c r="D7" s="538"/>
      <c r="E7" s="65"/>
      <c r="F7" s="1253"/>
      <c r="G7" s="1254"/>
      <c r="H7" s="65"/>
      <c r="J7" s="319">
        <f aca="true" t="shared" si="0" ref="J7:J12">IF(B7="","",IF(OR(C7="",D7="",E7="",H7=""),"ERROR",IF(AND(E7="Yes",F7=""),"ERROR","")))</f>
      </c>
      <c r="L7" s="10"/>
    </row>
    <row r="8" spans="1:10" ht="13.5" customHeight="1">
      <c r="A8" s="54">
        <v>2</v>
      </c>
      <c r="B8" s="69"/>
      <c r="C8" s="144"/>
      <c r="D8" s="538"/>
      <c r="E8" s="66"/>
      <c r="F8" s="1243"/>
      <c r="G8" s="1244"/>
      <c r="H8" s="847"/>
      <c r="J8" s="320">
        <f t="shared" si="0"/>
      </c>
    </row>
    <row r="9" spans="1:10" ht="13.5" customHeight="1">
      <c r="A9" s="54">
        <v>3</v>
      </c>
      <c r="B9" s="69"/>
      <c r="C9" s="144"/>
      <c r="D9" s="538"/>
      <c r="E9" s="66"/>
      <c r="F9" s="1243"/>
      <c r="G9" s="1244"/>
      <c r="H9" s="847"/>
      <c r="J9" s="320">
        <f t="shared" si="0"/>
      </c>
    </row>
    <row r="10" spans="1:10" ht="13.5" customHeight="1">
      <c r="A10" s="54">
        <v>4</v>
      </c>
      <c r="B10" s="69"/>
      <c r="C10" s="144"/>
      <c r="D10" s="538"/>
      <c r="E10" s="66"/>
      <c r="F10" s="1243"/>
      <c r="G10" s="1244"/>
      <c r="H10" s="847"/>
      <c r="J10" s="320">
        <f t="shared" si="0"/>
      </c>
    </row>
    <row r="11" spans="1:10" ht="13.5" customHeight="1">
      <c r="A11" s="54">
        <v>5</v>
      </c>
      <c r="B11" s="69"/>
      <c r="C11" s="144"/>
      <c r="D11" s="538"/>
      <c r="E11" s="66"/>
      <c r="F11" s="1243"/>
      <c r="G11" s="1244"/>
      <c r="H11" s="847"/>
      <c r="J11" s="320">
        <f t="shared" si="0"/>
      </c>
    </row>
    <row r="12" spans="1:10" ht="13.5" customHeight="1" thickBot="1">
      <c r="A12" s="174">
        <v>6</v>
      </c>
      <c r="B12" s="286"/>
      <c r="C12" s="287"/>
      <c r="D12" s="539"/>
      <c r="E12" s="288"/>
      <c r="F12" s="1235"/>
      <c r="G12" s="1236"/>
      <c r="H12" s="850"/>
      <c r="J12" s="323">
        <f t="shared" si="0"/>
      </c>
    </row>
    <row r="13" spans="1:10" ht="13.5" customHeight="1" thickBot="1" thickTop="1">
      <c r="A13" s="152"/>
      <c r="B13" s="153"/>
      <c r="C13" s="1083" t="s">
        <v>133</v>
      </c>
      <c r="D13" s="1083"/>
      <c r="E13" s="1083"/>
      <c r="F13" s="153"/>
      <c r="G13" s="153"/>
      <c r="H13" s="153"/>
      <c r="J13" s="316">
        <f>COUNTIF(J7:J12,"ERROR")</f>
        <v>0</v>
      </c>
    </row>
    <row r="14" spans="1:12" ht="36.75" customHeight="1" thickBot="1">
      <c r="A14" s="822" t="s">
        <v>5</v>
      </c>
      <c r="B14" s="149" t="s">
        <v>132</v>
      </c>
      <c r="C14" s="149" t="s">
        <v>420</v>
      </c>
      <c r="D14" s="117" t="str">
        <f>"C
"&amp;Months!B4&amp;" Balance"</f>
        <v>C
June 30, 2022 Balance</v>
      </c>
      <c r="E14" s="117" t="s">
        <v>421</v>
      </c>
      <c r="F14" s="117" t="s">
        <v>422</v>
      </c>
      <c r="G14" s="117" t="s">
        <v>423</v>
      </c>
      <c r="H14" s="149" t="str">
        <f>"G
"&amp;Months!B5&amp;" Balance"</f>
        <v>G
June 30, 2023 Balance</v>
      </c>
      <c r="J14" s="322" t="s">
        <v>417</v>
      </c>
      <c r="L14" s="8" t="s">
        <v>487</v>
      </c>
    </row>
    <row r="15" spans="1:12" ht="13.5" customHeight="1">
      <c r="A15" s="54">
        <v>7</v>
      </c>
      <c r="B15" s="421">
        <f aca="true" t="shared" si="1" ref="B15:B20">B7</f>
        <v>0</v>
      </c>
      <c r="C15" s="806"/>
      <c r="D15" s="69"/>
      <c r="E15" s="66"/>
      <c r="F15" s="66"/>
      <c r="G15" s="66"/>
      <c r="H15" s="464">
        <f aca="true" t="shared" si="2" ref="H15:H20">D15+E15-F15-G15</f>
        <v>0</v>
      </c>
      <c r="J15" s="319">
        <f aca="true" t="shared" si="3" ref="J15:J20">IF(AND(D15=0,H15=0,E15=0,F15=0),"",IF(C15="","ERROR",""))</f>
      </c>
      <c r="L15" s="626">
        <f aca="true" t="shared" si="4" ref="L15:L20">E24*C15</f>
        <v>0</v>
      </c>
    </row>
    <row r="16" spans="1:12" ht="13.5" customHeight="1">
      <c r="A16" s="54">
        <v>8</v>
      </c>
      <c r="B16" s="421">
        <f t="shared" si="1"/>
        <v>0</v>
      </c>
      <c r="C16" s="806"/>
      <c r="D16" s="69"/>
      <c r="E16" s="66"/>
      <c r="F16" s="66"/>
      <c r="G16" s="66"/>
      <c r="H16" s="464">
        <f t="shared" si="2"/>
        <v>0</v>
      </c>
      <c r="J16" s="320">
        <f t="shared" si="3"/>
      </c>
      <c r="L16" s="627">
        <f t="shared" si="4"/>
        <v>0</v>
      </c>
    </row>
    <row r="17" spans="1:12" ht="13.5" customHeight="1">
      <c r="A17" s="54">
        <v>9</v>
      </c>
      <c r="B17" s="421">
        <f t="shared" si="1"/>
        <v>0</v>
      </c>
      <c r="C17" s="806"/>
      <c r="D17" s="69"/>
      <c r="E17" s="66"/>
      <c r="F17" s="66"/>
      <c r="G17" s="66"/>
      <c r="H17" s="464">
        <f t="shared" si="2"/>
        <v>0</v>
      </c>
      <c r="J17" s="320">
        <f t="shared" si="3"/>
      </c>
      <c r="L17" s="627">
        <f t="shared" si="4"/>
        <v>0</v>
      </c>
    </row>
    <row r="18" spans="1:12" ht="13.5" customHeight="1">
      <c r="A18" s="54">
        <v>10</v>
      </c>
      <c r="B18" s="421">
        <f t="shared" si="1"/>
        <v>0</v>
      </c>
      <c r="C18" s="806"/>
      <c r="D18" s="69"/>
      <c r="E18" s="66"/>
      <c r="F18" s="66"/>
      <c r="G18" s="66"/>
      <c r="H18" s="464">
        <f t="shared" si="2"/>
        <v>0</v>
      </c>
      <c r="J18" s="320">
        <f t="shared" si="3"/>
      </c>
      <c r="L18" s="627">
        <f t="shared" si="4"/>
        <v>0</v>
      </c>
    </row>
    <row r="19" spans="1:12" ht="13.5" customHeight="1">
      <c r="A19" s="54">
        <v>11</v>
      </c>
      <c r="B19" s="421">
        <f t="shared" si="1"/>
        <v>0</v>
      </c>
      <c r="C19" s="806"/>
      <c r="D19" s="69"/>
      <c r="E19" s="66"/>
      <c r="F19" s="66"/>
      <c r="G19" s="66"/>
      <c r="H19" s="464">
        <f t="shared" si="2"/>
        <v>0</v>
      </c>
      <c r="J19" s="320">
        <f t="shared" si="3"/>
      </c>
      <c r="L19" s="627">
        <f t="shared" si="4"/>
        <v>0</v>
      </c>
    </row>
    <row r="20" spans="1:12" ht="13.5" customHeight="1" thickBot="1">
      <c r="A20" s="54">
        <v>12</v>
      </c>
      <c r="B20" s="421">
        <f t="shared" si="1"/>
        <v>0</v>
      </c>
      <c r="C20" s="806"/>
      <c r="D20" s="69"/>
      <c r="E20" s="66"/>
      <c r="F20" s="66"/>
      <c r="G20" s="66"/>
      <c r="H20" s="464">
        <f t="shared" si="2"/>
        <v>0</v>
      </c>
      <c r="J20" s="323">
        <f t="shared" si="3"/>
      </c>
      <c r="L20" s="628">
        <f t="shared" si="4"/>
        <v>0</v>
      </c>
    </row>
    <row r="21" spans="1:12" ht="13.5" customHeight="1" thickBot="1">
      <c r="A21" s="59">
        <v>13</v>
      </c>
      <c r="B21" s="216" t="s">
        <v>125</v>
      </c>
      <c r="C21" s="577"/>
      <c r="D21" s="629">
        <f>SUM(D15:D20)</f>
        <v>0</v>
      </c>
      <c r="E21" s="629">
        <f>SUM(E15:E20)</f>
        <v>0</v>
      </c>
      <c r="F21" s="629">
        <f>SUM(F15:F20)</f>
        <v>0</v>
      </c>
      <c r="G21" s="629">
        <f>SUM(G15:G20)</f>
        <v>0</v>
      </c>
      <c r="H21" s="630">
        <f>SUM(H15:H20)</f>
        <v>0</v>
      </c>
      <c r="I21" s="578"/>
      <c r="J21" s="316">
        <f>COUNTIF(J15:J20,"ERROR")</f>
        <v>0</v>
      </c>
      <c r="L21" s="625">
        <f>SUM(L15:L20)</f>
        <v>0</v>
      </c>
    </row>
    <row r="22" spans="1:8" ht="13.5" customHeight="1" thickTop="1">
      <c r="A22" s="152"/>
      <c r="B22" s="153"/>
      <c r="C22" s="1171" t="s">
        <v>131</v>
      </c>
      <c r="D22" s="1171"/>
      <c r="E22" s="1171"/>
      <c r="F22" s="153"/>
      <c r="G22" s="153"/>
      <c r="H22" s="153"/>
    </row>
    <row r="23" spans="1:8" ht="33" customHeight="1">
      <c r="A23" s="822" t="s">
        <v>5</v>
      </c>
      <c r="B23" s="149" t="s">
        <v>132</v>
      </c>
      <c r="C23" s="117" t="s">
        <v>243</v>
      </c>
      <c r="D23" s="117" t="str">
        <f>"C
"&amp;Months!B4&amp;" Balance"</f>
        <v>C
June 30, 2022 Balance</v>
      </c>
      <c r="E23" s="117" t="s">
        <v>246</v>
      </c>
      <c r="F23" s="117" t="s">
        <v>244</v>
      </c>
      <c r="G23" s="117" t="s">
        <v>245</v>
      </c>
      <c r="H23" s="149" t="str">
        <f>"G
"&amp;Months!B5&amp;" Balance"</f>
        <v>G
June 30, 2023 Balance</v>
      </c>
    </row>
    <row r="24" spans="1:8" ht="13.5" customHeight="1">
      <c r="A24" s="54">
        <v>14</v>
      </c>
      <c r="B24" s="421">
        <f aca="true" t="shared" si="5" ref="B24:B29">B7</f>
        <v>0</v>
      </c>
      <c r="C24" s="804"/>
      <c r="D24" s="66"/>
      <c r="E24" s="66"/>
      <c r="F24" s="66"/>
      <c r="G24" s="66"/>
      <c r="H24" s="464">
        <f aca="true" t="shared" si="6" ref="H24:H29">D24+E24-F24-G24</f>
        <v>0</v>
      </c>
    </row>
    <row r="25" spans="1:8" ht="13.5" customHeight="1">
      <c r="A25" s="54">
        <v>15</v>
      </c>
      <c r="B25" s="421">
        <f t="shared" si="5"/>
        <v>0</v>
      </c>
      <c r="C25" s="804"/>
      <c r="D25" s="66"/>
      <c r="E25" s="66"/>
      <c r="F25" s="66"/>
      <c r="G25" s="66"/>
      <c r="H25" s="464">
        <f t="shared" si="6"/>
        <v>0</v>
      </c>
    </row>
    <row r="26" spans="1:8" ht="13.5" customHeight="1">
      <c r="A26" s="54">
        <v>16</v>
      </c>
      <c r="B26" s="421">
        <f t="shared" si="5"/>
        <v>0</v>
      </c>
      <c r="C26" s="804"/>
      <c r="D26" s="66"/>
      <c r="E26" s="66"/>
      <c r="F26" s="66"/>
      <c r="G26" s="66"/>
      <c r="H26" s="464">
        <f t="shared" si="6"/>
        <v>0</v>
      </c>
    </row>
    <row r="27" spans="1:8" ht="13.5" customHeight="1">
      <c r="A27" s="54">
        <v>17</v>
      </c>
      <c r="B27" s="421">
        <f t="shared" si="5"/>
        <v>0</v>
      </c>
      <c r="C27" s="804"/>
      <c r="D27" s="66"/>
      <c r="E27" s="66"/>
      <c r="F27" s="66"/>
      <c r="G27" s="66"/>
      <c r="H27" s="464">
        <f t="shared" si="6"/>
        <v>0</v>
      </c>
    </row>
    <row r="28" spans="1:8" ht="13.5" customHeight="1">
      <c r="A28" s="54">
        <v>18</v>
      </c>
      <c r="B28" s="421">
        <f t="shared" si="5"/>
        <v>0</v>
      </c>
      <c r="C28" s="804"/>
      <c r="D28" s="66"/>
      <c r="E28" s="66"/>
      <c r="F28" s="66"/>
      <c r="G28" s="66"/>
      <c r="H28" s="464">
        <f t="shared" si="6"/>
        <v>0</v>
      </c>
    </row>
    <row r="29" spans="1:8" ht="13.5" customHeight="1" thickBot="1">
      <c r="A29" s="54">
        <v>19</v>
      </c>
      <c r="B29" s="421">
        <f t="shared" si="5"/>
        <v>0</v>
      </c>
      <c r="C29" s="804"/>
      <c r="D29" s="66"/>
      <c r="E29" s="66"/>
      <c r="F29" s="66"/>
      <c r="G29" s="66"/>
      <c r="H29" s="464">
        <f t="shared" si="6"/>
        <v>0</v>
      </c>
    </row>
    <row r="30" spans="1:8" ht="13.5" customHeight="1" thickBot="1">
      <c r="A30" s="59">
        <v>20</v>
      </c>
      <c r="B30" s="216" t="s">
        <v>125</v>
      </c>
      <c r="C30" s="576"/>
      <c r="D30" s="629">
        <f>SUM(D24:D29)</f>
        <v>0</v>
      </c>
      <c r="E30" s="629">
        <f>SUM(E24:E29)</f>
        <v>0</v>
      </c>
      <c r="F30" s="629">
        <f>SUM(F24:F29)</f>
        <v>0</v>
      </c>
      <c r="G30" s="629">
        <f>SUM(G24:G29)</f>
        <v>0</v>
      </c>
      <c r="H30" s="630">
        <f>SUM(H24:H29)</f>
        <v>0</v>
      </c>
    </row>
    <row r="31" spans="1:8" ht="13.5" customHeight="1" thickTop="1">
      <c r="A31" s="152"/>
      <c r="B31" s="153"/>
      <c r="C31" s="1171" t="s">
        <v>130</v>
      </c>
      <c r="D31" s="1171"/>
      <c r="E31" s="1171"/>
      <c r="F31" s="153"/>
      <c r="G31" s="153"/>
      <c r="H31" s="153"/>
    </row>
    <row r="32" spans="1:8" ht="27.75" customHeight="1">
      <c r="A32" s="1224" t="s">
        <v>486</v>
      </c>
      <c r="B32" s="1224"/>
      <c r="C32" s="1224"/>
      <c r="D32" s="1224"/>
      <c r="E32" s="1224"/>
      <c r="F32" s="1224"/>
      <c r="G32" s="1224"/>
      <c r="H32" s="1224"/>
    </row>
    <row r="33" spans="1:9" ht="37.5" customHeight="1" thickBot="1">
      <c r="A33" s="834" t="s">
        <v>5</v>
      </c>
      <c r="B33" s="191" t="s">
        <v>199</v>
      </c>
      <c r="C33" s="20"/>
      <c r="D33" s="188" t="s">
        <v>236</v>
      </c>
      <c r="E33" s="188" t="s">
        <v>237</v>
      </c>
      <c r="F33" s="188" t="s">
        <v>238</v>
      </c>
      <c r="G33" s="1239" t="s">
        <v>239</v>
      </c>
      <c r="H33" s="1240"/>
      <c r="I33" s="8"/>
    </row>
    <row r="34" spans="1:9" ht="13.5" customHeight="1" thickBot="1">
      <c r="A34" s="170">
        <v>21</v>
      </c>
      <c r="B34" s="1247" t="s">
        <v>485</v>
      </c>
      <c r="C34" s="1248"/>
      <c r="D34" s="454">
        <f>E21</f>
        <v>0</v>
      </c>
      <c r="E34" s="454">
        <f>F21</f>
        <v>0</v>
      </c>
      <c r="F34" s="454">
        <f>F30</f>
        <v>0</v>
      </c>
      <c r="G34" s="1146">
        <f>SUM(E34:F34)</f>
        <v>0</v>
      </c>
      <c r="H34" s="1232"/>
      <c r="I34" s="8"/>
    </row>
    <row r="35" spans="1:9" ht="13.5" customHeight="1">
      <c r="A35" s="64">
        <v>22</v>
      </c>
      <c r="B35" s="1237" t="str">
        <f>Months!B7&amp;" Cash Receipts &amp; Payments"</f>
        <v>July 2022 Cash Receipts &amp; Payments</v>
      </c>
      <c r="C35" s="1238"/>
      <c r="D35" s="93"/>
      <c r="E35" s="93"/>
      <c r="F35" s="93"/>
      <c r="G35" s="1251">
        <f>SUM(E35:F35)</f>
        <v>0</v>
      </c>
      <c r="H35" s="1252"/>
      <c r="I35" s="8"/>
    </row>
    <row r="36" spans="1:9" ht="13.5" customHeight="1">
      <c r="A36" s="54">
        <v>23</v>
      </c>
      <c r="B36" s="1241" t="str">
        <f>Months!B8&amp;" Cash Receipts &amp; Payments"</f>
        <v>August 2022 Cash Receipts &amp; Payments</v>
      </c>
      <c r="C36" s="1242"/>
      <c r="D36" s="93"/>
      <c r="E36" s="69"/>
      <c r="F36" s="93"/>
      <c r="G36" s="1233">
        <f aca="true" t="shared" si="7" ref="G36:G46">SUM(E36:F36)</f>
        <v>0</v>
      </c>
      <c r="H36" s="1234"/>
      <c r="I36" s="8"/>
    </row>
    <row r="37" spans="1:9" ht="13.5" customHeight="1">
      <c r="A37" s="54">
        <v>24</v>
      </c>
      <c r="B37" s="1241" t="str">
        <f>Months!B9&amp;" Cash Receipts &amp; Payments"</f>
        <v>September 2022 Cash Receipts &amp; Payments</v>
      </c>
      <c r="C37" s="1242"/>
      <c r="D37" s="69"/>
      <c r="E37" s="69"/>
      <c r="F37" s="69"/>
      <c r="G37" s="1233">
        <f t="shared" si="7"/>
        <v>0</v>
      </c>
      <c r="H37" s="1234"/>
      <c r="I37" s="8"/>
    </row>
    <row r="38" spans="1:9" ht="13.5" customHeight="1">
      <c r="A38" s="54">
        <v>25</v>
      </c>
      <c r="B38" s="1241" t="str">
        <f>Months!B10&amp;" Cash Receipts &amp; Payments"</f>
        <v>October 2022 Cash Receipts &amp; Payments</v>
      </c>
      <c r="C38" s="1242"/>
      <c r="D38" s="69"/>
      <c r="E38" s="69"/>
      <c r="F38" s="69"/>
      <c r="G38" s="1233">
        <f t="shared" si="7"/>
        <v>0</v>
      </c>
      <c r="H38" s="1234"/>
      <c r="I38" s="8"/>
    </row>
    <row r="39" spans="1:9" ht="13.5" customHeight="1">
      <c r="A39" s="54">
        <v>26</v>
      </c>
      <c r="B39" s="1241" t="str">
        <f>Months!B11&amp;" Cash Receipts &amp; Payments"</f>
        <v>November 2022 Cash Receipts &amp; Payments</v>
      </c>
      <c r="C39" s="1242"/>
      <c r="D39" s="69"/>
      <c r="E39" s="69"/>
      <c r="F39" s="69"/>
      <c r="G39" s="1233">
        <f t="shared" si="7"/>
        <v>0</v>
      </c>
      <c r="H39" s="1234"/>
      <c r="I39" s="8"/>
    </row>
    <row r="40" spans="1:9" ht="13.5" customHeight="1">
      <c r="A40" s="54">
        <v>27</v>
      </c>
      <c r="B40" s="1241" t="str">
        <f>Months!B12&amp;" Cash Receipts &amp; Payments"</f>
        <v>December 2022 Cash Receipts &amp; Payments</v>
      </c>
      <c r="C40" s="1242"/>
      <c r="D40" s="69"/>
      <c r="E40" s="69"/>
      <c r="F40" s="69"/>
      <c r="G40" s="1233">
        <f t="shared" si="7"/>
        <v>0</v>
      </c>
      <c r="H40" s="1234"/>
      <c r="I40" s="8"/>
    </row>
    <row r="41" spans="1:9" ht="13.5" customHeight="1">
      <c r="A41" s="54">
        <v>28</v>
      </c>
      <c r="B41" s="1241" t="str">
        <f>Months!B13&amp;" Cash Receipts &amp; Payments"</f>
        <v>January 2023 Cash Receipts &amp; Payments</v>
      </c>
      <c r="C41" s="1242"/>
      <c r="D41" s="69"/>
      <c r="E41" s="69"/>
      <c r="F41" s="69"/>
      <c r="G41" s="1233">
        <f t="shared" si="7"/>
        <v>0</v>
      </c>
      <c r="H41" s="1234"/>
      <c r="I41" s="8"/>
    </row>
    <row r="42" spans="1:9" ht="13.5" customHeight="1">
      <c r="A42" s="54">
        <v>29</v>
      </c>
      <c r="B42" s="1241" t="str">
        <f>Months!B14&amp;" Cash Receipts &amp; Payments"</f>
        <v>February 2023 Cash Receipts &amp; Payments</v>
      </c>
      <c r="C42" s="1242"/>
      <c r="D42" s="69"/>
      <c r="E42" s="69"/>
      <c r="F42" s="69"/>
      <c r="G42" s="1233">
        <f t="shared" si="7"/>
        <v>0</v>
      </c>
      <c r="H42" s="1234"/>
      <c r="I42" s="8"/>
    </row>
    <row r="43" spans="1:9" ht="13.5" customHeight="1">
      <c r="A43" s="54">
        <v>30</v>
      </c>
      <c r="B43" s="1241" t="str">
        <f>Months!B15&amp;" Cash Receipts &amp; Payments"</f>
        <v>March 2023 Cash Receipts &amp; Payments</v>
      </c>
      <c r="C43" s="1242"/>
      <c r="D43" s="69"/>
      <c r="E43" s="69"/>
      <c r="F43" s="69"/>
      <c r="G43" s="1233">
        <f t="shared" si="7"/>
        <v>0</v>
      </c>
      <c r="H43" s="1234"/>
      <c r="I43" s="8"/>
    </row>
    <row r="44" spans="1:9" ht="13.5" customHeight="1">
      <c r="A44" s="54">
        <v>31</v>
      </c>
      <c r="B44" s="1241" t="str">
        <f>Months!B16&amp;" Cash Receipts &amp; Payments"</f>
        <v>April 2023 Cash Receipts &amp; Payments</v>
      </c>
      <c r="C44" s="1242"/>
      <c r="D44" s="69"/>
      <c r="E44" s="69"/>
      <c r="F44" s="69"/>
      <c r="G44" s="1233">
        <f t="shared" si="7"/>
        <v>0</v>
      </c>
      <c r="H44" s="1234"/>
      <c r="I44" s="8"/>
    </row>
    <row r="45" spans="1:9" ht="13.5" customHeight="1">
      <c r="A45" s="54">
        <v>32</v>
      </c>
      <c r="B45" s="1241" t="str">
        <f>Months!B17&amp;" Cash Receipts &amp; Payments"</f>
        <v>May 2023 Cash Receipts &amp; Payments</v>
      </c>
      <c r="C45" s="1242"/>
      <c r="D45" s="69"/>
      <c r="E45" s="69"/>
      <c r="F45" s="69"/>
      <c r="G45" s="1233">
        <f t="shared" si="7"/>
        <v>0</v>
      </c>
      <c r="H45" s="1234"/>
      <c r="I45" s="8"/>
    </row>
    <row r="46" spans="1:9" ht="13.5" customHeight="1" thickBot="1">
      <c r="A46" s="126">
        <v>33</v>
      </c>
      <c r="B46" s="1249" t="str">
        <f>Months!B18&amp;" Cash Receipts &amp; Payments"</f>
        <v>June 2023 Cash Receipts &amp; Payments</v>
      </c>
      <c r="C46" s="1250"/>
      <c r="D46" s="231"/>
      <c r="E46" s="231"/>
      <c r="F46" s="231"/>
      <c r="G46" s="1233">
        <f t="shared" si="7"/>
        <v>0</v>
      </c>
      <c r="H46" s="1234"/>
      <c r="I46" s="8"/>
    </row>
    <row r="47" spans="1:9" ht="13.5" customHeight="1" thickBot="1">
      <c r="A47" s="59">
        <v>34</v>
      </c>
      <c r="B47" s="1124" t="s">
        <v>338</v>
      </c>
      <c r="C47" s="1125"/>
      <c r="D47" s="285">
        <f>SUM(D35:D46)</f>
        <v>0</v>
      </c>
      <c r="E47" s="285">
        <f>SUM(E35:E46)</f>
        <v>0</v>
      </c>
      <c r="F47" s="285">
        <f>SUM(F35:F46)</f>
        <v>0</v>
      </c>
      <c r="G47" s="1245">
        <f>SUM(G35:G46)</f>
        <v>0</v>
      </c>
      <c r="H47" s="1246"/>
      <c r="I47" s="8"/>
    </row>
    <row r="48" ht="15" customHeight="1" thickTop="1"/>
    <row r="49" spans="1:9" s="11" customFormat="1" ht="38.25" customHeight="1">
      <c r="A49" s="253" t="s">
        <v>340</v>
      </c>
      <c r="D49" s="244" t="str">
        <f>IF(ROUND(D47,0)=ROUND(E21,0),"OK","BALANCES DO NOT EQUAL")</f>
        <v>OK</v>
      </c>
      <c r="E49" s="244" t="str">
        <f>IF(ROUND(E47,0)=ROUND(F21,0),"OK","BALANCES DO NOT EQUAL")</f>
        <v>OK</v>
      </c>
      <c r="F49" s="244" t="str">
        <f>IF(ROUND(F47,0)=ROUND(F30,0),"OK","BALANCES DO NOT EQUAL")</f>
        <v>OK</v>
      </c>
      <c r="I49" s="146"/>
    </row>
  </sheetData>
  <sheetProtection password="EBD1" sheet="1"/>
  <mergeCells count="45">
    <mergeCell ref="F11:G11"/>
    <mergeCell ref="C4:E4"/>
    <mergeCell ref="B46:C46"/>
    <mergeCell ref="B47:C47"/>
    <mergeCell ref="G35:H35"/>
    <mergeCell ref="G36:H36"/>
    <mergeCell ref="F6:G6"/>
    <mergeCell ref="F7:G7"/>
    <mergeCell ref="F8:G8"/>
    <mergeCell ref="F9:G9"/>
    <mergeCell ref="B45:C45"/>
    <mergeCell ref="G46:H46"/>
    <mergeCell ref="G47:H47"/>
    <mergeCell ref="C31:E31"/>
    <mergeCell ref="C13:E13"/>
    <mergeCell ref="C22:E22"/>
    <mergeCell ref="B34:C34"/>
    <mergeCell ref="B40:C40"/>
    <mergeCell ref="B41:C41"/>
    <mergeCell ref="G45:H45"/>
    <mergeCell ref="A1:H1"/>
    <mergeCell ref="A2:H2"/>
    <mergeCell ref="A3:H3"/>
    <mergeCell ref="A5:H5"/>
    <mergeCell ref="A32:H32"/>
    <mergeCell ref="B42:C42"/>
    <mergeCell ref="B37:C37"/>
    <mergeCell ref="B38:C38"/>
    <mergeCell ref="B39:C39"/>
    <mergeCell ref="F10:G10"/>
    <mergeCell ref="G44:H44"/>
    <mergeCell ref="G37:H37"/>
    <mergeCell ref="G38:H38"/>
    <mergeCell ref="G39:H39"/>
    <mergeCell ref="B43:C43"/>
    <mergeCell ref="B44:C44"/>
    <mergeCell ref="G40:H40"/>
    <mergeCell ref="G41:H41"/>
    <mergeCell ref="G42:H42"/>
    <mergeCell ref="G34:H34"/>
    <mergeCell ref="G43:H43"/>
    <mergeCell ref="F12:G12"/>
    <mergeCell ref="B35:C35"/>
    <mergeCell ref="G33:H33"/>
    <mergeCell ref="B36:C36"/>
  </mergeCells>
  <conditionalFormatting sqref="D49:F49">
    <cfRule type="containsText" priority="3" dxfId="0" operator="containsText" stopIfTrue="1" text="BALANCES DO NOT EQUAL">
      <formula>NOT(ISERROR(SEARCH("BALANCES DO NOT EQUAL",D49)))</formula>
    </cfRule>
    <cfRule type="containsText" priority="4" dxfId="0" operator="containsText" stopIfTrue="1" text="BALANCES DO NOT EQUAL">
      <formula>NOT(ISERROR(SEARCH("BALANCES DO NOT EQUAL",D49)))</formula>
    </cfRule>
  </conditionalFormatting>
  <conditionalFormatting sqref="J7:J12">
    <cfRule type="containsText" priority="2" dxfId="0" operator="containsText" stopIfTrue="1" text="ERROR">
      <formula>NOT(ISERROR(SEARCH("ERROR",J7)))</formula>
    </cfRule>
  </conditionalFormatting>
  <conditionalFormatting sqref="J15:J20">
    <cfRule type="containsText" priority="1" dxfId="0" operator="containsText" stopIfTrue="1" text="ERROR">
      <formula>NOT(ISERROR(SEARCH("ERROR",J15)))</formula>
    </cfRule>
  </conditionalFormatting>
  <dataValidations count="4">
    <dataValidation type="list" allowBlank="1" showInputMessage="1" showErrorMessage="1" sqref="E7:E12 H7:H12">
      <formula1>"Yes,No"</formula1>
    </dataValidation>
    <dataValidation errorStyle="warning" type="date" allowBlank="1" showInputMessage="1" showErrorMessage="1" error="The maturity date does not appear correct.  Please review it to ensure it is accurate." sqref="D7:D12">
      <formula1>44197</formula1>
      <formula2>65746</formula2>
    </dataValidation>
    <dataValidation errorStyle="warning" type="date" allowBlank="1" showInputMessage="1" showErrorMessage="1" error="The date incurred for the loan does not appear correct.  Please review it and ensure it is accurate." sqref="C7:C12">
      <formula1>32874</formula1>
      <formula2>45107</formula2>
    </dataValidation>
    <dataValidation allowBlank="1" showInputMessage="1" showErrorMessage="1" prompt="Insert the percent of each debt that was used for K-12 educational programming. If not fully used for educational programming, an allocation method should be used." sqref="C15:C20"/>
  </dataValidations>
  <printOptions horizontalCentered="1"/>
  <pageMargins left="0.33" right="0.24" top="0.36" bottom="0.21" header="0.17" footer="0.17"/>
  <pageSetup firstPageNumber="1" useFirstPageNumber="1" fitToHeight="1" fitToWidth="1" horizontalDpi="600" verticalDpi="600" orientation="portrait" scale="95" r:id="rId1"/>
  <headerFooter alignWithMargins="0">
    <oddHeader>&amp;LPI-PCP-14&amp;RPage 17</oddHeader>
  </headerFooter>
</worksheet>
</file>

<file path=xl/worksheets/sheet23.xml><?xml version="1.0" encoding="utf-8"?>
<worksheet xmlns="http://schemas.openxmlformats.org/spreadsheetml/2006/main" xmlns:r="http://schemas.openxmlformats.org/officeDocument/2006/relationships">
  <sheetPr>
    <tabColor theme="6" tint="0.5999900102615356"/>
    <pageSetUpPr fitToPage="1"/>
  </sheetPr>
  <dimension ref="A1:K47"/>
  <sheetViews>
    <sheetView showGridLines="0" workbookViewId="0" topLeftCell="A1">
      <selection activeCell="A4" sqref="A4:F4"/>
    </sheetView>
  </sheetViews>
  <sheetFormatPr defaultColWidth="8.8515625" defaultRowHeight="15" customHeight="1"/>
  <cols>
    <col min="1" max="1" width="4.421875" style="25" customWidth="1"/>
    <col min="2" max="2" width="36.8515625" style="5" customWidth="1"/>
    <col min="3" max="3" width="13.57421875" style="5" customWidth="1"/>
    <col min="4" max="5" width="15.00390625" style="5" customWidth="1"/>
    <col min="6" max="6" width="13.57421875" style="5" customWidth="1"/>
    <col min="7" max="7" width="15.140625" style="25" customWidth="1"/>
    <col min="8" max="8" width="17.8515625" style="5" bestFit="1" customWidth="1"/>
    <col min="9" max="16384" width="8.8515625" style="5" customWidth="1"/>
  </cols>
  <sheetData>
    <row r="1" spans="1:8" ht="15" customHeight="1">
      <c r="A1" s="1258">
        <f>'Cover Page'!$A$9</f>
        <v>0</v>
      </c>
      <c r="B1" s="1258"/>
      <c r="C1" s="1258"/>
      <c r="D1" s="1258"/>
      <c r="E1" s="1258"/>
      <c r="F1" s="1258"/>
      <c r="G1" s="22"/>
      <c r="H1" s="24"/>
    </row>
    <row r="2" spans="1:11" ht="15" customHeight="1">
      <c r="A2" s="1258" t="s">
        <v>472</v>
      </c>
      <c r="B2" s="1258"/>
      <c r="C2" s="1258"/>
      <c r="D2" s="1258"/>
      <c r="E2" s="1258"/>
      <c r="F2" s="1258"/>
      <c r="G2" s="22"/>
      <c r="H2" s="8"/>
      <c r="I2" s="24"/>
      <c r="J2" s="24"/>
      <c r="K2" s="24"/>
    </row>
    <row r="3" spans="1:11" ht="15" customHeight="1" thickBot="1">
      <c r="A3" s="1182" t="str">
        <f>Months!C4&amp;" and PROJECTED "&amp;Months!C5</f>
        <v>JUNE 30, 2022 and PROJECTED JUNE 30, 2023</v>
      </c>
      <c r="B3" s="1182"/>
      <c r="C3" s="1182"/>
      <c r="D3" s="1182"/>
      <c r="E3" s="1182"/>
      <c r="F3" s="1182"/>
      <c r="G3" s="22"/>
      <c r="H3" s="8"/>
      <c r="I3" s="24"/>
      <c r="J3" s="24"/>
      <c r="K3" s="24"/>
    </row>
    <row r="4" spans="1:11" ht="162.75" customHeight="1" thickBot="1" thickTop="1">
      <c r="A4" s="1187" t="s">
        <v>864</v>
      </c>
      <c r="B4" s="1188"/>
      <c r="C4" s="1188"/>
      <c r="D4" s="1188"/>
      <c r="E4" s="1188"/>
      <c r="F4" s="1188"/>
      <c r="G4" s="22"/>
      <c r="H4" s="8"/>
      <c r="I4" s="24"/>
      <c r="J4" s="24"/>
      <c r="K4" s="24"/>
    </row>
    <row r="5" spans="1:11" ht="15" customHeight="1" thickTop="1">
      <c r="A5" s="91"/>
      <c r="B5" s="91"/>
      <c r="C5" s="1171" t="s">
        <v>25</v>
      </c>
      <c r="D5" s="1171"/>
      <c r="E5" s="91"/>
      <c r="F5" s="91"/>
      <c r="G5" s="22"/>
      <c r="H5" s="8"/>
      <c r="I5" s="24"/>
      <c r="J5" s="24"/>
      <c r="K5" s="24"/>
    </row>
    <row r="6" spans="1:9" s="200" customFormat="1" ht="12" customHeight="1">
      <c r="A6" s="422"/>
      <c r="B6" s="205" t="s">
        <v>6</v>
      </c>
      <c r="C6" s="204" t="s">
        <v>7</v>
      </c>
      <c r="D6" s="205" t="s">
        <v>8</v>
      </c>
      <c r="E6" s="205" t="s">
        <v>9</v>
      </c>
      <c r="F6" s="205" t="s">
        <v>10</v>
      </c>
      <c r="G6" s="386"/>
      <c r="H6" s="386"/>
      <c r="I6" s="386"/>
    </row>
    <row r="7" spans="1:6" ht="21.75" customHeight="1">
      <c r="A7" s="201" t="s">
        <v>5</v>
      </c>
      <c r="B7" s="332" t="s">
        <v>55</v>
      </c>
      <c r="C7" s="202" t="str">
        <f>Months!B4</f>
        <v>June 30, 2022</v>
      </c>
      <c r="D7" s="377" t="s">
        <v>358</v>
      </c>
      <c r="E7" s="207" t="s">
        <v>450</v>
      </c>
      <c r="F7" s="203" t="str">
        <f>Months!B5</f>
        <v>June 30, 2023</v>
      </c>
    </row>
    <row r="8" spans="1:6" ht="15" customHeight="1">
      <c r="A8" s="82">
        <v>1</v>
      </c>
      <c r="B8" s="210" t="s">
        <v>41</v>
      </c>
      <c r="C8" s="714"/>
      <c r="D8" s="715"/>
      <c r="E8" s="716"/>
      <c r="F8" s="717">
        <f>C8+'SCH 8-2 Jan - Jun Cash Flows'!J34+'SCH 7-1 Net Assets'!E8</f>
        <v>0</v>
      </c>
    </row>
    <row r="9" spans="1:8" ht="15" customHeight="1">
      <c r="A9" s="82">
        <v>2</v>
      </c>
      <c r="B9" s="210" t="s">
        <v>370</v>
      </c>
      <c r="C9" s="714"/>
      <c r="D9" s="715"/>
      <c r="E9" s="716"/>
      <c r="F9" s="717">
        <f>C9+E9</f>
        <v>0</v>
      </c>
      <c r="H9" s="5" t="s">
        <v>639</v>
      </c>
    </row>
    <row r="10" spans="1:6" ht="15" customHeight="1">
      <c r="A10" s="82">
        <v>3</v>
      </c>
      <c r="B10" s="210" t="s">
        <v>596</v>
      </c>
      <c r="C10" s="714"/>
      <c r="D10" s="714"/>
      <c r="E10" s="714"/>
      <c r="F10" s="714"/>
    </row>
    <row r="11" spans="1:6" ht="15" customHeight="1" thickBot="1">
      <c r="A11" s="86">
        <v>4</v>
      </c>
      <c r="B11" s="273" t="s">
        <v>314</v>
      </c>
      <c r="C11" s="717">
        <f>SUM('SCH 3-1 Expenses'!I29,'SCH 3-2 Expenses'!C29:F29,'SCH 3-3 Expenses'!C28:E28,'SCH 5-3 Leases'!E23:F23)</f>
        <v>0</v>
      </c>
      <c r="D11" s="718"/>
      <c r="E11" s="716"/>
      <c r="F11" s="717">
        <f>SUM('SCH 3-1 Expenses'!I45,'SCH 3-2 Expenses'!C45:F45,'SCH 3-3 Expenses'!C44:E44,'SCH 5-3 Leases'!E38:F38)+E11</f>
        <v>0</v>
      </c>
    </row>
    <row r="12" spans="1:6" ht="15" customHeight="1" thickBot="1">
      <c r="A12" s="274">
        <v>5</v>
      </c>
      <c r="B12" s="331" t="s">
        <v>206</v>
      </c>
      <c r="C12" s="719">
        <f>SUM(C8:C11)</f>
        <v>0</v>
      </c>
      <c r="D12" s="720"/>
      <c r="E12" s="721"/>
      <c r="F12" s="719">
        <f>SUM(F8:F11)</f>
        <v>0</v>
      </c>
    </row>
    <row r="13" spans="1:6" ht="15" customHeight="1">
      <c r="A13" s="296">
        <v>6</v>
      </c>
      <c r="B13" s="256" t="s">
        <v>766</v>
      </c>
      <c r="C13" s="722">
        <f>'SCH 5-1 Fixed Assets'!D13</f>
        <v>0</v>
      </c>
      <c r="D13" s="723"/>
      <c r="E13" s="724"/>
      <c r="F13" s="722">
        <f>'SCH 5-1 Fixed Assets'!G13</f>
        <v>0</v>
      </c>
    </row>
    <row r="14" spans="1:6" ht="15" customHeight="1">
      <c r="A14" s="82">
        <v>7</v>
      </c>
      <c r="B14" s="256" t="s">
        <v>315</v>
      </c>
      <c r="C14" s="725">
        <f>-'SCH 5-1 Fixed Assets'!D22</f>
        <v>0</v>
      </c>
      <c r="D14" s="726"/>
      <c r="E14" s="727"/>
      <c r="F14" s="728">
        <f>-'SCH 5-1 Fixed Assets'!G22</f>
        <v>0</v>
      </c>
    </row>
    <row r="15" spans="1:6" ht="15" customHeight="1">
      <c r="A15" s="82">
        <v>8</v>
      </c>
      <c r="B15" s="256" t="s">
        <v>727</v>
      </c>
      <c r="C15" s="725">
        <f>SUM('SCH 5-3 Leases'!E15:G15)</f>
        <v>0</v>
      </c>
      <c r="D15" s="726"/>
      <c r="E15" s="727"/>
      <c r="F15" s="728">
        <f>SUM('SCH 5-3 Leases'!F15:G15)</f>
        <v>0</v>
      </c>
    </row>
    <row r="16" spans="1:6" ht="15" customHeight="1">
      <c r="A16" s="83">
        <v>9</v>
      </c>
      <c r="B16" s="272" t="s">
        <v>595</v>
      </c>
      <c r="C16" s="728">
        <f>ROUND(('SCH 4-2 Revenue'!D33-C10+SUM('SCH 4-1 Revenue'!C29:D29)+SUM('SCH 4-3 Revenue'!C27:E27)+'SCH 4-4 Revenue'!H18),0)</f>
        <v>0</v>
      </c>
      <c r="D16" s="714"/>
      <c r="E16" s="729"/>
      <c r="F16" s="725">
        <f>ROUND(('SCH 4-2 Revenue'!D49-F10-D16+E16-D10+SUM('SCH 4-1 Revenue'!C45:D45)+SUM('SCH 4-3 Revenue'!C43:E43)+'SCH 4-4 Revenue'!H34),0)</f>
        <v>0</v>
      </c>
    </row>
    <row r="17" spans="1:6" ht="15" customHeight="1">
      <c r="A17" s="82">
        <v>10</v>
      </c>
      <c r="B17" s="210" t="s">
        <v>371</v>
      </c>
      <c r="C17" s="714"/>
      <c r="D17" s="715"/>
      <c r="E17" s="716"/>
      <c r="F17" s="717">
        <f>C17+E17</f>
        <v>0</v>
      </c>
    </row>
    <row r="18" spans="1:6" ht="15" customHeight="1" thickBot="1">
      <c r="A18" s="84">
        <v>11</v>
      </c>
      <c r="B18" s="257" t="s">
        <v>581</v>
      </c>
      <c r="C18" s="730"/>
      <c r="D18" s="730"/>
      <c r="E18" s="730"/>
      <c r="F18" s="731">
        <f>C18+E18-D18</f>
        <v>0</v>
      </c>
    </row>
    <row r="19" spans="1:6" ht="15" customHeight="1" thickBot="1">
      <c r="A19" s="85">
        <v>12</v>
      </c>
      <c r="B19" s="4" t="s">
        <v>26</v>
      </c>
      <c r="C19" s="732">
        <f>SUM(C12:C18)</f>
        <v>0</v>
      </c>
      <c r="D19" s="733">
        <f>SUM(D10,D16,D18)</f>
        <v>0</v>
      </c>
      <c r="E19" s="734">
        <f>SUM(E8:E11,E16:E18)</f>
        <v>0</v>
      </c>
      <c r="F19" s="732">
        <f>SUM(F12:F18)</f>
        <v>0</v>
      </c>
    </row>
    <row r="20" spans="1:11" ht="15" customHeight="1" thickTop="1">
      <c r="A20" s="81"/>
      <c r="B20" s="81"/>
      <c r="C20" s="1171" t="s">
        <v>27</v>
      </c>
      <c r="D20" s="1171"/>
      <c r="E20" s="81"/>
      <c r="F20" s="81"/>
      <c r="G20" s="22"/>
      <c r="H20" s="8"/>
      <c r="I20" s="24"/>
      <c r="J20" s="24"/>
      <c r="K20" s="24"/>
    </row>
    <row r="21" spans="1:9" s="200" customFormat="1" ht="12" customHeight="1">
      <c r="A21" s="422"/>
      <c r="B21" s="205" t="s">
        <v>6</v>
      </c>
      <c r="C21" s="204" t="s">
        <v>7</v>
      </c>
      <c r="D21" s="204" t="s">
        <v>8</v>
      </c>
      <c r="E21" s="205" t="s">
        <v>9</v>
      </c>
      <c r="F21" s="205" t="s">
        <v>10</v>
      </c>
      <c r="G21" s="386"/>
      <c r="H21" s="386"/>
      <c r="I21" s="386"/>
    </row>
    <row r="22" spans="1:7" s="26" customFormat="1" ht="27" customHeight="1">
      <c r="A22" s="201" t="s">
        <v>5</v>
      </c>
      <c r="B22" s="332" t="s">
        <v>55</v>
      </c>
      <c r="C22" s="206" t="str">
        <f>Months!B4</f>
        <v>June 30, 2022</v>
      </c>
      <c r="D22" s="207" t="s">
        <v>451</v>
      </c>
      <c r="E22" s="207" t="s">
        <v>450</v>
      </c>
      <c r="F22" s="203" t="str">
        <f>Months!B5</f>
        <v>June 30, 2023</v>
      </c>
      <c r="G22" s="35"/>
    </row>
    <row r="23" spans="1:8" ht="15" customHeight="1">
      <c r="A23" s="86">
        <v>13</v>
      </c>
      <c r="B23" s="210" t="s">
        <v>50</v>
      </c>
      <c r="C23" s="735">
        <f>'SCH 3-1 Expenses'!D30+'SCH 3-1 Expenses'!H30</f>
        <v>0</v>
      </c>
      <c r="D23" s="729"/>
      <c r="E23" s="716"/>
      <c r="F23" s="717">
        <f>'SCH 3-1 Expenses'!D46+'SCH 3-1 Expenses'!H46-D23+E23</f>
        <v>0</v>
      </c>
      <c r="H23" s="632"/>
    </row>
    <row r="24" spans="1:6" ht="15" customHeight="1">
      <c r="A24" s="86">
        <v>14</v>
      </c>
      <c r="B24" s="210" t="s">
        <v>51</v>
      </c>
      <c r="C24" s="735">
        <f>SUM('SCH 3-1 Expenses'!F30:G30)</f>
        <v>0</v>
      </c>
      <c r="D24" s="729"/>
      <c r="E24" s="716"/>
      <c r="F24" s="717">
        <f>SUM('SCH 3-1 Expenses'!F46:G46)-D24+E24</f>
        <v>0</v>
      </c>
    </row>
    <row r="25" spans="1:6" ht="15" customHeight="1">
      <c r="A25" s="82">
        <v>15</v>
      </c>
      <c r="B25" s="210" t="s">
        <v>52</v>
      </c>
      <c r="C25" s="735">
        <f>SUM('SCH 3-2 Expenses'!C30:F30,'SCH 3-3 Expenses'!C29:E29)+'SCH 5-1 Fixed Assets'!D27</f>
        <v>0</v>
      </c>
      <c r="D25" s="729"/>
      <c r="E25" s="716"/>
      <c r="F25" s="717">
        <f>SUM('SCH 3-2 Expenses'!C46:F46,'SCH 3-3 Expenses'!C45:E45)-D25+E25+'SCH 5-1 Fixed Assets'!D42</f>
        <v>0</v>
      </c>
    </row>
    <row r="26" spans="1:6" ht="15" customHeight="1">
      <c r="A26" s="82">
        <v>16</v>
      </c>
      <c r="B26" s="210" t="s">
        <v>250</v>
      </c>
      <c r="C26" s="735">
        <f>SUM('SCH 4-1 Revenue'!C28:D28,'SCH 4-2 Revenue'!D32:E32,'SCH 4-3 Revenue'!C26:E26,'SCH 4-4 Revenue'!H17)</f>
        <v>0</v>
      </c>
      <c r="D26" s="715"/>
      <c r="E26" s="716"/>
      <c r="F26" s="717">
        <f>SUM('SCH 4-1 Revenue'!C44:D44,'SCH 4-2 Revenue'!D48:E48,'SCH 4-3 Revenue'!C42:E42,'SCH 4-4 Revenue'!H33)+E26</f>
        <v>0</v>
      </c>
    </row>
    <row r="27" spans="1:6" ht="15" customHeight="1">
      <c r="A27" s="82">
        <v>17</v>
      </c>
      <c r="B27" s="210" t="s">
        <v>136</v>
      </c>
      <c r="C27" s="735">
        <f>'SCH 6 Debt'!D30</f>
        <v>0</v>
      </c>
      <c r="D27" s="715"/>
      <c r="E27" s="736"/>
      <c r="F27" s="717">
        <f>'SCH 6 Debt'!H30</f>
        <v>0</v>
      </c>
    </row>
    <row r="28" spans="1:6" ht="15" customHeight="1">
      <c r="A28" s="83">
        <v>18</v>
      </c>
      <c r="B28" s="333" t="s">
        <v>739</v>
      </c>
      <c r="C28" s="737">
        <f>SUM('SCH 5-3 Leases'!E22:F22,'SCH 5-3 Leases'!E7:E14)</f>
        <v>0</v>
      </c>
      <c r="D28" s="738"/>
      <c r="E28" s="739"/>
      <c r="F28" s="737">
        <f>SUM('SCH 5-3 Leases'!F7:F14)+'SCH 5-3 Leases'!E24-'SCH 5-3 Leases'!E37+'SCH 5-3 Leases'!F24-'SCH 5-3 Leases'!F37</f>
        <v>0</v>
      </c>
    </row>
    <row r="29" spans="1:6" ht="15" customHeight="1" thickBot="1">
      <c r="A29" s="83">
        <v>19</v>
      </c>
      <c r="B29" s="333" t="s">
        <v>740</v>
      </c>
      <c r="C29" s="737">
        <f>ROUND(('SCH 6 Debt'!D21-C32),0)</f>
        <v>0</v>
      </c>
      <c r="D29" s="738"/>
      <c r="E29" s="739"/>
      <c r="F29" s="737">
        <f>ROUND(('SCH 6 Debt'!H21-F32),0)</f>
        <v>0</v>
      </c>
    </row>
    <row r="30" spans="1:6" ht="15" customHeight="1" thickBot="1">
      <c r="A30" s="274">
        <v>20</v>
      </c>
      <c r="B30" s="331" t="s">
        <v>207</v>
      </c>
      <c r="C30" s="740">
        <f>SUM(C23:C29)</f>
        <v>0</v>
      </c>
      <c r="D30" s="720"/>
      <c r="E30" s="721"/>
      <c r="F30" s="741">
        <f>SUM(F23:F29)</f>
        <v>0</v>
      </c>
    </row>
    <row r="31" spans="1:6" ht="15" customHeight="1">
      <c r="A31" s="952">
        <v>21</v>
      </c>
      <c r="B31" s="273" t="s">
        <v>741</v>
      </c>
      <c r="C31" s="951">
        <f>SUM('SCH 5-3 Leases'!F7:G14)</f>
        <v>0</v>
      </c>
      <c r="D31" s="718"/>
      <c r="E31" s="736"/>
      <c r="F31" s="949">
        <f>SUM('SCH 5-3 Leases'!G7:G14)</f>
        <v>0</v>
      </c>
    </row>
    <row r="32" spans="1:6" ht="15" customHeight="1">
      <c r="A32" s="87">
        <v>22</v>
      </c>
      <c r="B32" s="273" t="s">
        <v>742</v>
      </c>
      <c r="C32" s="950"/>
      <c r="D32" s="718"/>
      <c r="E32" s="736"/>
      <c r="F32" s="716"/>
    </row>
    <row r="33" spans="1:6" ht="15" customHeight="1" thickBot="1">
      <c r="A33" s="83">
        <v>23</v>
      </c>
      <c r="B33" s="334" t="s">
        <v>582</v>
      </c>
      <c r="C33" s="742"/>
      <c r="D33" s="742"/>
      <c r="E33" s="743"/>
      <c r="F33" s="722">
        <f>C33-D33+E33</f>
        <v>0</v>
      </c>
    </row>
    <row r="34" spans="1:6" ht="15" customHeight="1" thickBot="1">
      <c r="A34" s="88">
        <v>24</v>
      </c>
      <c r="B34" s="36" t="s">
        <v>28</v>
      </c>
      <c r="C34" s="744">
        <f>SUM(C30:C33)</f>
        <v>0</v>
      </c>
      <c r="D34" s="745">
        <f>SUM(D23:D25,D33)</f>
        <v>0</v>
      </c>
      <c r="E34" s="746">
        <f>SUM(E23:E26,E33)</f>
        <v>0</v>
      </c>
      <c r="F34" s="747">
        <f>SUM(F30:F33)</f>
        <v>0</v>
      </c>
    </row>
    <row r="35" spans="1:6" ht="15" customHeight="1" thickBot="1" thickTop="1">
      <c r="A35" s="89">
        <v>25</v>
      </c>
      <c r="B35" s="4" t="s">
        <v>471</v>
      </c>
      <c r="C35" s="748">
        <f>C19-C34</f>
        <v>0</v>
      </c>
      <c r="D35" s="749"/>
      <c r="E35" s="750">
        <f>E19-E34</f>
        <v>0</v>
      </c>
      <c r="F35" s="751">
        <f>F19-F34</f>
        <v>0</v>
      </c>
    </row>
    <row r="36" spans="1:6" ht="13.5" customHeight="1" thickBot="1" thickTop="1">
      <c r="A36" s="298" t="s">
        <v>452</v>
      </c>
      <c r="B36" s="299"/>
      <c r="C36" s="299"/>
      <c r="D36" s="299"/>
      <c r="E36" s="299"/>
      <c r="F36" s="299"/>
    </row>
    <row r="37" spans="1:11" ht="15" customHeight="1" thickTop="1">
      <c r="A37" s="81"/>
      <c r="B37" s="81"/>
      <c r="C37" s="1171" t="s">
        <v>252</v>
      </c>
      <c r="D37" s="1171"/>
      <c r="E37" s="81"/>
      <c r="F37" s="81"/>
      <c r="G37" s="22"/>
      <c r="H37" s="8"/>
      <c r="I37" s="24"/>
      <c r="J37" s="24"/>
      <c r="K37" s="24"/>
    </row>
    <row r="38" spans="1:6" ht="15" customHeight="1">
      <c r="A38" s="82">
        <v>26</v>
      </c>
      <c r="B38" s="335" t="s">
        <v>251</v>
      </c>
      <c r="C38" s="425">
        <f>C12-C30</f>
        <v>0</v>
      </c>
      <c r="D38" s="426"/>
      <c r="E38" s="427"/>
      <c r="F38" s="428">
        <f>F12-F30</f>
        <v>0</v>
      </c>
    </row>
    <row r="39" spans="1:6" ht="28.5" customHeight="1">
      <c r="A39" s="378"/>
      <c r="B39" s="993" t="str">
        <f>"If the net current obligation is less than $15,000, summarize how the entity plans to fund operations for the months of July, August, and September until the September "&amp;Months!B30&amp;" Choice/SNSP payment."</f>
        <v>If the net current obligation is less than $15,000, summarize how the entity plans to fund operations for the months of July, August, and September until the September 2023 Choice/SNSP payment.</v>
      </c>
      <c r="C39" s="993"/>
      <c r="D39" s="993"/>
      <c r="E39" s="993"/>
      <c r="F39" s="993"/>
    </row>
    <row r="40" spans="1:7" ht="37.5" customHeight="1" thickBot="1">
      <c r="A40" s="379">
        <v>27</v>
      </c>
      <c r="B40" s="1219"/>
      <c r="C40" s="1105"/>
      <c r="D40" s="1105"/>
      <c r="E40" s="1105"/>
      <c r="F40" s="1105"/>
      <c r="G40" s="423" t="str">
        <f>IF(F38&lt;15000,"REQUIRED","NOT REQUIRED")</f>
        <v>REQUIRED</v>
      </c>
    </row>
    <row r="41" spans="1:11" ht="15" customHeight="1" thickTop="1">
      <c r="A41" s="91"/>
      <c r="B41" s="91"/>
      <c r="C41" s="1171" t="s">
        <v>566</v>
      </c>
      <c r="D41" s="1171"/>
      <c r="E41" s="91"/>
      <c r="F41" s="91"/>
      <c r="G41" s="22"/>
      <c r="H41" s="8"/>
      <c r="I41" s="24"/>
      <c r="J41" s="24"/>
      <c r="K41" s="24"/>
    </row>
    <row r="42" spans="1:6" ht="15" customHeight="1">
      <c r="A42" s="829">
        <v>28</v>
      </c>
      <c r="B42" s="1259" t="s">
        <v>567</v>
      </c>
      <c r="C42" s="1260"/>
      <c r="D42" s="1260"/>
      <c r="E42" s="1261"/>
      <c r="F42" s="725">
        <f>F35-'SCH 8-2 Jan - Jun Cash Flows'!J7</f>
        <v>0</v>
      </c>
    </row>
    <row r="43" spans="1:6" ht="15" customHeight="1" thickBot="1">
      <c r="A43" s="828">
        <v>29</v>
      </c>
      <c r="B43" s="1255" t="s">
        <v>568</v>
      </c>
      <c r="C43" s="1256"/>
      <c r="D43" s="1256"/>
      <c r="E43" s="1257"/>
      <c r="F43" s="827">
        <f>F38-'SCH 8-2 Jan - Jun Cash Flows'!J7</f>
        <v>0</v>
      </c>
    </row>
    <row r="44" ht="15" customHeight="1" thickTop="1"/>
    <row r="47" ht="15" customHeight="1">
      <c r="H47" s="424"/>
    </row>
  </sheetData>
  <sheetProtection password="EBD1" sheet="1"/>
  <mergeCells count="12">
    <mergeCell ref="A2:F2"/>
    <mergeCell ref="A3:F3"/>
    <mergeCell ref="A1:F1"/>
    <mergeCell ref="A4:F4"/>
    <mergeCell ref="B39:F39"/>
    <mergeCell ref="B42:E42"/>
    <mergeCell ref="B43:E43"/>
    <mergeCell ref="C5:D5"/>
    <mergeCell ref="C20:D20"/>
    <mergeCell ref="C37:D37"/>
    <mergeCell ref="C41:D41"/>
    <mergeCell ref="B40:F40"/>
  </mergeCells>
  <conditionalFormatting sqref="G40">
    <cfRule type="containsText" priority="1" dxfId="0" operator="containsText" stopIfTrue="1" text="REQUIRED">
      <formula>NOT(ISERROR(SEARCH("REQUIRED",G40)))</formula>
    </cfRule>
  </conditionalFormatting>
  <printOptions horizontalCentered="1"/>
  <pageMargins left="0.39" right="0.35" top="0.42" bottom="0.21" header="0.2" footer="0.16"/>
  <pageSetup fitToHeight="1" fitToWidth="1" horizontalDpi="600" verticalDpi="600" orientation="portrait" scale="94" r:id="rId1"/>
  <headerFooter alignWithMargins="0">
    <oddHeader>&amp;L PI-PCP-14&amp;RPage 18</oddHeader>
  </headerFooter>
</worksheet>
</file>

<file path=xl/worksheets/sheet24.xml><?xml version="1.0" encoding="utf-8"?>
<worksheet xmlns="http://schemas.openxmlformats.org/spreadsheetml/2006/main" xmlns:r="http://schemas.openxmlformats.org/officeDocument/2006/relationships">
  <sheetPr>
    <tabColor theme="6" tint="0.5999900102615356"/>
    <pageSetUpPr fitToPage="1"/>
  </sheetPr>
  <dimension ref="A1:K42"/>
  <sheetViews>
    <sheetView showGridLines="0" showOutlineSymbols="0" workbookViewId="0" topLeftCell="A21">
      <selection activeCell="J39" sqref="J39"/>
    </sheetView>
  </sheetViews>
  <sheetFormatPr defaultColWidth="9.140625" defaultRowHeight="12.75"/>
  <cols>
    <col min="1" max="1" width="3.00390625" style="8" customWidth="1"/>
    <col min="2" max="2" width="25.421875" style="10" customWidth="1"/>
    <col min="3" max="3" width="19.57421875" style="8" customWidth="1"/>
    <col min="4" max="4" width="11.00390625" style="8" customWidth="1"/>
    <col min="5" max="5" width="10.421875" style="8" customWidth="1"/>
    <col min="6" max="6" width="13.57421875" style="8" bestFit="1" customWidth="1"/>
    <col min="7" max="7" width="13.57421875" style="8" customWidth="1"/>
    <col min="8" max="8" width="9.140625" style="10" customWidth="1"/>
    <col min="9" max="9" width="10.421875" style="8" bestFit="1" customWidth="1"/>
    <col min="10" max="10" width="10.140625" style="8" bestFit="1" customWidth="1"/>
    <col min="11" max="16384" width="9.140625" style="8" customWidth="1"/>
  </cols>
  <sheetData>
    <row r="1" spans="1:7" ht="16.5" customHeight="1">
      <c r="A1" s="1069">
        <f>'Cover Page'!A9</f>
        <v>0</v>
      </c>
      <c r="B1" s="1069"/>
      <c r="C1" s="1069"/>
      <c r="D1" s="1069"/>
      <c r="E1" s="1069"/>
      <c r="F1" s="1069"/>
      <c r="G1" s="1069"/>
    </row>
    <row r="2" spans="1:7" ht="16.5" customHeight="1">
      <c r="A2" s="1035" t="s">
        <v>473</v>
      </c>
      <c r="B2" s="1035"/>
      <c r="C2" s="1035"/>
      <c r="D2" s="1035"/>
      <c r="E2" s="1035"/>
      <c r="F2" s="1035"/>
      <c r="G2" s="1035"/>
    </row>
    <row r="3" spans="1:7" ht="16.5" customHeight="1" thickBot="1">
      <c r="A3" s="1109" t="str">
        <f>'Required Attachments'!A3</f>
        <v>Budget for the period from July 1, 2022 to June 30, 2023</v>
      </c>
      <c r="B3" s="1109"/>
      <c r="C3" s="1109"/>
      <c r="D3" s="1109"/>
      <c r="E3" s="1109"/>
      <c r="F3" s="1109"/>
      <c r="G3" s="1109"/>
    </row>
    <row r="4" spans="1:7" ht="12.75" customHeight="1" thickTop="1">
      <c r="A4" s="51"/>
      <c r="B4" s="73"/>
      <c r="C4" s="1225" t="s">
        <v>208</v>
      </c>
      <c r="D4" s="1225"/>
      <c r="E4" s="1225"/>
      <c r="F4" s="73"/>
      <c r="G4" s="73"/>
    </row>
    <row r="5" spans="1:8" s="11" customFormat="1" ht="32.25" customHeight="1">
      <c r="A5" s="1224" t="s">
        <v>606</v>
      </c>
      <c r="B5" s="1224"/>
      <c r="C5" s="1224"/>
      <c r="D5" s="1224"/>
      <c r="E5" s="1224"/>
      <c r="F5" s="1224"/>
      <c r="G5" s="1224"/>
      <c r="H5" s="146"/>
    </row>
    <row r="6" spans="1:8" s="20" customFormat="1" ht="40.5" customHeight="1">
      <c r="A6" s="752" t="s">
        <v>5</v>
      </c>
      <c r="B6" s="1085" t="s">
        <v>313</v>
      </c>
      <c r="C6" s="1086"/>
      <c r="D6" s="117" t="s">
        <v>209</v>
      </c>
      <c r="E6" s="117" t="s">
        <v>210</v>
      </c>
      <c r="F6" s="154" t="str">
        <f>"D
"&amp;Months!$B$4</f>
        <v>D
June 30, 2022</v>
      </c>
      <c r="G6" s="33" t="str">
        <f>"E
"&amp;Months!$B$5</f>
        <v>E
June 30, 2023</v>
      </c>
      <c r="H6" s="21"/>
    </row>
    <row r="7" spans="1:7" ht="16.5" customHeight="1">
      <c r="A7" s="72">
        <v>1</v>
      </c>
      <c r="B7" s="1276"/>
      <c r="C7" s="1277"/>
      <c r="D7" s="275"/>
      <c r="E7" s="275"/>
      <c r="F7" s="706"/>
      <c r="G7" s="707"/>
    </row>
    <row r="8" spans="1:7" ht="16.5" customHeight="1">
      <c r="A8" s="72">
        <v>2</v>
      </c>
      <c r="B8" s="1276"/>
      <c r="C8" s="1277"/>
      <c r="D8" s="275"/>
      <c r="E8" s="275"/>
      <c r="F8" s="69"/>
      <c r="G8" s="707"/>
    </row>
    <row r="9" spans="1:7" ht="16.5" customHeight="1">
      <c r="A9" s="72">
        <v>3</v>
      </c>
      <c r="B9" s="1276"/>
      <c r="C9" s="1277"/>
      <c r="D9" s="275"/>
      <c r="E9" s="275"/>
      <c r="F9" s="69"/>
      <c r="G9" s="707"/>
    </row>
    <row r="10" spans="1:7" ht="16.5" customHeight="1">
      <c r="A10" s="72">
        <v>4</v>
      </c>
      <c r="B10" s="1276"/>
      <c r="C10" s="1277"/>
      <c r="D10" s="275"/>
      <c r="E10" s="275"/>
      <c r="F10" s="69"/>
      <c r="G10" s="707"/>
    </row>
    <row r="11" spans="1:9" ht="16.5" customHeight="1">
      <c r="A11" s="72">
        <v>5</v>
      </c>
      <c r="B11" s="1276"/>
      <c r="C11" s="1277"/>
      <c r="D11" s="275"/>
      <c r="E11" s="275"/>
      <c r="F11" s="69"/>
      <c r="G11" s="707"/>
      <c r="I11" s="8" t="s">
        <v>376</v>
      </c>
    </row>
    <row r="12" spans="1:10" ht="16.5" customHeight="1" thickBot="1">
      <c r="A12" s="55">
        <v>6</v>
      </c>
      <c r="B12" s="1276"/>
      <c r="C12" s="1277"/>
      <c r="D12" s="276"/>
      <c r="E12" s="276"/>
      <c r="F12" s="70"/>
      <c r="G12" s="708"/>
      <c r="H12" s="526"/>
      <c r="I12" s="527" t="str">
        <f>Months!$B$4</f>
        <v>June 30, 2022</v>
      </c>
      <c r="J12" s="528" t="str">
        <f>Months!$B$5</f>
        <v>June 30, 2023</v>
      </c>
    </row>
    <row r="13" spans="1:10" ht="16.5" customHeight="1" thickBot="1">
      <c r="A13" s="56">
        <v>7</v>
      </c>
      <c r="B13" s="247" t="s">
        <v>312</v>
      </c>
      <c r="C13" s="292"/>
      <c r="D13" s="705">
        <f>COUNTIF(D7:D12,"YES")</f>
        <v>0</v>
      </c>
      <c r="E13" s="624"/>
      <c r="F13" s="709">
        <f>ROUND(SUM(F7:F12),0)</f>
        <v>0</v>
      </c>
      <c r="G13" s="552">
        <f>ROUND(SUM(G7:G12),0)</f>
        <v>0</v>
      </c>
      <c r="I13" s="127" t="str">
        <f>IF(F13=ROUND(('SCH 7-1 Net Assets'!C9+'SCH 7-1 Net Assets'!C17),0),"OK","ERROR")</f>
        <v>OK</v>
      </c>
      <c r="J13" s="127" t="str">
        <f>IF(G13=ROUND(('SCH 7-1 Net Assets'!F9+'SCH 7-1 Net Assets'!F17),0),"OK","ERROR")</f>
        <v>OK</v>
      </c>
    </row>
    <row r="14" spans="1:10" ht="12.75" customHeight="1" thickTop="1">
      <c r="A14" s="51"/>
      <c r="B14" s="73"/>
      <c r="C14" s="1225" t="s">
        <v>583</v>
      </c>
      <c r="D14" s="1225"/>
      <c r="E14" s="1225"/>
      <c r="F14" s="73"/>
      <c r="G14" s="73"/>
      <c r="I14" s="80"/>
      <c r="J14" s="80"/>
    </row>
    <row r="15" spans="1:10" s="11" customFormat="1" ht="28.5" customHeight="1">
      <c r="A15" s="1224" t="s">
        <v>607</v>
      </c>
      <c r="B15" s="1224"/>
      <c r="C15" s="1224"/>
      <c r="D15" s="1224"/>
      <c r="E15" s="1224"/>
      <c r="F15" s="1224"/>
      <c r="G15" s="1224"/>
      <c r="H15" s="146"/>
      <c r="I15" s="24"/>
      <c r="J15" s="24"/>
    </row>
    <row r="16" spans="1:10" s="20" customFormat="1" ht="25.5" customHeight="1">
      <c r="A16" s="752" t="s">
        <v>5</v>
      </c>
      <c r="B16" s="1085" t="s">
        <v>92</v>
      </c>
      <c r="C16" s="1113"/>
      <c r="D16" s="1113"/>
      <c r="E16" s="1086"/>
      <c r="F16" s="154" t="str">
        <f>"B
"&amp;Months!$B$4</f>
        <v>B
June 30, 2022</v>
      </c>
      <c r="G16" s="33" t="str">
        <f>"C
"&amp;Months!$B$5</f>
        <v>C
June 30, 2023</v>
      </c>
      <c r="H16" s="21"/>
      <c r="I16" s="127"/>
      <c r="J16" s="127"/>
    </row>
    <row r="17" spans="1:10" ht="16.5" customHeight="1">
      <c r="A17" s="72">
        <v>8</v>
      </c>
      <c r="B17" s="1273"/>
      <c r="C17" s="1274"/>
      <c r="D17" s="1274"/>
      <c r="E17" s="1275"/>
      <c r="F17" s="706"/>
      <c r="G17" s="707"/>
      <c r="I17" s="80"/>
      <c r="J17" s="80"/>
    </row>
    <row r="18" spans="1:10" ht="16.5" customHeight="1">
      <c r="A18" s="72">
        <v>9</v>
      </c>
      <c r="B18" s="1273"/>
      <c r="C18" s="1274"/>
      <c r="D18" s="1274"/>
      <c r="E18" s="1275"/>
      <c r="F18" s="69"/>
      <c r="G18" s="707"/>
      <c r="I18" s="80"/>
      <c r="J18" s="80"/>
    </row>
    <row r="19" spans="1:10" ht="16.5" customHeight="1">
      <c r="A19" s="72">
        <v>10</v>
      </c>
      <c r="B19" s="1273"/>
      <c r="C19" s="1274"/>
      <c r="D19" s="1274"/>
      <c r="E19" s="1275"/>
      <c r="F19" s="69"/>
      <c r="G19" s="707"/>
      <c r="I19" s="80"/>
      <c r="J19" s="80"/>
    </row>
    <row r="20" spans="1:10" ht="16.5" customHeight="1" thickBot="1">
      <c r="A20" s="55">
        <v>11</v>
      </c>
      <c r="B20" s="1273"/>
      <c r="C20" s="1274"/>
      <c r="D20" s="1274"/>
      <c r="E20" s="1275"/>
      <c r="F20" s="70"/>
      <c r="G20" s="708"/>
      <c r="I20" s="80"/>
      <c r="J20" s="80"/>
    </row>
    <row r="21" spans="1:10" ht="16.5" customHeight="1" thickBot="1">
      <c r="A21" s="56">
        <v>12</v>
      </c>
      <c r="B21" s="247" t="s">
        <v>586</v>
      </c>
      <c r="C21" s="292"/>
      <c r="D21" s="292"/>
      <c r="E21" s="293"/>
      <c r="F21" s="709">
        <f>ROUND(SUM(F17:F20),0)</f>
        <v>0</v>
      </c>
      <c r="G21" s="552">
        <f>ROUND(SUM(G17:G20),0)</f>
        <v>0</v>
      </c>
      <c r="I21" s="127" t="str">
        <f>IF(F21=ROUND('SCH 7-1 Net Assets'!C18,0),"OK","ERROR")</f>
        <v>OK</v>
      </c>
      <c r="J21" s="127" t="str">
        <f>IF(G21=ROUND('SCH 7-1 Net Assets'!F18,0),"OK","ERROR")</f>
        <v>OK</v>
      </c>
    </row>
    <row r="22" spans="1:10" ht="10.5" thickTop="1">
      <c r="A22" s="51"/>
      <c r="B22" s="73"/>
      <c r="C22" s="1225" t="s">
        <v>584</v>
      </c>
      <c r="D22" s="1225"/>
      <c r="E22" s="1225"/>
      <c r="F22" s="73"/>
      <c r="G22" s="73"/>
      <c r="I22" s="80"/>
      <c r="J22" s="80"/>
    </row>
    <row r="23" spans="1:10" s="11" customFormat="1" ht="28.5" customHeight="1">
      <c r="A23" s="1224" t="s">
        <v>767</v>
      </c>
      <c r="B23" s="1224"/>
      <c r="C23" s="1224"/>
      <c r="D23" s="1224"/>
      <c r="E23" s="1224"/>
      <c r="F23" s="1224"/>
      <c r="G23" s="1224"/>
      <c r="H23" s="146"/>
      <c r="I23" s="24"/>
      <c r="J23" s="24"/>
    </row>
    <row r="24" spans="1:10" ht="25.5" customHeight="1">
      <c r="A24" s="753" t="s">
        <v>5</v>
      </c>
      <c r="B24" s="1085" t="s">
        <v>92</v>
      </c>
      <c r="C24" s="1113"/>
      <c r="D24" s="1113"/>
      <c r="E24" s="1086"/>
      <c r="F24" s="154" t="str">
        <f>F16</f>
        <v>B
June 30, 2022</v>
      </c>
      <c r="G24" s="33" t="str">
        <f>G16</f>
        <v>C
June 30, 2023</v>
      </c>
      <c r="I24" s="80"/>
      <c r="J24" s="80"/>
    </row>
    <row r="25" spans="1:10" ht="16.5" customHeight="1">
      <c r="A25" s="72">
        <v>13</v>
      </c>
      <c r="B25" s="1270"/>
      <c r="C25" s="1271"/>
      <c r="D25" s="1271"/>
      <c r="E25" s="1272"/>
      <c r="F25" s="710"/>
      <c r="G25" s="707"/>
      <c r="I25" s="80"/>
      <c r="J25" s="80"/>
    </row>
    <row r="26" spans="1:10" ht="16.5" customHeight="1">
      <c r="A26" s="72">
        <v>14</v>
      </c>
      <c r="B26" s="1266"/>
      <c r="C26" s="1267"/>
      <c r="D26" s="1267"/>
      <c r="E26" s="1268"/>
      <c r="F26" s="69"/>
      <c r="G26" s="707"/>
      <c r="I26" s="80"/>
      <c r="J26" s="80"/>
    </row>
    <row r="27" spans="1:10" ht="16.5" customHeight="1">
      <c r="A27" s="72">
        <v>15</v>
      </c>
      <c r="B27" s="1266"/>
      <c r="C27" s="1267"/>
      <c r="D27" s="1267"/>
      <c r="E27" s="1268"/>
      <c r="F27" s="69"/>
      <c r="G27" s="707"/>
      <c r="I27" s="80"/>
      <c r="J27" s="80"/>
    </row>
    <row r="28" spans="1:10" ht="16.5" customHeight="1" thickBot="1">
      <c r="A28" s="55">
        <v>16</v>
      </c>
      <c r="B28" s="1266"/>
      <c r="C28" s="1267"/>
      <c r="D28" s="1267"/>
      <c r="E28" s="1268"/>
      <c r="F28" s="70"/>
      <c r="G28" s="708"/>
      <c r="I28" s="80"/>
      <c r="J28" s="80"/>
    </row>
    <row r="29" spans="1:10" ht="16.5" customHeight="1" thickBot="1">
      <c r="A29" s="56">
        <v>17</v>
      </c>
      <c r="B29" s="247" t="s">
        <v>585</v>
      </c>
      <c r="C29" s="292"/>
      <c r="D29" s="292"/>
      <c r="E29" s="293"/>
      <c r="F29" s="709">
        <f>ROUND(SUM(F25:F28),0)</f>
        <v>0</v>
      </c>
      <c r="G29" s="552">
        <f>ROUND(SUM(G25:G28),0)</f>
        <v>0</v>
      </c>
      <c r="I29" s="127" t="str">
        <f>IF(F29=ROUND('SCH 7-1 Net Assets'!C33,0),"OK","ERROR")</f>
        <v>OK</v>
      </c>
      <c r="J29" s="127" t="str">
        <f>IF(G29=ROUND('SCH 7-1 Net Assets'!F33,0),"OK","ERROR")</f>
        <v>OK</v>
      </c>
    </row>
    <row r="30" spans="1:10" ht="13.5" customHeight="1" thickTop="1">
      <c r="A30" s="51"/>
      <c r="B30" s="73"/>
      <c r="C30" s="1225" t="s">
        <v>401</v>
      </c>
      <c r="D30" s="1225"/>
      <c r="E30" s="1225"/>
      <c r="F30" s="73"/>
      <c r="G30" s="73"/>
      <c r="I30" s="80"/>
      <c r="J30" s="80"/>
    </row>
    <row r="31" spans="1:10" s="11" customFormat="1" ht="39.75" customHeight="1">
      <c r="A31" s="1160" t="s">
        <v>711</v>
      </c>
      <c r="B31" s="1160"/>
      <c r="C31" s="1160"/>
      <c r="D31" s="1160"/>
      <c r="E31" s="1160"/>
      <c r="F31" s="1160"/>
      <c r="G31" s="1160"/>
      <c r="H31" s="146"/>
      <c r="I31" s="24"/>
      <c r="J31" s="24"/>
    </row>
    <row r="32" spans="1:10" ht="33.75" customHeight="1">
      <c r="A32" s="753" t="s">
        <v>5</v>
      </c>
      <c r="B32" s="149" t="s">
        <v>93</v>
      </c>
      <c r="C32" s="1192" t="s">
        <v>94</v>
      </c>
      <c r="D32" s="1269"/>
      <c r="E32" s="1269"/>
      <c r="F32" s="1269"/>
      <c r="G32" s="149" t="s">
        <v>95</v>
      </c>
      <c r="I32" s="80"/>
      <c r="J32" s="80"/>
    </row>
    <row r="33" spans="1:10" ht="16.5" customHeight="1">
      <c r="A33" s="72">
        <v>18</v>
      </c>
      <c r="B33" s="294"/>
      <c r="C33" s="1264"/>
      <c r="D33" s="1264"/>
      <c r="E33" s="1264"/>
      <c r="F33" s="1264"/>
      <c r="G33" s="711"/>
      <c r="I33" s="80"/>
      <c r="J33" s="80"/>
    </row>
    <row r="34" spans="1:10" ht="16.5" customHeight="1">
      <c r="A34" s="72">
        <v>19</v>
      </c>
      <c r="B34" s="294"/>
      <c r="C34" s="1264"/>
      <c r="D34" s="1264"/>
      <c r="E34" s="1264"/>
      <c r="F34" s="1264"/>
      <c r="G34" s="711"/>
      <c r="I34" s="80"/>
      <c r="J34" s="80"/>
    </row>
    <row r="35" spans="1:10" ht="16.5" customHeight="1">
      <c r="A35" s="72">
        <v>20</v>
      </c>
      <c r="B35" s="294"/>
      <c r="C35" s="1264"/>
      <c r="D35" s="1264"/>
      <c r="E35" s="1264"/>
      <c r="F35" s="1264"/>
      <c r="G35" s="711"/>
      <c r="I35" s="80"/>
      <c r="J35" s="80"/>
    </row>
    <row r="36" spans="1:10" ht="16.5" customHeight="1">
      <c r="A36" s="72">
        <v>21</v>
      </c>
      <c r="B36" s="294"/>
      <c r="C36" s="1264"/>
      <c r="D36" s="1264"/>
      <c r="E36" s="1264"/>
      <c r="F36" s="1264"/>
      <c r="G36" s="711"/>
      <c r="I36" s="80"/>
      <c r="J36" s="80"/>
    </row>
    <row r="37" spans="1:10" ht="16.5" customHeight="1">
      <c r="A37" s="72">
        <v>22</v>
      </c>
      <c r="B37" s="294"/>
      <c r="C37" s="1264"/>
      <c r="D37" s="1264"/>
      <c r="E37" s="1264"/>
      <c r="F37" s="1264"/>
      <c r="G37" s="711"/>
      <c r="I37" s="80"/>
      <c r="J37" s="80"/>
    </row>
    <row r="38" spans="1:10" ht="16.5" customHeight="1" thickBot="1">
      <c r="A38" s="55">
        <v>23</v>
      </c>
      <c r="B38" s="295"/>
      <c r="C38" s="1265"/>
      <c r="D38" s="1265"/>
      <c r="E38" s="1265"/>
      <c r="F38" s="1265"/>
      <c r="G38" s="712"/>
      <c r="I38" s="80"/>
      <c r="J38" s="80"/>
    </row>
    <row r="39" spans="1:10" ht="16.5" customHeight="1" thickBot="1">
      <c r="A39" s="56">
        <v>24</v>
      </c>
      <c r="B39" s="1262" t="s">
        <v>112</v>
      </c>
      <c r="C39" s="1263"/>
      <c r="D39" s="1263"/>
      <c r="E39" s="1263"/>
      <c r="F39" s="713"/>
      <c r="G39" s="552">
        <f>ROUND(SUM(G33:G38),0)</f>
        <v>0</v>
      </c>
      <c r="I39" s="80"/>
      <c r="J39" s="127" t="str">
        <f>IF(G39=0+ROUND('SCH 7-1 Net Assets'!D34,0),"OK","ERROR")</f>
        <v>OK</v>
      </c>
    </row>
    <row r="40" spans="1:11" ht="10.5" thickBot="1" thickTop="1">
      <c r="A40" s="10"/>
      <c r="I40" s="529">
        <f>COUNTIF(I13:I39,"ERROR")</f>
        <v>0</v>
      </c>
      <c r="J40" s="530">
        <f>COUNTIF(J13:J39,"ERROR")</f>
        <v>0</v>
      </c>
      <c r="K40" s="8" t="s">
        <v>375</v>
      </c>
    </row>
    <row r="41" ht="9.75">
      <c r="A41" s="10"/>
    </row>
    <row r="42" ht="9.75">
      <c r="A42" s="10"/>
    </row>
  </sheetData>
  <sheetProtection password="EBD1" sheet="1"/>
  <mergeCells count="36">
    <mergeCell ref="B7:C7"/>
    <mergeCell ref="B8:C8"/>
    <mergeCell ref="B9:C9"/>
    <mergeCell ref="B10:C10"/>
    <mergeCell ref="B11:C11"/>
    <mergeCell ref="B12:C12"/>
    <mergeCell ref="C32:F32"/>
    <mergeCell ref="C36:F36"/>
    <mergeCell ref="C37:F37"/>
    <mergeCell ref="B25:E25"/>
    <mergeCell ref="B24:E24"/>
    <mergeCell ref="B17:E17"/>
    <mergeCell ref="B18:E18"/>
    <mergeCell ref="B19:E19"/>
    <mergeCell ref="B20:E20"/>
    <mergeCell ref="C30:E30"/>
    <mergeCell ref="A2:G2"/>
    <mergeCell ref="B6:C6"/>
    <mergeCell ref="B16:E16"/>
    <mergeCell ref="A31:G31"/>
    <mergeCell ref="C14:E14"/>
    <mergeCell ref="C22:E22"/>
    <mergeCell ref="B26:E26"/>
    <mergeCell ref="B27:E27"/>
    <mergeCell ref="B28:E28"/>
    <mergeCell ref="A15:G15"/>
    <mergeCell ref="A1:G1"/>
    <mergeCell ref="A3:G3"/>
    <mergeCell ref="B39:E39"/>
    <mergeCell ref="C33:F33"/>
    <mergeCell ref="C34:F34"/>
    <mergeCell ref="C35:F35"/>
    <mergeCell ref="C4:E4"/>
    <mergeCell ref="A5:G5"/>
    <mergeCell ref="A23:G23"/>
    <mergeCell ref="C38:F38"/>
  </mergeCells>
  <conditionalFormatting sqref="I13:J39">
    <cfRule type="containsText" priority="1" dxfId="0" operator="containsText" stopIfTrue="1" text="ERROR">
      <formula>NOT(ISERROR(SEARCH("ERROR",I13)))</formula>
    </cfRule>
  </conditionalFormatting>
  <dataValidations count="2">
    <dataValidation type="list" allowBlank="1" showInputMessage="1" showErrorMessage="1" prompt="Insert Yes if the investment is part of an endowment fund.  Otherwise, insert No." sqref="D7:D12">
      <formula1>"Yes,No"</formula1>
    </dataValidation>
    <dataValidation type="list" allowBlank="1" showInputMessage="1" showErrorMessage="1" prompt="Insert Yes if the funds may only be used for certain purposes per the endowment fund or other bylaws of the school. Otherwise, insert No." sqref="E7:E12">
      <formula1>"Yes,No"</formula1>
    </dataValidation>
  </dataValidations>
  <printOptions/>
  <pageMargins left="0.39" right="0.35" top="0.6" bottom="0.47" header="0.39" footer="0.25"/>
  <pageSetup fitToHeight="1" fitToWidth="1" horizontalDpi="600" verticalDpi="600" orientation="portrait" r:id="rId2"/>
  <headerFooter alignWithMargins="0">
    <oddHeader>&amp;LPI-PCP-14&amp;RPage 19</oddHeader>
  </headerFooter>
  <drawing r:id="rId1"/>
</worksheet>
</file>

<file path=xl/worksheets/sheet25.xml><?xml version="1.0" encoding="utf-8"?>
<worksheet xmlns="http://schemas.openxmlformats.org/spreadsheetml/2006/main" xmlns:r="http://schemas.openxmlformats.org/officeDocument/2006/relationships">
  <sheetPr>
    <tabColor indexed="29"/>
    <pageSetUpPr fitToPage="1"/>
  </sheetPr>
  <dimension ref="A1:K47"/>
  <sheetViews>
    <sheetView showGridLines="0" showOutlineSymbols="0" workbookViewId="0" topLeftCell="A1">
      <pane xSplit="2" ySplit="3" topLeftCell="C7" activePane="bottomRight" state="frozen"/>
      <selection pane="topLeft" activeCell="B11" sqref="B11"/>
      <selection pane="topRight" activeCell="B11" sqref="B11"/>
      <selection pane="bottomLeft" activeCell="B11" sqref="B11"/>
      <selection pane="bottomRight" activeCell="B23" sqref="B23"/>
    </sheetView>
  </sheetViews>
  <sheetFormatPr defaultColWidth="9.140625" defaultRowHeight="12.75"/>
  <cols>
    <col min="1" max="1" width="4.00390625" style="10" customWidth="1"/>
    <col min="2" max="2" width="42.57421875" style="8" customWidth="1"/>
    <col min="3" max="9" width="11.421875" style="8" customWidth="1"/>
    <col min="10" max="10" width="9.140625" style="10" customWidth="1"/>
    <col min="11" max="16384" width="9.140625" style="8" customWidth="1"/>
  </cols>
  <sheetData>
    <row r="1" spans="1:9" ht="15" customHeight="1">
      <c r="A1" s="1108">
        <f>'Cover Page'!A9</f>
        <v>0</v>
      </c>
      <c r="B1" s="1108"/>
      <c r="C1" s="1108"/>
      <c r="D1" s="1108"/>
      <c r="E1" s="1108"/>
      <c r="F1" s="1108"/>
      <c r="G1" s="1108"/>
      <c r="H1" s="1108"/>
      <c r="I1" s="1108"/>
    </row>
    <row r="2" spans="1:9" ht="15" customHeight="1" thickBot="1">
      <c r="A2" s="1182" t="s">
        <v>577</v>
      </c>
      <c r="B2" s="1182"/>
      <c r="C2" s="1182"/>
      <c r="D2" s="1182"/>
      <c r="E2" s="1182"/>
      <c r="F2" s="1182"/>
      <c r="G2" s="1182"/>
      <c r="H2" s="1182"/>
      <c r="I2" s="1182"/>
    </row>
    <row r="3" spans="1:9" ht="12" customHeight="1" thickTop="1">
      <c r="A3" s="32" t="s">
        <v>86</v>
      </c>
      <c r="B3" s="166"/>
      <c r="C3" s="167">
        <f>Months!B24</f>
        <v>44743</v>
      </c>
      <c r="D3" s="167">
        <f>Months!C24</f>
        <v>44774</v>
      </c>
      <c r="E3" s="167">
        <f>Months!D24</f>
        <v>44805</v>
      </c>
      <c r="F3" s="167">
        <f>Months!E24</f>
        <v>44835</v>
      </c>
      <c r="G3" s="167">
        <f>Months!F24</f>
        <v>44866</v>
      </c>
      <c r="H3" s="167">
        <f>Months!G24</f>
        <v>44896</v>
      </c>
      <c r="I3" s="49" t="s">
        <v>32</v>
      </c>
    </row>
    <row r="4" spans="1:9" ht="12" customHeight="1" thickBot="1">
      <c r="A4" s="55">
        <v>1</v>
      </c>
      <c r="B4" s="168" t="s">
        <v>40</v>
      </c>
      <c r="C4" s="487">
        <f>SUM('SCH 7-1 Net Assets'!C8:C9,'SCH 7-1 Net Assets'!C17)</f>
        <v>0</v>
      </c>
      <c r="D4" s="487">
        <f>C34</f>
        <v>0</v>
      </c>
      <c r="E4" s="487">
        <f>D34</f>
        <v>0</v>
      </c>
      <c r="F4" s="487">
        <f>E34</f>
        <v>0</v>
      </c>
      <c r="G4" s="487">
        <f>F34</f>
        <v>0</v>
      </c>
      <c r="H4" s="487">
        <f>G34</f>
        <v>0</v>
      </c>
      <c r="I4" s="430"/>
    </row>
    <row r="5" spans="1:9" ht="12" customHeight="1">
      <c r="A5" s="393"/>
      <c r="B5" s="393"/>
      <c r="C5" s="1280" t="s">
        <v>23</v>
      </c>
      <c r="D5" s="1280"/>
      <c r="E5" s="1280"/>
      <c r="F5" s="1279"/>
      <c r="G5" s="1279"/>
      <c r="H5" s="1279"/>
      <c r="I5" s="1279"/>
    </row>
    <row r="6" spans="1:9" ht="12" customHeight="1">
      <c r="A6" s="54">
        <v>2</v>
      </c>
      <c r="B6" s="34" t="s">
        <v>53</v>
      </c>
      <c r="C6" s="431"/>
      <c r="D6" s="431"/>
      <c r="E6" s="431"/>
      <c r="F6" s="487">
        <f>((Choice_K8_Pmt*'SCH 2-1 All &amp; Choice Pupils'!M26)+(Choice_912_Pmt*'SCH 2-1 All &amp; Choice Pupils'!M27))/4</f>
        <v>0</v>
      </c>
      <c r="G6" s="431"/>
      <c r="H6" s="487">
        <f>(((Choice_K8_Pmt*'SCH 2-1 All &amp; Choice Pupils'!N26)+(Choice_912_Pmt*'SCH 2-1 All &amp; Choice Pupils'!N27))/2)-'SCH 8-1 Jul-Dec Cash Flows'!F6+'SCH 2-1 All &amp; Choice Pupils'!F38</f>
        <v>0</v>
      </c>
      <c r="I6" s="432">
        <f aca="true" t="shared" si="0" ref="I6:I16">SUM(C6:H6)</f>
        <v>0</v>
      </c>
    </row>
    <row r="7" spans="1:9" ht="12" customHeight="1">
      <c r="A7" s="54">
        <v>3</v>
      </c>
      <c r="B7" s="34" t="s">
        <v>126</v>
      </c>
      <c r="C7" s="431"/>
      <c r="D7" s="431"/>
      <c r="E7" s="431"/>
      <c r="F7" s="487">
        <f>('SCH 2-2 SNSP Pupils'!J16*SNSP_Pmt/4)+('SCH 2-2 SNSP Pupils'!J26*Choice_K8_Pmt/4)+('SCH 2-2 SNSP Pupils'!J27*Choice_912_Pmt/4)</f>
        <v>0</v>
      </c>
      <c r="G7" s="431"/>
      <c r="H7" s="487">
        <f>('SCH 2-2 SNSP Pupils'!K16*SNSP_Pmt/2)+('SCH 2-2 SNSP Pupils'!K26*Choice_K8_Pmt/2)+('SCH 2-2 SNSP Pupils'!K27*Choice_912_Pmt/2)-F7+'SCH 2-2 SNSP Pupils'!G32</f>
        <v>0</v>
      </c>
      <c r="I7" s="432">
        <f t="shared" si="0"/>
        <v>0</v>
      </c>
    </row>
    <row r="8" spans="1:9" ht="12" customHeight="1">
      <c r="A8" s="54">
        <v>4</v>
      </c>
      <c r="B8" s="326" t="s">
        <v>269</v>
      </c>
      <c r="C8" s="487">
        <f>'SCH 4-1 Revenue'!C31</f>
        <v>0</v>
      </c>
      <c r="D8" s="487">
        <f>'SCH 4-1 Revenue'!C32</f>
        <v>0</v>
      </c>
      <c r="E8" s="487">
        <f>'SCH 4-1 Revenue'!C33</f>
        <v>0</v>
      </c>
      <c r="F8" s="487">
        <f>'SCH 4-1 Revenue'!C34</f>
        <v>0</v>
      </c>
      <c r="G8" s="487">
        <f>'SCH 4-1 Revenue'!C35</f>
        <v>0</v>
      </c>
      <c r="H8" s="487">
        <f>'SCH 4-1 Revenue'!C36</f>
        <v>0</v>
      </c>
      <c r="I8" s="432">
        <f t="shared" si="0"/>
        <v>0</v>
      </c>
    </row>
    <row r="9" spans="1:9" ht="12" customHeight="1">
      <c r="A9" s="54">
        <v>5</v>
      </c>
      <c r="B9" s="327" t="s">
        <v>270</v>
      </c>
      <c r="C9" s="487">
        <f>'SCH 4-1 Revenue'!D31</f>
        <v>0</v>
      </c>
      <c r="D9" s="487">
        <f>'SCH 4-1 Revenue'!D32</f>
        <v>0</v>
      </c>
      <c r="E9" s="487">
        <f>'SCH 4-1 Revenue'!D33</f>
        <v>0</v>
      </c>
      <c r="F9" s="487">
        <f>'SCH 4-1 Revenue'!D34</f>
        <v>0</v>
      </c>
      <c r="G9" s="487">
        <f>'SCH 4-1 Revenue'!D35</f>
        <v>0</v>
      </c>
      <c r="H9" s="487">
        <f>'SCH 4-1 Revenue'!D36</f>
        <v>0</v>
      </c>
      <c r="I9" s="432">
        <f t="shared" si="0"/>
        <v>0</v>
      </c>
    </row>
    <row r="10" spans="1:11" ht="12" customHeight="1">
      <c r="A10" s="325">
        <v>6</v>
      </c>
      <c r="B10" s="326" t="s">
        <v>271</v>
      </c>
      <c r="C10" s="487">
        <f>'SCH 4-2 Revenue'!D35</f>
        <v>0</v>
      </c>
      <c r="D10" s="487">
        <f>'SCH 4-2 Revenue'!D36</f>
        <v>0</v>
      </c>
      <c r="E10" s="487">
        <f>'SCH 4-2 Revenue'!D37</f>
        <v>0</v>
      </c>
      <c r="F10" s="487">
        <f>'SCH 4-2 Revenue'!D38</f>
        <v>0</v>
      </c>
      <c r="G10" s="487">
        <f>'SCH 4-2 Revenue'!D39</f>
        <v>0</v>
      </c>
      <c r="H10" s="487">
        <f>'SCH 4-2 Revenue'!D40</f>
        <v>0</v>
      </c>
      <c r="I10" s="433">
        <f t="shared" si="0"/>
        <v>0</v>
      </c>
      <c r="J10" s="178"/>
      <c r="K10" s="15"/>
    </row>
    <row r="11" spans="1:9" ht="12" customHeight="1">
      <c r="A11" s="325">
        <v>7</v>
      </c>
      <c r="B11" s="327" t="s">
        <v>272</v>
      </c>
      <c r="C11" s="487">
        <f>'SCH 4-2 Revenue'!E35</f>
        <v>0</v>
      </c>
      <c r="D11" s="487">
        <f>'SCH 4-2 Revenue'!E36</f>
        <v>0</v>
      </c>
      <c r="E11" s="487">
        <f>'SCH 4-2 Revenue'!E37</f>
        <v>0</v>
      </c>
      <c r="F11" s="487">
        <f>'SCH 4-2 Revenue'!E38</f>
        <v>0</v>
      </c>
      <c r="G11" s="487">
        <f>'SCH 4-2 Revenue'!E39</f>
        <v>0</v>
      </c>
      <c r="H11" s="487">
        <f>'SCH 4-2 Revenue'!E40</f>
        <v>0</v>
      </c>
      <c r="I11" s="432">
        <f t="shared" si="0"/>
        <v>0</v>
      </c>
    </row>
    <row r="12" spans="1:9" ht="12" customHeight="1">
      <c r="A12" s="54">
        <v>8</v>
      </c>
      <c r="B12" s="327" t="s">
        <v>768</v>
      </c>
      <c r="C12" s="487">
        <f>'SCH 4-3 Revenue'!C29</f>
        <v>0</v>
      </c>
      <c r="D12" s="487">
        <f>'SCH 4-3 Revenue'!C30</f>
        <v>0</v>
      </c>
      <c r="E12" s="487">
        <f>'SCH 4-3 Revenue'!C31</f>
        <v>0</v>
      </c>
      <c r="F12" s="487">
        <f>'SCH 4-3 Revenue'!C32</f>
        <v>0</v>
      </c>
      <c r="G12" s="487">
        <f>'SCH 4-3 Revenue'!C33</f>
        <v>0</v>
      </c>
      <c r="H12" s="487">
        <f>'SCH 4-3 Revenue'!C34</f>
        <v>0</v>
      </c>
      <c r="I12" s="432">
        <f t="shared" si="0"/>
        <v>0</v>
      </c>
    </row>
    <row r="13" spans="1:11" ht="12" customHeight="1">
      <c r="A13" s="54">
        <v>9</v>
      </c>
      <c r="B13" s="330" t="s">
        <v>307</v>
      </c>
      <c r="C13" s="487">
        <f>'SCH 4-3 Revenue'!D29</f>
        <v>0</v>
      </c>
      <c r="D13" s="487">
        <f>'SCH 4-3 Revenue'!D30</f>
        <v>0</v>
      </c>
      <c r="E13" s="487">
        <f>'SCH 4-3 Revenue'!D31</f>
        <v>0</v>
      </c>
      <c r="F13" s="487">
        <f>'SCH 4-3 Revenue'!D32</f>
        <v>0</v>
      </c>
      <c r="G13" s="487">
        <f>'SCH 4-3 Revenue'!D33</f>
        <v>0</v>
      </c>
      <c r="H13" s="487">
        <f>'SCH 4-3 Revenue'!D34</f>
        <v>0</v>
      </c>
      <c r="I13" s="433">
        <f t="shared" si="0"/>
        <v>0</v>
      </c>
      <c r="J13" s="178"/>
      <c r="K13" s="15"/>
    </row>
    <row r="14" spans="1:11" ht="12" customHeight="1">
      <c r="A14" s="54">
        <v>10</v>
      </c>
      <c r="B14" s="326" t="s">
        <v>308</v>
      </c>
      <c r="C14" s="487">
        <f>'SCH 4-3 Revenue'!E29</f>
        <v>0</v>
      </c>
      <c r="D14" s="487">
        <f>'SCH 4-3 Revenue'!E30</f>
        <v>0</v>
      </c>
      <c r="E14" s="487">
        <f>'SCH 4-3 Revenue'!E31</f>
        <v>0</v>
      </c>
      <c r="F14" s="487">
        <f>'SCH 4-3 Revenue'!E32</f>
        <v>0</v>
      </c>
      <c r="G14" s="487">
        <f>'SCH 4-3 Revenue'!E33</f>
        <v>0</v>
      </c>
      <c r="H14" s="487">
        <f>'SCH 4-3 Revenue'!E34</f>
        <v>0</v>
      </c>
      <c r="I14" s="433">
        <f t="shared" si="0"/>
        <v>0</v>
      </c>
      <c r="J14" s="178"/>
      <c r="K14" s="15"/>
    </row>
    <row r="15" spans="1:9" ht="12" customHeight="1">
      <c r="A15" s="54">
        <v>11</v>
      </c>
      <c r="B15" s="329" t="s">
        <v>273</v>
      </c>
      <c r="C15" s="487">
        <f>'SCH 4-4 Revenue'!H20</f>
        <v>0</v>
      </c>
      <c r="D15" s="487">
        <f>'SCH 4-4 Revenue'!H21</f>
        <v>0</v>
      </c>
      <c r="E15" s="487">
        <f>'SCH 4-4 Revenue'!H22</f>
        <v>0</v>
      </c>
      <c r="F15" s="487">
        <f>'SCH 4-4 Revenue'!H23</f>
        <v>0</v>
      </c>
      <c r="G15" s="487">
        <f>'SCH 4-4 Revenue'!H24</f>
        <v>0</v>
      </c>
      <c r="H15" s="487">
        <f>'SCH 4-4 Revenue'!H25</f>
        <v>0</v>
      </c>
      <c r="I15" s="432">
        <f t="shared" si="0"/>
        <v>0</v>
      </c>
    </row>
    <row r="16" spans="1:9" ht="12" customHeight="1" thickBot="1">
      <c r="A16" s="54">
        <v>12</v>
      </c>
      <c r="B16" s="328" t="s">
        <v>418</v>
      </c>
      <c r="C16" s="435">
        <f>'SCH 6 Debt'!D35</f>
        <v>0</v>
      </c>
      <c r="D16" s="435">
        <f>'SCH 6 Debt'!D36</f>
        <v>0</v>
      </c>
      <c r="E16" s="435">
        <f>'SCH 6 Debt'!D37</f>
        <v>0</v>
      </c>
      <c r="F16" s="435">
        <f>'SCH 6 Debt'!D38</f>
        <v>0</v>
      </c>
      <c r="G16" s="435">
        <f>'SCH 6 Debt'!D39</f>
        <v>0</v>
      </c>
      <c r="H16" s="435">
        <f>'SCH 6 Debt'!D40</f>
        <v>0</v>
      </c>
      <c r="I16" s="436">
        <f t="shared" si="0"/>
        <v>0</v>
      </c>
    </row>
    <row r="17" spans="1:9" ht="12" customHeight="1" thickBot="1">
      <c r="A17" s="170">
        <v>13</v>
      </c>
      <c r="B17" s="23" t="s">
        <v>29</v>
      </c>
      <c r="C17" s="453">
        <f aca="true" t="shared" si="1" ref="C17:I17">SUM(C6:C16)</f>
        <v>0</v>
      </c>
      <c r="D17" s="453">
        <f t="shared" si="1"/>
        <v>0</v>
      </c>
      <c r="E17" s="453">
        <f t="shared" si="1"/>
        <v>0</v>
      </c>
      <c r="F17" s="453">
        <f t="shared" si="1"/>
        <v>0</v>
      </c>
      <c r="G17" s="453">
        <f t="shared" si="1"/>
        <v>0</v>
      </c>
      <c r="H17" s="453">
        <f t="shared" si="1"/>
        <v>0</v>
      </c>
      <c r="I17" s="623">
        <f t="shared" si="1"/>
        <v>0</v>
      </c>
    </row>
    <row r="18" spans="1:9" ht="12" customHeight="1" thickBot="1">
      <c r="A18" s="59">
        <v>14</v>
      </c>
      <c r="B18" s="148" t="s">
        <v>653</v>
      </c>
      <c r="C18" s="705">
        <f aca="true" t="shared" si="2" ref="C18:H18">C4+C17</f>
        <v>0</v>
      </c>
      <c r="D18" s="705">
        <f t="shared" si="2"/>
        <v>0</v>
      </c>
      <c r="E18" s="705">
        <f t="shared" si="2"/>
        <v>0</v>
      </c>
      <c r="F18" s="705">
        <f t="shared" si="2"/>
        <v>0</v>
      </c>
      <c r="G18" s="705">
        <f t="shared" si="2"/>
        <v>0</v>
      </c>
      <c r="H18" s="705">
        <f t="shared" si="2"/>
        <v>0</v>
      </c>
      <c r="I18" s="437"/>
    </row>
    <row r="19" spans="1:9" ht="12" customHeight="1" thickTop="1">
      <c r="A19" s="147"/>
      <c r="B19" s="147"/>
      <c r="C19" s="1171" t="s">
        <v>24</v>
      </c>
      <c r="D19" s="1171"/>
      <c r="E19" s="1171"/>
      <c r="F19" s="1278"/>
      <c r="G19" s="1278"/>
      <c r="H19" s="1278"/>
      <c r="I19" s="1278"/>
    </row>
    <row r="20" spans="1:9" ht="12" customHeight="1">
      <c r="A20" s="54">
        <v>15</v>
      </c>
      <c r="B20" s="171" t="s">
        <v>424</v>
      </c>
      <c r="C20" s="487">
        <f>'SCH 3-1 Expenses'!I32</f>
        <v>0</v>
      </c>
      <c r="D20" s="487">
        <f>'SCH 3-1 Expenses'!I33</f>
        <v>0</v>
      </c>
      <c r="E20" s="487">
        <f>'SCH 3-1 Expenses'!I34</f>
        <v>0</v>
      </c>
      <c r="F20" s="487">
        <f>'SCH 3-1 Expenses'!$I35</f>
        <v>0</v>
      </c>
      <c r="G20" s="487">
        <f>'SCH 3-1 Expenses'!$I36</f>
        <v>0</v>
      </c>
      <c r="H20" s="487">
        <f>'SCH 3-1 Expenses'!$I37</f>
        <v>0</v>
      </c>
      <c r="I20" s="432">
        <f aca="true" t="shared" si="3" ref="I20:I31">SUM(C20:H20)</f>
        <v>0</v>
      </c>
    </row>
    <row r="21" spans="1:9" ht="12" customHeight="1">
      <c r="A21" s="54">
        <v>16</v>
      </c>
      <c r="B21" s="328" t="s">
        <v>425</v>
      </c>
      <c r="C21" s="487">
        <f>'SCH 3-2 Expenses'!C32</f>
        <v>0</v>
      </c>
      <c r="D21" s="487">
        <f>'SCH 3-2 Expenses'!C33</f>
        <v>0</v>
      </c>
      <c r="E21" s="487">
        <f>'SCH 3-2 Expenses'!C34</f>
        <v>0</v>
      </c>
      <c r="F21" s="487">
        <f>'SCH 3-2 Expenses'!C35</f>
        <v>0</v>
      </c>
      <c r="G21" s="487">
        <f>'SCH 3-2 Expenses'!C36</f>
        <v>0</v>
      </c>
      <c r="H21" s="487">
        <f>'SCH 3-2 Expenses'!C37</f>
        <v>0</v>
      </c>
      <c r="I21" s="432">
        <f t="shared" si="3"/>
        <v>0</v>
      </c>
    </row>
    <row r="22" spans="1:9" ht="12" customHeight="1">
      <c r="A22" s="54">
        <v>17</v>
      </c>
      <c r="B22" s="328" t="s">
        <v>426</v>
      </c>
      <c r="C22" s="487">
        <f>'SCH 3-2 Expenses'!D32</f>
        <v>0</v>
      </c>
      <c r="D22" s="487">
        <f>'SCH 3-2 Expenses'!D33</f>
        <v>0</v>
      </c>
      <c r="E22" s="487">
        <f>'SCH 3-2 Expenses'!D34</f>
        <v>0</v>
      </c>
      <c r="F22" s="487">
        <f>'SCH 3-2 Expenses'!D35</f>
        <v>0</v>
      </c>
      <c r="G22" s="487">
        <f>'SCH 3-2 Expenses'!D36</f>
        <v>0</v>
      </c>
      <c r="H22" s="487">
        <f>'SCH 3-2 Expenses'!D37</f>
        <v>0</v>
      </c>
      <c r="I22" s="432">
        <f t="shared" si="3"/>
        <v>0</v>
      </c>
    </row>
    <row r="23" spans="1:9" ht="12" customHeight="1">
      <c r="A23" s="54">
        <v>18</v>
      </c>
      <c r="B23" s="291" t="s">
        <v>427</v>
      </c>
      <c r="C23" s="487">
        <f>'SCH 3-2 Expenses'!E32</f>
        <v>0</v>
      </c>
      <c r="D23" s="487">
        <f>'SCH 3-2 Expenses'!E33</f>
        <v>0</v>
      </c>
      <c r="E23" s="487">
        <f>'SCH 3-2 Expenses'!E34</f>
        <v>0</v>
      </c>
      <c r="F23" s="487">
        <f>'SCH 3-2 Expenses'!E35</f>
        <v>0</v>
      </c>
      <c r="G23" s="487">
        <f>'SCH 3-2 Expenses'!E36</f>
        <v>0</v>
      </c>
      <c r="H23" s="487">
        <f>'SCH 3-2 Expenses'!E37</f>
        <v>0</v>
      </c>
      <c r="I23" s="432">
        <f t="shared" si="3"/>
        <v>0</v>
      </c>
    </row>
    <row r="24" spans="1:9" ht="12" customHeight="1">
      <c r="A24" s="54">
        <v>19</v>
      </c>
      <c r="B24" s="291" t="s">
        <v>428</v>
      </c>
      <c r="C24" s="487">
        <f>'SCH 3-2 Expenses'!F32</f>
        <v>0</v>
      </c>
      <c r="D24" s="487">
        <f>'SCH 3-2 Expenses'!F33</f>
        <v>0</v>
      </c>
      <c r="E24" s="487">
        <f>'SCH 3-2 Expenses'!F34</f>
        <v>0</v>
      </c>
      <c r="F24" s="487">
        <f>'SCH 3-2 Expenses'!F35</f>
        <v>0</v>
      </c>
      <c r="G24" s="487">
        <f>'SCH 3-2 Expenses'!F36</f>
        <v>0</v>
      </c>
      <c r="H24" s="487">
        <f>'SCH 3-2 Expenses'!F37</f>
        <v>0</v>
      </c>
      <c r="I24" s="432">
        <f t="shared" si="3"/>
        <v>0</v>
      </c>
    </row>
    <row r="25" spans="1:9" ht="12" customHeight="1">
      <c r="A25" s="54">
        <v>20</v>
      </c>
      <c r="B25" s="291" t="s">
        <v>429</v>
      </c>
      <c r="C25" s="487">
        <f>'SCH 3-3 Expenses'!C31</f>
        <v>0</v>
      </c>
      <c r="D25" s="487">
        <f>'SCH 3-3 Expenses'!C32</f>
        <v>0</v>
      </c>
      <c r="E25" s="487">
        <f>'SCH 3-3 Expenses'!C33</f>
        <v>0</v>
      </c>
      <c r="F25" s="487">
        <f>'SCH 3-3 Expenses'!C34</f>
        <v>0</v>
      </c>
      <c r="G25" s="487">
        <f>'SCH 3-3 Expenses'!C35</f>
        <v>0</v>
      </c>
      <c r="H25" s="487">
        <f>'SCH 3-3 Expenses'!C36</f>
        <v>0</v>
      </c>
      <c r="I25" s="432">
        <f t="shared" si="3"/>
        <v>0</v>
      </c>
    </row>
    <row r="26" spans="1:9" ht="12" customHeight="1">
      <c r="A26" s="54">
        <v>21</v>
      </c>
      <c r="B26" s="291" t="s">
        <v>430</v>
      </c>
      <c r="C26" s="487">
        <f>'SCH 3-3 Expenses'!D31</f>
        <v>0</v>
      </c>
      <c r="D26" s="487">
        <f>'SCH 3-3 Expenses'!D32</f>
        <v>0</v>
      </c>
      <c r="E26" s="487">
        <f>'SCH 3-3 Expenses'!D33</f>
        <v>0</v>
      </c>
      <c r="F26" s="487">
        <f>'SCH 3-3 Expenses'!D34</f>
        <v>0</v>
      </c>
      <c r="G26" s="487">
        <f>'SCH 3-3 Expenses'!D35</f>
        <v>0</v>
      </c>
      <c r="H26" s="487">
        <f>'SCH 3-3 Expenses'!D36</f>
        <v>0</v>
      </c>
      <c r="I26" s="432">
        <f t="shared" si="3"/>
        <v>0</v>
      </c>
    </row>
    <row r="27" spans="1:9" ht="12" customHeight="1">
      <c r="A27" s="54">
        <v>22</v>
      </c>
      <c r="B27" s="291" t="s">
        <v>431</v>
      </c>
      <c r="C27" s="487">
        <f>'SCH 3-3 Expenses'!E31</f>
        <v>0</v>
      </c>
      <c r="D27" s="487">
        <f>'SCH 3-3 Expenses'!E32</f>
        <v>0</v>
      </c>
      <c r="E27" s="487">
        <f>'SCH 3-3 Expenses'!E33</f>
        <v>0</v>
      </c>
      <c r="F27" s="487">
        <f>'SCH 3-3 Expenses'!E34</f>
        <v>0</v>
      </c>
      <c r="G27" s="487">
        <f>'SCH 3-3 Expenses'!E35</f>
        <v>0</v>
      </c>
      <c r="H27" s="487">
        <f>'SCH 3-3 Expenses'!E36</f>
        <v>0</v>
      </c>
      <c r="I27" s="432">
        <f t="shared" si="3"/>
        <v>0</v>
      </c>
    </row>
    <row r="28" spans="1:9" ht="12" customHeight="1">
      <c r="A28" s="169">
        <v>23</v>
      </c>
      <c r="B28" s="328" t="s">
        <v>729</v>
      </c>
      <c r="C28" s="487">
        <f>'SCH 5-1 Fixed Assets'!D29</f>
        <v>0</v>
      </c>
      <c r="D28" s="487">
        <f>'SCH 5-1 Fixed Assets'!D30</f>
        <v>0</v>
      </c>
      <c r="E28" s="487">
        <f>'SCH 5-1 Fixed Assets'!D31</f>
        <v>0</v>
      </c>
      <c r="F28" s="487">
        <f>'SCH 5-1 Fixed Assets'!D32</f>
        <v>0</v>
      </c>
      <c r="G28" s="487">
        <f>'SCH 5-1 Fixed Assets'!D33</f>
        <v>0</v>
      </c>
      <c r="H28" s="487">
        <f>'SCH 5-1 Fixed Assets'!D34</f>
        <v>0</v>
      </c>
      <c r="I28" s="432">
        <f t="shared" si="3"/>
        <v>0</v>
      </c>
    </row>
    <row r="29" spans="1:9" ht="12" customHeight="1">
      <c r="A29" s="54">
        <v>24</v>
      </c>
      <c r="B29" s="291" t="s">
        <v>787</v>
      </c>
      <c r="C29" s="487">
        <f>'SCH 5-3 Leases'!E25</f>
        <v>0</v>
      </c>
      <c r="D29" s="487">
        <f>'SCH 5-3 Leases'!E26</f>
        <v>0</v>
      </c>
      <c r="E29" s="487">
        <f>'SCH 5-3 Leases'!E27</f>
        <v>0</v>
      </c>
      <c r="F29" s="487">
        <f>'SCH 5-3 Leases'!E28</f>
        <v>0</v>
      </c>
      <c r="G29" s="487">
        <f>'SCH 5-3 Leases'!E29</f>
        <v>0</v>
      </c>
      <c r="H29" s="487">
        <f>'SCH 5-3 Leases'!E30</f>
        <v>0</v>
      </c>
      <c r="I29" s="432">
        <f>SUM(C29:H29)</f>
        <v>0</v>
      </c>
    </row>
    <row r="30" spans="1:9" ht="12" customHeight="1">
      <c r="A30" s="169">
        <v>25</v>
      </c>
      <c r="B30" s="328" t="s">
        <v>788</v>
      </c>
      <c r="C30" s="476">
        <f>'SCH 5-3 Leases'!F25</f>
        <v>0</v>
      </c>
      <c r="D30" s="476">
        <f>'SCH 5-3 Leases'!F26</f>
        <v>0</v>
      </c>
      <c r="E30" s="476">
        <f>'SCH 5-3 Leases'!F27</f>
        <v>0</v>
      </c>
      <c r="F30" s="476">
        <f>'SCH 5-3 Leases'!F28</f>
        <v>0</v>
      </c>
      <c r="G30" s="476">
        <f>'SCH 5-3 Leases'!F29</f>
        <v>0</v>
      </c>
      <c r="H30" s="476">
        <f>'SCH 5-3 Leases'!F30</f>
        <v>0</v>
      </c>
      <c r="I30" s="432">
        <f>SUM(C30:H30)</f>
        <v>0</v>
      </c>
    </row>
    <row r="31" spans="1:9" ht="12" customHeight="1" thickBot="1">
      <c r="A31" s="54">
        <v>26</v>
      </c>
      <c r="B31" s="291" t="s">
        <v>311</v>
      </c>
      <c r="C31" s="438">
        <f>'SCH 6 Debt'!G35</f>
        <v>0</v>
      </c>
      <c r="D31" s="438">
        <f>'SCH 6 Debt'!G36</f>
        <v>0</v>
      </c>
      <c r="E31" s="438">
        <f>'SCH 6 Debt'!G37</f>
        <v>0</v>
      </c>
      <c r="F31" s="438">
        <f>'SCH 6 Debt'!G38</f>
        <v>0</v>
      </c>
      <c r="G31" s="438">
        <f>'SCH 6 Debt'!G39</f>
        <v>0</v>
      </c>
      <c r="H31" s="438">
        <f>'SCH 6 Debt'!G40</f>
        <v>0</v>
      </c>
      <c r="I31" s="436">
        <f t="shared" si="3"/>
        <v>0</v>
      </c>
    </row>
    <row r="32" spans="1:9" ht="12" customHeight="1" thickBot="1">
      <c r="A32" s="172">
        <v>27</v>
      </c>
      <c r="B32" s="173" t="s">
        <v>30</v>
      </c>
      <c r="C32" s="453">
        <f aca="true" t="shared" si="4" ref="C32:I32">SUM(C20:C31)</f>
        <v>0</v>
      </c>
      <c r="D32" s="453">
        <f t="shared" si="4"/>
        <v>0</v>
      </c>
      <c r="E32" s="551">
        <f t="shared" si="4"/>
        <v>0</v>
      </c>
      <c r="F32" s="551">
        <f t="shared" si="4"/>
        <v>0</v>
      </c>
      <c r="G32" s="551">
        <f t="shared" si="4"/>
        <v>0</v>
      </c>
      <c r="H32" s="551">
        <f t="shared" si="4"/>
        <v>0</v>
      </c>
      <c r="I32" s="490">
        <f t="shared" si="4"/>
        <v>0</v>
      </c>
    </row>
    <row r="33" spans="1:9" ht="12" customHeight="1" thickTop="1">
      <c r="A33" s="147"/>
      <c r="B33" s="147"/>
      <c r="C33" s="1171" t="s">
        <v>56</v>
      </c>
      <c r="D33" s="1171"/>
      <c r="E33" s="1083"/>
      <c r="F33" s="1278"/>
      <c r="G33" s="1278"/>
      <c r="H33" s="1278"/>
      <c r="I33" s="1278"/>
    </row>
    <row r="34" spans="1:9" ht="12" customHeight="1" thickBot="1">
      <c r="A34" s="174">
        <v>28</v>
      </c>
      <c r="B34" s="175" t="s">
        <v>654</v>
      </c>
      <c r="C34" s="488">
        <f aca="true" t="shared" si="5" ref="C34:H34">C18-C32</f>
        <v>0</v>
      </c>
      <c r="D34" s="488">
        <f t="shared" si="5"/>
        <v>0</v>
      </c>
      <c r="E34" s="488">
        <f t="shared" si="5"/>
        <v>0</v>
      </c>
      <c r="F34" s="488">
        <f t="shared" si="5"/>
        <v>0</v>
      </c>
      <c r="G34" s="488">
        <f t="shared" si="5"/>
        <v>0</v>
      </c>
      <c r="H34" s="488">
        <f t="shared" si="5"/>
        <v>0</v>
      </c>
      <c r="I34" s="439"/>
    </row>
    <row r="35" spans="1:9" ht="12" customHeight="1" thickBot="1" thickTop="1">
      <c r="A35" s="878">
        <v>29</v>
      </c>
      <c r="B35" s="879" t="s">
        <v>655</v>
      </c>
      <c r="C35" s="880">
        <f>C34-SUMIF('SCH 7-2  Net Assets Detail'!$E$7:$E$12,"Yes",'SCH 7-2  Net Assets Detail'!$F$7:$F$12)</f>
        <v>0</v>
      </c>
      <c r="D35" s="881">
        <f>D34-SUMIF('SCH 7-2  Net Assets Detail'!$E$7:$E$12,"Yes",'SCH 7-2  Net Assets Detail'!$F$7:$F$12)</f>
        <v>0</v>
      </c>
      <c r="E35" s="881">
        <f>E34-SUMIF('SCH 7-2  Net Assets Detail'!$E$7:$E$12,"Yes",'SCH 7-2  Net Assets Detail'!$F$7:$F$12)</f>
        <v>0</v>
      </c>
      <c r="F35" s="881">
        <f>F34-SUMIF('SCH 7-2  Net Assets Detail'!$E$7:$E$12,"Yes",'SCH 7-2  Net Assets Detail'!$F$7:$F$12)</f>
        <v>0</v>
      </c>
      <c r="G35" s="881">
        <f>G34-SUMIF('SCH 7-2  Net Assets Detail'!$E$7:$E$12,"Yes",'SCH 7-2  Net Assets Detail'!$F$7:$F$12)</f>
        <v>0</v>
      </c>
      <c r="H35" s="881">
        <f>H34-SUMIF('SCH 7-2  Net Assets Detail'!$E$7:$E$12,"Yes",'SCH 7-2  Net Assets Detail'!$F$7:$F$12)</f>
        <v>0</v>
      </c>
      <c r="I35" s="882"/>
    </row>
    <row r="36" spans="6:9" ht="10.5" thickBot="1" thickTop="1">
      <c r="F36" s="52"/>
      <c r="G36" s="52"/>
      <c r="H36" s="52"/>
      <c r="I36" s="52"/>
    </row>
    <row r="37" spans="1:9" ht="12" customHeight="1" thickTop="1">
      <c r="A37" s="147"/>
      <c r="B37" s="147"/>
      <c r="C37" s="1171" t="s">
        <v>310</v>
      </c>
      <c r="D37" s="1171"/>
      <c r="E37" s="1171"/>
      <c r="F37" s="1278"/>
      <c r="G37" s="1278"/>
      <c r="H37" s="1278"/>
      <c r="I37" s="1278"/>
    </row>
    <row r="38" spans="1:11" ht="12" customHeight="1" thickBot="1">
      <c r="A38" s="174">
        <v>30</v>
      </c>
      <c r="B38" s="175" t="s">
        <v>309</v>
      </c>
      <c r="C38" s="488">
        <f>C34</f>
        <v>0</v>
      </c>
      <c r="D38" s="488">
        <f>D34</f>
        <v>0</v>
      </c>
      <c r="E38" s="488">
        <f>E34</f>
        <v>0</v>
      </c>
      <c r="F38" s="488">
        <f>F34-F7</f>
        <v>0</v>
      </c>
      <c r="G38" s="488">
        <f>G34-F7</f>
        <v>0</v>
      </c>
      <c r="H38" s="488">
        <f>H34-H7-F7</f>
        <v>0</v>
      </c>
      <c r="I38" s="439"/>
      <c r="J38" s="109"/>
      <c r="K38" s="440"/>
    </row>
    <row r="39" ht="10.5" thickBot="1" thickTop="1"/>
    <row r="40" spans="1:9" ht="12" customHeight="1" thickTop="1">
      <c r="A40" s="147"/>
      <c r="B40" s="147"/>
      <c r="C40" s="1171" t="s">
        <v>652</v>
      </c>
      <c r="D40" s="1171"/>
      <c r="E40" s="1171"/>
      <c r="F40" s="1278"/>
      <c r="G40" s="1278"/>
      <c r="H40" s="1278"/>
      <c r="I40" s="1278"/>
    </row>
    <row r="41" spans="1:11" ht="12" customHeight="1" thickBot="1">
      <c r="A41" s="174">
        <v>31</v>
      </c>
      <c r="B41" s="175" t="s">
        <v>674</v>
      </c>
      <c r="C41" s="488">
        <f>C34</f>
        <v>0</v>
      </c>
      <c r="D41" s="488">
        <f>D34</f>
        <v>0</v>
      </c>
      <c r="E41" s="488">
        <f>E34</f>
        <v>0</v>
      </c>
      <c r="F41" s="488">
        <f>F34-SUM(F6:F7)</f>
        <v>0</v>
      </c>
      <c r="G41" s="488">
        <f>G34-SUM($F$6:$F$7)</f>
        <v>0</v>
      </c>
      <c r="H41" s="488">
        <f>H34-SUM($F$6:$F$7)-SUM(H6:H7)</f>
        <v>0</v>
      </c>
      <c r="I41" s="439"/>
      <c r="J41" s="109"/>
      <c r="K41" s="440"/>
    </row>
    <row r="42" ht="10.5" thickTop="1"/>
    <row r="43" spans="1:9" ht="24" customHeight="1">
      <c r="A43" s="1050" t="str">
        <f>"* Schools that participated in the Choice program or SNSP in the "&amp;Months!D33&amp;" school year must reduce the "&amp;Months!B7&amp;"-"&amp;Months!B17&amp;" Available Cash amount by any required cash and investment balance as of "&amp;Months!B4&amp;" for the Choice and/or SNSP reserve."</f>
        <v>* Schools that participated in the Choice program or SNSP in the 2021-22 school year must reduce the July 2022-May 2023 Available Cash amount by any required cash and investment balance as of June 30, 2022 for the Choice and/or SNSP reserve.</v>
      </c>
      <c r="B43" s="1050"/>
      <c r="C43" s="1050"/>
      <c r="D43" s="1050"/>
      <c r="E43" s="1050"/>
      <c r="F43" s="1050"/>
      <c r="G43" s="1050"/>
      <c r="H43" s="1050"/>
      <c r="I43" s="1050"/>
    </row>
    <row r="47" ht="9.75">
      <c r="J47" s="8"/>
    </row>
  </sheetData>
  <sheetProtection password="EBD1" sheet="1"/>
  <mergeCells count="13">
    <mergeCell ref="A43:I43"/>
    <mergeCell ref="A1:I1"/>
    <mergeCell ref="F5:I5"/>
    <mergeCell ref="C5:E5"/>
    <mergeCell ref="F19:I19"/>
    <mergeCell ref="F33:I33"/>
    <mergeCell ref="C19:E19"/>
    <mergeCell ref="C33:E33"/>
    <mergeCell ref="A2:I2"/>
    <mergeCell ref="C40:E40"/>
    <mergeCell ref="F40:I40"/>
    <mergeCell ref="C37:E37"/>
    <mergeCell ref="F37:I37"/>
  </mergeCells>
  <conditionalFormatting sqref="C31:H31">
    <cfRule type="expression" priority="12" dxfId="6" stopIfTrue="1">
      <formula>ISERROR($F$6)</formula>
    </cfRule>
  </conditionalFormatting>
  <conditionalFormatting sqref="C38:H38 C34:H35">
    <cfRule type="cellIs" priority="5" dxfId="0" operator="lessThan" stopIfTrue="1">
      <formula>0</formula>
    </cfRule>
  </conditionalFormatting>
  <conditionalFormatting sqref="C41:H41">
    <cfRule type="cellIs" priority="1" dxfId="0" operator="lessThan" stopIfTrue="1">
      <formula>0</formula>
    </cfRule>
  </conditionalFormatting>
  <printOptions/>
  <pageMargins left="0.39" right="0.35" top="0.45" bottom="0.34" header="0.2" footer="0.16"/>
  <pageSetup fitToHeight="1" fitToWidth="1" horizontalDpi="600" verticalDpi="600" orientation="landscape" r:id="rId1"/>
  <headerFooter alignWithMargins="0">
    <oddHeader>&amp;LPage 20&amp;RPI-PCP-14</oddHeader>
  </headerFooter>
  <rowBreaks count="1" manualBreakCount="1">
    <brk id="36" max="255" man="1"/>
  </rowBreaks>
  <ignoredErrors>
    <ignoredError sqref="F4:G4 F18:H18 E18" evalError="1"/>
  </ignoredErrors>
</worksheet>
</file>

<file path=xl/worksheets/sheet26.xml><?xml version="1.0" encoding="utf-8"?>
<worksheet xmlns="http://schemas.openxmlformats.org/spreadsheetml/2006/main" xmlns:r="http://schemas.openxmlformats.org/officeDocument/2006/relationships">
  <sheetPr>
    <tabColor indexed="29"/>
    <pageSetUpPr fitToPage="1"/>
  </sheetPr>
  <dimension ref="A1:M46"/>
  <sheetViews>
    <sheetView showGridLines="0" showOutlineSymbols="0" workbookViewId="0" topLeftCell="A1">
      <pane xSplit="2" ySplit="3" topLeftCell="C4" activePane="bottomRight" state="frozen"/>
      <selection pane="topLeft" activeCell="B11" sqref="B11"/>
      <selection pane="topRight" activeCell="B11" sqref="B11"/>
      <selection pane="bottomLeft" activeCell="B11" sqref="B11"/>
      <selection pane="bottomRight" activeCell="H35" sqref="H35"/>
    </sheetView>
  </sheetViews>
  <sheetFormatPr defaultColWidth="9.140625" defaultRowHeight="12.75"/>
  <cols>
    <col min="1" max="1" width="4.00390625" style="8" customWidth="1"/>
    <col min="2" max="2" width="43.421875" style="8" customWidth="1"/>
    <col min="3" max="10" width="11.421875" style="8" customWidth="1"/>
    <col min="11" max="16384" width="9.140625" style="8" customWidth="1"/>
  </cols>
  <sheetData>
    <row r="1" spans="1:8" ht="12.75" customHeight="1">
      <c r="A1" s="1258">
        <f>'Cover Page'!A9</f>
        <v>0</v>
      </c>
      <c r="B1" s="1258"/>
      <c r="C1" s="1258"/>
      <c r="D1" s="1258"/>
      <c r="E1" s="1258"/>
      <c r="F1" s="1258"/>
      <c r="G1" s="1258"/>
      <c r="H1" s="1258"/>
    </row>
    <row r="2" spans="1:10" ht="12.75" customHeight="1" thickBot="1">
      <c r="A2" s="1182" t="s">
        <v>578</v>
      </c>
      <c r="B2" s="1182"/>
      <c r="C2" s="1182"/>
      <c r="D2" s="1182"/>
      <c r="E2" s="1182"/>
      <c r="F2" s="1182"/>
      <c r="G2" s="1182"/>
      <c r="H2" s="1182"/>
      <c r="I2" s="1182"/>
      <c r="J2" s="1182"/>
    </row>
    <row r="3" spans="1:11" ht="12" customHeight="1" thickTop="1">
      <c r="A3" s="541" t="s">
        <v>86</v>
      </c>
      <c r="B3" s="176"/>
      <c r="C3" s="167">
        <f>Months!B25</f>
        <v>44927</v>
      </c>
      <c r="D3" s="167">
        <f>Months!C25</f>
        <v>44958</v>
      </c>
      <c r="E3" s="167">
        <f>Months!D25</f>
        <v>44986</v>
      </c>
      <c r="F3" s="167">
        <f>Months!E25</f>
        <v>45017</v>
      </c>
      <c r="G3" s="167">
        <f>Months!F25</f>
        <v>45047</v>
      </c>
      <c r="H3" s="167">
        <f>Months!G25</f>
        <v>45078</v>
      </c>
      <c r="I3" s="150" t="s">
        <v>32</v>
      </c>
      <c r="J3" s="49" t="s">
        <v>33</v>
      </c>
      <c r="K3" s="10"/>
    </row>
    <row r="4" spans="1:11" ht="12" customHeight="1" thickBot="1">
      <c r="A4" s="77">
        <v>1</v>
      </c>
      <c r="B4" s="177" t="s">
        <v>42</v>
      </c>
      <c r="C4" s="438">
        <f>'SCH 8-1 Jul-Dec Cash Flows'!H34</f>
        <v>0</v>
      </c>
      <c r="D4" s="438">
        <f>C34</f>
        <v>0</v>
      </c>
      <c r="E4" s="438">
        <f>D34</f>
        <v>0</v>
      </c>
      <c r="F4" s="438">
        <f>E34</f>
        <v>0</v>
      </c>
      <c r="G4" s="438">
        <f>F34</f>
        <v>0</v>
      </c>
      <c r="H4" s="438">
        <f>G34</f>
        <v>0</v>
      </c>
      <c r="I4" s="429"/>
      <c r="J4" s="430"/>
      <c r="K4" s="10"/>
    </row>
    <row r="5" spans="1:10" ht="12" customHeight="1">
      <c r="A5" s="393"/>
      <c r="B5" s="393"/>
      <c r="C5" s="1280" t="s">
        <v>23</v>
      </c>
      <c r="D5" s="1280"/>
      <c r="E5" s="1280"/>
      <c r="F5" s="1280"/>
      <c r="G5" s="537"/>
      <c r="H5" s="537"/>
      <c r="I5" s="537"/>
      <c r="J5" s="57"/>
    </row>
    <row r="6" spans="1:11" ht="12" customHeight="1">
      <c r="A6" s="54">
        <v>2</v>
      </c>
      <c r="B6" s="34" t="s">
        <v>53</v>
      </c>
      <c r="C6" s="431"/>
      <c r="D6" s="431"/>
      <c r="E6" s="487">
        <f>((Choice_K8_Pmt*'SCH 2-1 All &amp; Choice Pupils'!O26)+(Choice_912_Pmt*'SCH 2-1 All &amp; Choice Pupils'!O27))/4</f>
        <v>0</v>
      </c>
      <c r="F6" s="431"/>
      <c r="G6" s="431"/>
      <c r="H6" s="487">
        <f>((Choice_K8_Pmt*'SCH 2-1 All &amp; Choice Pupils'!O26)+(Choice_912_Pmt*'SCH 2-1 All &amp; Choice Pupils'!O27))/4</f>
        <v>0</v>
      </c>
      <c r="I6" s="432">
        <f>SUM(C6:H6)</f>
        <v>0</v>
      </c>
      <c r="J6" s="432">
        <f>I6+'SCH 8-1 Jul-Dec Cash Flows'!I6</f>
        <v>0</v>
      </c>
      <c r="K6" s="10"/>
    </row>
    <row r="7" spans="1:11" ht="12" customHeight="1">
      <c r="A7" s="54">
        <v>3</v>
      </c>
      <c r="B7" s="34" t="s">
        <v>126</v>
      </c>
      <c r="C7" s="431"/>
      <c r="D7" s="431"/>
      <c r="E7" s="487">
        <f>('SCH 2-2 SNSP Pupils'!L16*SNSP_Pmt/4)+('SCH 2-2 SNSP Pupils'!L26*Choice_K8_Pmt/4)+('SCH 2-2 SNSP Pupils'!L27*Choice_912_Pmt/4)</f>
        <v>0</v>
      </c>
      <c r="F7" s="431"/>
      <c r="G7" s="431"/>
      <c r="H7" s="487">
        <f>E7</f>
        <v>0</v>
      </c>
      <c r="I7" s="432">
        <f aca="true" t="shared" si="0" ref="I7:I16">SUM(C7:H7)</f>
        <v>0</v>
      </c>
      <c r="J7" s="432">
        <f>I7+'SCH 8-1 Jul-Dec Cash Flows'!I7</f>
        <v>0</v>
      </c>
      <c r="K7" s="10"/>
    </row>
    <row r="8" spans="1:11" ht="12" customHeight="1">
      <c r="A8" s="54">
        <v>4</v>
      </c>
      <c r="B8" s="326" t="s">
        <v>269</v>
      </c>
      <c r="C8" s="487">
        <f>'SCH 4-1 Revenue'!C37</f>
        <v>0</v>
      </c>
      <c r="D8" s="487">
        <f>'SCH 4-1 Revenue'!C38</f>
        <v>0</v>
      </c>
      <c r="E8" s="487">
        <f>'SCH 4-1 Revenue'!C39</f>
        <v>0</v>
      </c>
      <c r="F8" s="487">
        <f>'SCH 4-1 Revenue'!C40</f>
        <v>0</v>
      </c>
      <c r="G8" s="487">
        <f>'SCH 4-1 Revenue'!C41</f>
        <v>0</v>
      </c>
      <c r="H8" s="487">
        <f>'SCH 4-1 Revenue'!C42</f>
        <v>0</v>
      </c>
      <c r="I8" s="432">
        <f t="shared" si="0"/>
        <v>0</v>
      </c>
      <c r="J8" s="432">
        <f>I8+'SCH 8-1 Jul-Dec Cash Flows'!I8</f>
        <v>0</v>
      </c>
      <c r="K8" s="10"/>
    </row>
    <row r="9" spans="1:11" ht="12" customHeight="1">
      <c r="A9" s="54">
        <v>5</v>
      </c>
      <c r="B9" s="327" t="s">
        <v>270</v>
      </c>
      <c r="C9" s="487">
        <f>'SCH 4-1 Revenue'!D37</f>
        <v>0</v>
      </c>
      <c r="D9" s="487">
        <f>'SCH 4-1 Revenue'!D38</f>
        <v>0</v>
      </c>
      <c r="E9" s="487">
        <f>'SCH 4-1 Revenue'!D39</f>
        <v>0</v>
      </c>
      <c r="F9" s="487">
        <f>'SCH 4-1 Revenue'!D40</f>
        <v>0</v>
      </c>
      <c r="G9" s="487">
        <f>'SCH 4-1 Revenue'!D41</f>
        <v>0</v>
      </c>
      <c r="H9" s="487">
        <f>'SCH 4-1 Revenue'!D42</f>
        <v>0</v>
      </c>
      <c r="I9" s="432">
        <f t="shared" si="0"/>
        <v>0</v>
      </c>
      <c r="J9" s="432">
        <f>I9+'SCH 8-1 Jul-Dec Cash Flows'!I9</f>
        <v>0</v>
      </c>
      <c r="K9" s="10"/>
    </row>
    <row r="10" spans="1:11" ht="12" customHeight="1">
      <c r="A10" s="325">
        <v>6</v>
      </c>
      <c r="B10" s="326" t="s">
        <v>271</v>
      </c>
      <c r="C10" s="487">
        <f>'SCH 4-2 Revenue'!D41</f>
        <v>0</v>
      </c>
      <c r="D10" s="487">
        <f>'SCH 4-2 Revenue'!D42</f>
        <v>0</v>
      </c>
      <c r="E10" s="487">
        <f>'SCH 4-2 Revenue'!D43</f>
        <v>0</v>
      </c>
      <c r="F10" s="487">
        <f>'SCH 4-2 Revenue'!D44</f>
        <v>0</v>
      </c>
      <c r="G10" s="487">
        <f>'SCH 4-2 Revenue'!D45</f>
        <v>0</v>
      </c>
      <c r="H10" s="487">
        <f>'SCH 4-2 Revenue'!D46</f>
        <v>0</v>
      </c>
      <c r="I10" s="433">
        <f t="shared" si="0"/>
        <v>0</v>
      </c>
      <c r="J10" s="432">
        <f>I10+'SCH 8-1 Jul-Dec Cash Flows'!I10</f>
        <v>0</v>
      </c>
      <c r="K10" s="10"/>
    </row>
    <row r="11" spans="1:11" ht="12" customHeight="1">
      <c r="A11" s="325">
        <v>7</v>
      </c>
      <c r="B11" s="327" t="s">
        <v>272</v>
      </c>
      <c r="C11" s="487">
        <f>'SCH 4-2 Revenue'!E41</f>
        <v>0</v>
      </c>
      <c r="D11" s="487">
        <f>'SCH 4-2 Revenue'!E42</f>
        <v>0</v>
      </c>
      <c r="E11" s="487">
        <f>'SCH 4-2 Revenue'!E43</f>
        <v>0</v>
      </c>
      <c r="F11" s="487">
        <f>'SCH 4-2 Revenue'!E44</f>
        <v>0</v>
      </c>
      <c r="G11" s="487">
        <f>'SCH 4-2 Revenue'!E45</f>
        <v>0</v>
      </c>
      <c r="H11" s="487">
        <f>'SCH 4-2 Revenue'!E46</f>
        <v>0</v>
      </c>
      <c r="I11" s="432">
        <f t="shared" si="0"/>
        <v>0</v>
      </c>
      <c r="J11" s="432">
        <f>I11+'SCH 8-1 Jul-Dec Cash Flows'!I11</f>
        <v>0</v>
      </c>
      <c r="K11" s="10"/>
    </row>
    <row r="12" spans="1:11" ht="12" customHeight="1">
      <c r="A12" s="54">
        <v>8</v>
      </c>
      <c r="B12" s="327" t="s">
        <v>768</v>
      </c>
      <c r="C12" s="487">
        <f>'SCH 4-3 Revenue'!C35</f>
        <v>0</v>
      </c>
      <c r="D12" s="487">
        <f>'SCH 4-3 Revenue'!C36</f>
        <v>0</v>
      </c>
      <c r="E12" s="487">
        <f>'SCH 4-3 Revenue'!C37</f>
        <v>0</v>
      </c>
      <c r="F12" s="487">
        <f>'SCH 4-3 Revenue'!C38</f>
        <v>0</v>
      </c>
      <c r="G12" s="487">
        <f>'SCH 4-3 Revenue'!C39</f>
        <v>0</v>
      </c>
      <c r="H12" s="487">
        <f>'SCH 4-3 Revenue'!C40</f>
        <v>0</v>
      </c>
      <c r="I12" s="432">
        <f t="shared" si="0"/>
        <v>0</v>
      </c>
      <c r="J12" s="432">
        <f>I12+'SCH 8-1 Jul-Dec Cash Flows'!I12</f>
        <v>0</v>
      </c>
      <c r="K12" s="10"/>
    </row>
    <row r="13" spans="1:13" ht="12" customHeight="1">
      <c r="A13" s="54">
        <v>9</v>
      </c>
      <c r="B13" s="330" t="s">
        <v>307</v>
      </c>
      <c r="C13" s="487">
        <f>'SCH 4-3 Revenue'!D35</f>
        <v>0</v>
      </c>
      <c r="D13" s="487">
        <f>'SCH 4-3 Revenue'!D36</f>
        <v>0</v>
      </c>
      <c r="E13" s="487">
        <f>'SCH 4-3 Revenue'!D37</f>
        <v>0</v>
      </c>
      <c r="F13" s="487">
        <f>'SCH 4-3 Revenue'!D38</f>
        <v>0</v>
      </c>
      <c r="G13" s="487">
        <f>'SCH 4-3 Revenue'!D39</f>
        <v>0</v>
      </c>
      <c r="H13" s="487">
        <f>'SCH 4-3 Revenue'!D40</f>
        <v>0</v>
      </c>
      <c r="I13" s="432">
        <f t="shared" si="0"/>
        <v>0</v>
      </c>
      <c r="J13" s="432">
        <f>I13+'SCH 8-1 Jul-Dec Cash Flows'!I13</f>
        <v>0</v>
      </c>
      <c r="K13" s="10"/>
      <c r="M13" s="213">
        <f>'SCH 5-3 Leases'!F25</f>
        <v>0</v>
      </c>
    </row>
    <row r="14" spans="1:13" ht="12" customHeight="1">
      <c r="A14" s="54">
        <v>10</v>
      </c>
      <c r="B14" s="326" t="s">
        <v>308</v>
      </c>
      <c r="C14" s="487">
        <f>'SCH 4-3 Revenue'!E35</f>
        <v>0</v>
      </c>
      <c r="D14" s="487">
        <f>'SCH 4-3 Revenue'!E36</f>
        <v>0</v>
      </c>
      <c r="E14" s="487">
        <f>'SCH 4-3 Revenue'!E37</f>
        <v>0</v>
      </c>
      <c r="F14" s="487">
        <f>'SCH 4-3 Revenue'!E38</f>
        <v>0</v>
      </c>
      <c r="G14" s="487">
        <f>'SCH 4-3 Revenue'!E39</f>
        <v>0</v>
      </c>
      <c r="H14" s="487">
        <f>'SCH 4-3 Revenue'!E40</f>
        <v>0</v>
      </c>
      <c r="I14" s="433">
        <f t="shared" si="0"/>
        <v>0</v>
      </c>
      <c r="J14" s="432">
        <f>I14+'SCH 8-1 Jul-Dec Cash Flows'!I14</f>
        <v>0</v>
      </c>
      <c r="K14" s="10"/>
      <c r="M14" s="213">
        <f>'SCH 5-3 Leases'!F26</f>
        <v>0</v>
      </c>
    </row>
    <row r="15" spans="1:13" ht="12" customHeight="1">
      <c r="A15" s="54">
        <v>11</v>
      </c>
      <c r="B15" s="329" t="s">
        <v>273</v>
      </c>
      <c r="C15" s="487">
        <f>'SCH 4-4 Revenue'!H26</f>
        <v>0</v>
      </c>
      <c r="D15" s="487">
        <f>'SCH 4-4 Revenue'!H27</f>
        <v>0</v>
      </c>
      <c r="E15" s="487">
        <f>'SCH 4-4 Revenue'!H28</f>
        <v>0</v>
      </c>
      <c r="F15" s="487">
        <f>'SCH 4-4 Revenue'!H29</f>
        <v>0</v>
      </c>
      <c r="G15" s="487">
        <f>'SCH 4-4 Revenue'!H30</f>
        <v>0</v>
      </c>
      <c r="H15" s="487">
        <f>'SCH 4-4 Revenue'!H31</f>
        <v>0</v>
      </c>
      <c r="I15" s="432">
        <f t="shared" si="0"/>
        <v>0</v>
      </c>
      <c r="J15" s="432">
        <f>I15+'SCH 8-1 Jul-Dec Cash Flows'!I15</f>
        <v>0</v>
      </c>
      <c r="K15" s="10"/>
      <c r="M15" s="213">
        <f>'SCH 5-3 Leases'!F27</f>
        <v>0</v>
      </c>
    </row>
    <row r="16" spans="1:13" ht="12" customHeight="1" thickBot="1">
      <c r="A16" s="55">
        <v>12</v>
      </c>
      <c r="B16" s="550" t="s">
        <v>418</v>
      </c>
      <c r="C16" s="435">
        <f>'SCH 6 Debt'!D41</f>
        <v>0</v>
      </c>
      <c r="D16" s="435">
        <f>'SCH 6 Debt'!D42</f>
        <v>0</v>
      </c>
      <c r="E16" s="435">
        <f>'SCH 6 Debt'!D43</f>
        <v>0</v>
      </c>
      <c r="F16" s="435">
        <f>'SCH 6 Debt'!D44</f>
        <v>0</v>
      </c>
      <c r="G16" s="435">
        <f>'SCH 6 Debt'!D45</f>
        <v>0</v>
      </c>
      <c r="H16" s="435">
        <f>'SCH 6 Debt'!D46</f>
        <v>0</v>
      </c>
      <c r="I16" s="435">
        <f t="shared" si="0"/>
        <v>0</v>
      </c>
      <c r="J16" s="436">
        <f>I16+'SCH 8-1 Jul-Dec Cash Flows'!I16</f>
        <v>0</v>
      </c>
      <c r="K16" s="10"/>
      <c r="M16" s="213">
        <f>'SCH 5-3 Leases'!F28</f>
        <v>0</v>
      </c>
    </row>
    <row r="17" spans="1:13" ht="12" customHeight="1" thickBot="1">
      <c r="A17" s="76">
        <v>13</v>
      </c>
      <c r="B17" s="351" t="s">
        <v>29</v>
      </c>
      <c r="C17" s="453">
        <f aca="true" t="shared" si="1" ref="C17:I17">SUM(C6:C16)</f>
        <v>0</v>
      </c>
      <c r="D17" s="453">
        <f t="shared" si="1"/>
        <v>0</v>
      </c>
      <c r="E17" s="453">
        <f t="shared" si="1"/>
        <v>0</v>
      </c>
      <c r="F17" s="453">
        <f t="shared" si="1"/>
        <v>0</v>
      </c>
      <c r="G17" s="453">
        <f t="shared" si="1"/>
        <v>0</v>
      </c>
      <c r="H17" s="453">
        <f t="shared" si="1"/>
        <v>0</v>
      </c>
      <c r="I17" s="623">
        <f t="shared" si="1"/>
        <v>0</v>
      </c>
      <c r="J17" s="278">
        <f>I17+'SCH 8-1 Jul-Dec Cash Flows'!I17</f>
        <v>0</v>
      </c>
      <c r="K17" s="10"/>
      <c r="M17" s="213">
        <f>'SCH 5-3 Leases'!F29</f>
        <v>0</v>
      </c>
    </row>
    <row r="18" spans="1:13" ht="12" customHeight="1" thickBot="1">
      <c r="A18" s="59">
        <v>14</v>
      </c>
      <c r="B18" s="148" t="s">
        <v>653</v>
      </c>
      <c r="C18" s="705">
        <f aca="true" t="shared" si="2" ref="C18:H18">C4+C17</f>
        <v>0</v>
      </c>
      <c r="D18" s="705">
        <f t="shared" si="2"/>
        <v>0</v>
      </c>
      <c r="E18" s="705">
        <f t="shared" si="2"/>
        <v>0</v>
      </c>
      <c r="F18" s="705">
        <f t="shared" si="2"/>
        <v>0</v>
      </c>
      <c r="G18" s="705">
        <f t="shared" si="2"/>
        <v>0</v>
      </c>
      <c r="H18" s="705">
        <f t="shared" si="2"/>
        <v>0</v>
      </c>
      <c r="I18" s="437"/>
      <c r="J18" s="437"/>
      <c r="K18" s="10"/>
      <c r="M18" s="213">
        <f>'SCH 5-3 Leases'!F30</f>
        <v>0</v>
      </c>
    </row>
    <row r="19" spans="1:10" ht="12" customHeight="1" thickTop="1">
      <c r="A19" s="147"/>
      <c r="B19" s="147"/>
      <c r="C19" s="1171" t="s">
        <v>24</v>
      </c>
      <c r="D19" s="1171"/>
      <c r="E19" s="1171"/>
      <c r="F19" s="1171"/>
      <c r="G19" s="536"/>
      <c r="H19" s="536"/>
      <c r="I19" s="536"/>
      <c r="J19" s="57"/>
    </row>
    <row r="20" spans="1:11" ht="12" customHeight="1">
      <c r="A20" s="54">
        <v>15</v>
      </c>
      <c r="B20" s="171" t="s">
        <v>424</v>
      </c>
      <c r="C20" s="487">
        <f>'SCH 3-1 Expenses'!$I38</f>
        <v>0</v>
      </c>
      <c r="D20" s="487">
        <f>'SCH 3-1 Expenses'!$I39</f>
        <v>0</v>
      </c>
      <c r="E20" s="487">
        <f>'SCH 3-1 Expenses'!$I40</f>
        <v>0</v>
      </c>
      <c r="F20" s="487">
        <f>'SCH 3-1 Expenses'!$I41</f>
        <v>0</v>
      </c>
      <c r="G20" s="487">
        <f>'SCH 3-1 Expenses'!$I42</f>
        <v>0</v>
      </c>
      <c r="H20" s="487">
        <f>'SCH 3-1 Expenses'!$I43</f>
        <v>0</v>
      </c>
      <c r="I20" s="432">
        <f aca="true" t="shared" si="3" ref="I20:I31">SUM(C20:H20)</f>
        <v>0</v>
      </c>
      <c r="J20" s="432">
        <f>I20+'SCH 8-1 Jul-Dec Cash Flows'!I20</f>
        <v>0</v>
      </c>
      <c r="K20" s="10"/>
    </row>
    <row r="21" spans="1:11" ht="12" customHeight="1">
      <c r="A21" s="54">
        <v>16</v>
      </c>
      <c r="B21" s="328" t="s">
        <v>425</v>
      </c>
      <c r="C21" s="434">
        <f>'SCH 3-2 Expenses'!C38</f>
        <v>0</v>
      </c>
      <c r="D21" s="434">
        <f>'SCH 3-2 Expenses'!C39</f>
        <v>0</v>
      </c>
      <c r="E21" s="434">
        <f>'SCH 3-2 Expenses'!C40</f>
        <v>0</v>
      </c>
      <c r="F21" s="434">
        <f>'SCH 3-2 Expenses'!C41</f>
        <v>0</v>
      </c>
      <c r="G21" s="434">
        <f>'SCH 3-2 Expenses'!C42</f>
        <v>0</v>
      </c>
      <c r="H21" s="434">
        <f>'SCH 3-2 Expenses'!C43</f>
        <v>0</v>
      </c>
      <c r="I21" s="432">
        <f t="shared" si="3"/>
        <v>0</v>
      </c>
      <c r="J21" s="432">
        <f>I21+'SCH 8-1 Jul-Dec Cash Flows'!I21</f>
        <v>0</v>
      </c>
      <c r="K21" s="10"/>
    </row>
    <row r="22" spans="1:11" ht="12" customHeight="1">
      <c r="A22" s="54">
        <v>17</v>
      </c>
      <c r="B22" s="328" t="s">
        <v>426</v>
      </c>
      <c r="C22" s="434">
        <f>'SCH 3-2 Expenses'!D38</f>
        <v>0</v>
      </c>
      <c r="D22" s="434">
        <f>'SCH 3-2 Expenses'!D39</f>
        <v>0</v>
      </c>
      <c r="E22" s="434">
        <f>'SCH 3-2 Expenses'!D40</f>
        <v>0</v>
      </c>
      <c r="F22" s="434">
        <f>'SCH 3-2 Expenses'!D41</f>
        <v>0</v>
      </c>
      <c r="G22" s="434">
        <f>'SCH 3-2 Expenses'!D42</f>
        <v>0</v>
      </c>
      <c r="H22" s="434">
        <f>'SCH 3-2 Expenses'!D43</f>
        <v>0</v>
      </c>
      <c r="I22" s="432">
        <f t="shared" si="3"/>
        <v>0</v>
      </c>
      <c r="J22" s="432">
        <f>I22+'SCH 8-1 Jul-Dec Cash Flows'!I22</f>
        <v>0</v>
      </c>
      <c r="K22" s="10"/>
    </row>
    <row r="23" spans="1:11" ht="12" customHeight="1">
      <c r="A23" s="54">
        <v>18</v>
      </c>
      <c r="B23" s="291" t="s">
        <v>427</v>
      </c>
      <c r="C23" s="434">
        <f>'SCH 3-2 Expenses'!E38</f>
        <v>0</v>
      </c>
      <c r="D23" s="434">
        <f>'SCH 3-2 Expenses'!E39</f>
        <v>0</v>
      </c>
      <c r="E23" s="434">
        <f>'SCH 3-2 Expenses'!E40</f>
        <v>0</v>
      </c>
      <c r="F23" s="434">
        <f>'SCH 3-2 Expenses'!E41</f>
        <v>0</v>
      </c>
      <c r="G23" s="434">
        <f>'SCH 3-2 Expenses'!E42</f>
        <v>0</v>
      </c>
      <c r="H23" s="434">
        <f>'SCH 3-2 Expenses'!E43</f>
        <v>0</v>
      </c>
      <c r="I23" s="432">
        <f t="shared" si="3"/>
        <v>0</v>
      </c>
      <c r="J23" s="432">
        <f>I23+'SCH 8-1 Jul-Dec Cash Flows'!I23</f>
        <v>0</v>
      </c>
      <c r="K23" s="10"/>
    </row>
    <row r="24" spans="1:11" ht="12" customHeight="1">
      <c r="A24" s="54">
        <v>19</v>
      </c>
      <c r="B24" s="291" t="s">
        <v>428</v>
      </c>
      <c r="C24" s="434">
        <f>'SCH 3-2 Expenses'!F38</f>
        <v>0</v>
      </c>
      <c r="D24" s="434">
        <f>'SCH 3-2 Expenses'!F39</f>
        <v>0</v>
      </c>
      <c r="E24" s="434">
        <f>'SCH 3-2 Expenses'!F40</f>
        <v>0</v>
      </c>
      <c r="F24" s="434">
        <f>'SCH 3-2 Expenses'!F41</f>
        <v>0</v>
      </c>
      <c r="G24" s="434">
        <f>'SCH 3-2 Expenses'!F42</f>
        <v>0</v>
      </c>
      <c r="H24" s="434">
        <f>'SCH 3-2 Expenses'!F43</f>
        <v>0</v>
      </c>
      <c r="I24" s="432">
        <f t="shared" si="3"/>
        <v>0</v>
      </c>
      <c r="J24" s="432">
        <f>I24+'SCH 8-1 Jul-Dec Cash Flows'!I24</f>
        <v>0</v>
      </c>
      <c r="K24" s="10"/>
    </row>
    <row r="25" spans="1:11" ht="12" customHeight="1">
      <c r="A25" s="54">
        <v>20</v>
      </c>
      <c r="B25" s="291" t="s">
        <v>429</v>
      </c>
      <c r="C25" s="434">
        <f>'SCH 3-3 Expenses'!C37</f>
        <v>0</v>
      </c>
      <c r="D25" s="434">
        <f>'SCH 3-3 Expenses'!C38</f>
        <v>0</v>
      </c>
      <c r="E25" s="434">
        <f>'SCH 3-3 Expenses'!C39</f>
        <v>0</v>
      </c>
      <c r="F25" s="434">
        <f>'SCH 3-3 Expenses'!C40</f>
        <v>0</v>
      </c>
      <c r="G25" s="434">
        <f>'SCH 3-3 Expenses'!C41</f>
        <v>0</v>
      </c>
      <c r="H25" s="434">
        <f>'SCH 3-3 Expenses'!C42</f>
        <v>0</v>
      </c>
      <c r="I25" s="432">
        <f t="shared" si="3"/>
        <v>0</v>
      </c>
      <c r="J25" s="432">
        <f>I25+'SCH 8-1 Jul-Dec Cash Flows'!I25</f>
        <v>0</v>
      </c>
      <c r="K25" s="10"/>
    </row>
    <row r="26" spans="1:11" ht="12" customHeight="1">
      <c r="A26" s="54">
        <v>21</v>
      </c>
      <c r="B26" s="291" t="s">
        <v>430</v>
      </c>
      <c r="C26" s="434">
        <f>'SCH 3-3 Expenses'!D37</f>
        <v>0</v>
      </c>
      <c r="D26" s="434">
        <f>'SCH 3-3 Expenses'!D38</f>
        <v>0</v>
      </c>
      <c r="E26" s="434">
        <f>'SCH 3-3 Expenses'!D39</f>
        <v>0</v>
      </c>
      <c r="F26" s="434">
        <f>'SCH 3-3 Expenses'!D40</f>
        <v>0</v>
      </c>
      <c r="G26" s="434">
        <f>'SCH 3-3 Expenses'!D41</f>
        <v>0</v>
      </c>
      <c r="H26" s="434">
        <f>'SCH 3-3 Expenses'!D42</f>
        <v>0</v>
      </c>
      <c r="I26" s="432">
        <f t="shared" si="3"/>
        <v>0</v>
      </c>
      <c r="J26" s="432">
        <f>I26+'SCH 8-1 Jul-Dec Cash Flows'!I26</f>
        <v>0</v>
      </c>
      <c r="K26" s="10"/>
    </row>
    <row r="27" spans="1:11" ht="12" customHeight="1">
      <c r="A27" s="54">
        <v>22</v>
      </c>
      <c r="B27" s="291" t="s">
        <v>431</v>
      </c>
      <c r="C27" s="434">
        <f>'SCH 3-3 Expenses'!E37</f>
        <v>0</v>
      </c>
      <c r="D27" s="434">
        <f>'SCH 3-3 Expenses'!E38</f>
        <v>0</v>
      </c>
      <c r="E27" s="434">
        <f>'SCH 3-3 Expenses'!E39</f>
        <v>0</v>
      </c>
      <c r="F27" s="434">
        <f>'SCH 3-3 Expenses'!E40</f>
        <v>0</v>
      </c>
      <c r="G27" s="434">
        <f>'SCH 3-3 Expenses'!E41</f>
        <v>0</v>
      </c>
      <c r="H27" s="434">
        <f>'SCH 3-3 Expenses'!E42</f>
        <v>0</v>
      </c>
      <c r="I27" s="432">
        <f t="shared" si="3"/>
        <v>0</v>
      </c>
      <c r="J27" s="432">
        <f>I27+'SCH 8-1 Jul-Dec Cash Flows'!I27</f>
        <v>0</v>
      </c>
      <c r="K27" s="10"/>
    </row>
    <row r="28" spans="1:11" ht="12" customHeight="1">
      <c r="A28" s="169">
        <v>23</v>
      </c>
      <c r="B28" s="328" t="s">
        <v>729</v>
      </c>
      <c r="C28" s="434">
        <f>'SCH 5-1 Fixed Assets'!D35</f>
        <v>0</v>
      </c>
      <c r="D28" s="434">
        <f>'SCH 5-1 Fixed Assets'!D36</f>
        <v>0</v>
      </c>
      <c r="E28" s="434">
        <f>'SCH 5-1 Fixed Assets'!D37</f>
        <v>0</v>
      </c>
      <c r="F28" s="434">
        <f>'SCH 5-1 Fixed Assets'!D38</f>
        <v>0</v>
      </c>
      <c r="G28" s="434">
        <f>'SCH 5-1 Fixed Assets'!D39</f>
        <v>0</v>
      </c>
      <c r="H28" s="434">
        <f>'SCH 5-1 Fixed Assets'!D40</f>
        <v>0</v>
      </c>
      <c r="I28" s="432">
        <f t="shared" si="3"/>
        <v>0</v>
      </c>
      <c r="J28" s="432">
        <f>I28+'SCH 8-1 Jul-Dec Cash Flows'!I28</f>
        <v>0</v>
      </c>
      <c r="K28" s="10"/>
    </row>
    <row r="29" spans="1:11" ht="12" customHeight="1">
      <c r="A29" s="54">
        <v>24</v>
      </c>
      <c r="B29" s="291" t="s">
        <v>787</v>
      </c>
      <c r="C29" s="434">
        <f>'SCH 5-3 Leases'!E31</f>
        <v>0</v>
      </c>
      <c r="D29" s="434">
        <f>'SCH 5-3 Leases'!E32</f>
        <v>0</v>
      </c>
      <c r="E29" s="434">
        <f>'SCH 5-3 Leases'!E33</f>
        <v>0</v>
      </c>
      <c r="F29" s="434">
        <f>'SCH 5-3 Leases'!E34</f>
        <v>0</v>
      </c>
      <c r="G29" s="434">
        <f>'SCH 5-3 Leases'!E35</f>
        <v>0</v>
      </c>
      <c r="H29" s="434">
        <f>'SCH 5-3 Leases'!E36</f>
        <v>0</v>
      </c>
      <c r="I29" s="432">
        <f>SUM(C29:H29)</f>
        <v>0</v>
      </c>
      <c r="J29" s="432">
        <f>I29+'SCH 8-1 Jul-Dec Cash Flows'!I29</f>
        <v>0</v>
      </c>
      <c r="K29" s="10"/>
    </row>
    <row r="30" spans="1:11" ht="12" customHeight="1">
      <c r="A30" s="58">
        <v>25</v>
      </c>
      <c r="B30" s="328" t="s">
        <v>789</v>
      </c>
      <c r="C30" s="929">
        <f>'SCH 5-3 Leases'!F31</f>
        <v>0</v>
      </c>
      <c r="D30" s="929">
        <f>'SCH 5-3 Leases'!F32</f>
        <v>0</v>
      </c>
      <c r="E30" s="929">
        <f>'SCH 5-3 Leases'!F33</f>
        <v>0</v>
      </c>
      <c r="F30" s="929">
        <f>'SCH 5-3 Leases'!F34</f>
        <v>0</v>
      </c>
      <c r="G30" s="929">
        <f>'SCH 5-3 Leases'!F35</f>
        <v>0</v>
      </c>
      <c r="H30" s="929">
        <f>'SCH 5-3 Leases'!F36</f>
        <v>0</v>
      </c>
      <c r="I30" s="432">
        <f>SUM(C30:H30)</f>
        <v>0</v>
      </c>
      <c r="J30" s="432">
        <f>I30+'SCH 8-1 Jul-Dec Cash Flows'!I30</f>
        <v>0</v>
      </c>
      <c r="K30" s="10"/>
    </row>
    <row r="31" spans="1:11" ht="12" customHeight="1" thickBot="1">
      <c r="A31" s="55">
        <v>26</v>
      </c>
      <c r="B31" s="354" t="s">
        <v>311</v>
      </c>
      <c r="C31" s="438">
        <f>'SCH 6 Debt'!G41</f>
        <v>0</v>
      </c>
      <c r="D31" s="438">
        <f>'SCH 6 Debt'!G42</f>
        <v>0</v>
      </c>
      <c r="E31" s="438">
        <f>'SCH 6 Debt'!G43</f>
        <v>0</v>
      </c>
      <c r="F31" s="438">
        <f>'SCH 6 Debt'!G44</f>
        <v>0</v>
      </c>
      <c r="G31" s="438">
        <f>'SCH 6 Debt'!G45</f>
        <v>0</v>
      </c>
      <c r="H31" s="438">
        <f>'SCH 6 Debt'!G46</f>
        <v>0</v>
      </c>
      <c r="I31" s="432">
        <f t="shared" si="3"/>
        <v>0</v>
      </c>
      <c r="J31" s="432">
        <f>I31+'SCH 8-1 Jul-Dec Cash Flows'!I31</f>
        <v>0</v>
      </c>
      <c r="K31" s="10"/>
    </row>
    <row r="32" spans="1:11" ht="12" customHeight="1" thickBot="1">
      <c r="A32" s="352">
        <v>27</v>
      </c>
      <c r="B32" s="353" t="s">
        <v>30</v>
      </c>
      <c r="C32" s="453">
        <f aca="true" t="shared" si="4" ref="C32:I32">SUM(C20:C31)</f>
        <v>0</v>
      </c>
      <c r="D32" s="453">
        <f t="shared" si="4"/>
        <v>0</v>
      </c>
      <c r="E32" s="453">
        <f t="shared" si="4"/>
        <v>0</v>
      </c>
      <c r="F32" s="489">
        <f t="shared" si="4"/>
        <v>0</v>
      </c>
      <c r="G32" s="489">
        <f t="shared" si="4"/>
        <v>0</v>
      </c>
      <c r="H32" s="489">
        <f t="shared" si="4"/>
        <v>0</v>
      </c>
      <c r="I32" s="490">
        <f t="shared" si="4"/>
        <v>0</v>
      </c>
      <c r="J32" s="285">
        <f>I32+'SCH 8-1 Jul-Dec Cash Flows'!I32</f>
        <v>0</v>
      </c>
      <c r="K32" s="10"/>
    </row>
    <row r="33" spans="1:10" ht="12" customHeight="1" thickTop="1">
      <c r="A33" s="147"/>
      <c r="B33" s="147"/>
      <c r="C33" s="1171" t="s">
        <v>56</v>
      </c>
      <c r="D33" s="1171"/>
      <c r="E33" s="1171"/>
      <c r="F33" s="1171"/>
      <c r="G33" s="536"/>
      <c r="H33" s="536"/>
      <c r="I33" s="536"/>
      <c r="J33" s="103"/>
    </row>
    <row r="34" spans="1:11" ht="12" customHeight="1" thickBot="1">
      <c r="A34" s="174">
        <v>28</v>
      </c>
      <c r="B34" s="175" t="s">
        <v>654</v>
      </c>
      <c r="C34" s="488">
        <f aca="true" t="shared" si="5" ref="C34:H34">C18-C32</f>
        <v>0</v>
      </c>
      <c r="D34" s="488">
        <f t="shared" si="5"/>
        <v>0</v>
      </c>
      <c r="E34" s="488">
        <f t="shared" si="5"/>
        <v>0</v>
      </c>
      <c r="F34" s="488">
        <f t="shared" si="5"/>
        <v>0</v>
      </c>
      <c r="G34" s="488">
        <f t="shared" si="5"/>
        <v>0</v>
      </c>
      <c r="H34" s="488">
        <f t="shared" si="5"/>
        <v>0</v>
      </c>
      <c r="I34" s="439"/>
      <c r="J34" s="552">
        <f>J17-J32</f>
        <v>0</v>
      </c>
      <c r="K34" s="10"/>
    </row>
    <row r="35" spans="1:11" ht="12" customHeight="1" thickBot="1" thickTop="1">
      <c r="A35" s="884">
        <v>29</v>
      </c>
      <c r="B35" s="879" t="s">
        <v>655</v>
      </c>
      <c r="C35" s="880">
        <f>C34-SUMIF('SCH 7-2  Net Assets Detail'!$E$7:$E$12,"Yes",'SCH 7-2  Net Assets Detail'!$F$7:$F$12)</f>
        <v>0</v>
      </c>
      <c r="D35" s="881">
        <f>D34-SUMIF('SCH 7-2  Net Assets Detail'!$E$7:$E$12,"Yes",'SCH 7-2  Net Assets Detail'!$F$7:$F$12)</f>
        <v>0</v>
      </c>
      <c r="E35" s="881">
        <f>E34-SUMIF('SCH 7-2  Net Assets Detail'!$E$7:$E$12,"Yes",'SCH 7-2  Net Assets Detail'!$F$7:$F$12)</f>
        <v>0</v>
      </c>
      <c r="F35" s="881">
        <f>F34-SUMIF('SCH 7-2  Net Assets Detail'!$E$7:$E$12,"Yes",'SCH 7-2  Net Assets Detail'!$F$7:$F$12)</f>
        <v>0</v>
      </c>
      <c r="G35" s="881">
        <f>G34-SUMIF('SCH 7-2  Net Assets Detail'!$E$7:$E$12,"Yes",'SCH 7-2  Net Assets Detail'!$F$7:$F$12)</f>
        <v>0</v>
      </c>
      <c r="H35" s="881">
        <f>H34-SUMIF('SCH 7-2  Net Assets Detail'!$E$7:$E$12,"Yes",'SCH 7-2  Net Assets Detail'!$G$7:$G$12)</f>
        <v>0</v>
      </c>
      <c r="I35" s="575"/>
      <c r="J35" s="883"/>
      <c r="K35" s="10"/>
    </row>
    <row r="36" spans="6:10" ht="10.5" thickBot="1" thickTop="1">
      <c r="F36" s="355"/>
      <c r="G36" s="355"/>
      <c r="H36" s="355"/>
      <c r="I36" s="355"/>
      <c r="J36" s="355"/>
    </row>
    <row r="37" spans="1:10" ht="13.5" customHeight="1" thickTop="1">
      <c r="A37" s="147"/>
      <c r="B37" s="147"/>
      <c r="C37" s="1171" t="s">
        <v>310</v>
      </c>
      <c r="D37" s="1171"/>
      <c r="E37" s="1171"/>
      <c r="F37" s="1171"/>
      <c r="G37" s="536"/>
      <c r="H37" s="536"/>
      <c r="I37" s="536"/>
      <c r="J37" s="50"/>
    </row>
    <row r="38" spans="1:11" ht="13.5" thickBot="1">
      <c r="A38" s="174">
        <v>30</v>
      </c>
      <c r="B38" s="175" t="s">
        <v>309</v>
      </c>
      <c r="C38" s="488">
        <f>C34-'SCH 8-1 Jul-Dec Cash Flows'!I7</f>
        <v>0</v>
      </c>
      <c r="D38" s="488">
        <f>D34-'SCH 8-1 Jul-Dec Cash Flows'!I7</f>
        <v>0</v>
      </c>
      <c r="E38" s="488">
        <f>E34-'SCH 8-1 Jul-Dec Cash Flows'!I7-E7</f>
        <v>0</v>
      </c>
      <c r="F38" s="488">
        <f>F34-E7-'SCH 8-1 Jul-Dec Cash Flows'!I7-E7</f>
        <v>0</v>
      </c>
      <c r="G38" s="488">
        <f>G34-'SCH 8-1 Jul-Dec Cash Flows'!I7-E7</f>
        <v>0</v>
      </c>
      <c r="H38" s="488">
        <f>H34-J7</f>
        <v>0</v>
      </c>
      <c r="I38" s="439"/>
      <c r="J38" s="491">
        <f>J34-J7</f>
        <v>0</v>
      </c>
      <c r="K38" s="10"/>
    </row>
    <row r="39" spans="1:10" ht="10.5" thickBot="1" thickTop="1">
      <c r="A39" s="355"/>
      <c r="B39" s="355"/>
      <c r="C39" s="355"/>
      <c r="D39" s="355"/>
      <c r="E39" s="355"/>
      <c r="F39" s="355"/>
      <c r="G39" s="355"/>
      <c r="H39" s="355"/>
      <c r="I39" s="355"/>
      <c r="J39" s="355"/>
    </row>
    <row r="40" spans="1:10" ht="12" customHeight="1" thickTop="1">
      <c r="A40" s="876"/>
      <c r="B40" s="876"/>
      <c r="C40" s="1083" t="s">
        <v>652</v>
      </c>
      <c r="D40" s="1083"/>
      <c r="E40" s="1083"/>
      <c r="F40" s="1083"/>
      <c r="G40" s="876"/>
      <c r="H40" s="876"/>
      <c r="I40" s="876"/>
      <c r="J40" s="876"/>
    </row>
    <row r="41" spans="1:11" ht="12" customHeight="1" thickBot="1">
      <c r="A41" s="174">
        <v>31</v>
      </c>
      <c r="B41" s="175" t="s">
        <v>674</v>
      </c>
      <c r="C41" s="488">
        <f>C34-SUM('SCH 8-1 Jul-Dec Cash Flows'!$I$6:$I$7)</f>
        <v>0</v>
      </c>
      <c r="D41" s="488">
        <f>D34-SUM('SCH 8-1 Jul-Dec Cash Flows'!$I$6:$I$7)</f>
        <v>0</v>
      </c>
      <c r="E41" s="488">
        <f>E34-SUM('SCH 8-1 Jul-Dec Cash Flows'!$I$6:$I$7)-SUM($E$6:$E$7)</f>
        <v>0</v>
      </c>
      <c r="F41" s="488">
        <f>F34-SUM('SCH 8-1 Jul-Dec Cash Flows'!$I$6:$I$7)-SUM($E$6:$E$7)</f>
        <v>0</v>
      </c>
      <c r="G41" s="488">
        <f>G34-SUM('SCH 8-1 Jul-Dec Cash Flows'!$I$6:$I$7)-SUM($E$6:$E$7)</f>
        <v>0</v>
      </c>
      <c r="H41" s="488">
        <f>H34-SUM('SCH 8-1 Jul-Dec Cash Flows'!$I$6:$I$7)-SUM($E$6:$E$7)-SUM(H6:H7)-'SCH 10 Reserves'!C27</f>
        <v>0</v>
      </c>
      <c r="I41" s="439"/>
      <c r="J41" s="439"/>
      <c r="K41" s="440"/>
    </row>
    <row r="42" ht="10.5" thickTop="1"/>
    <row r="43" spans="1:10" ht="24" customHeight="1">
      <c r="A43" s="1050" t="str">
        <f>"* Schools that participated in the Choice program or SNSP in the "&amp;Months!D33&amp;" school year must reduce the "&amp;Months!B7&amp;"-"&amp;Months!B17&amp;" Available Cash amount by any required cash and investment balance as of "&amp;Months!B4&amp;" for the Choice and/or SNSP reserve."</f>
        <v>* Schools that participated in the Choice program or SNSP in the 2021-22 school year must reduce the July 2022-May 2023 Available Cash amount by any required cash and investment balance as of June 30, 2022 for the Choice and/or SNSP reserve.</v>
      </c>
      <c r="B43" s="1050"/>
      <c r="C43" s="1050"/>
      <c r="D43" s="1050"/>
      <c r="E43" s="1050"/>
      <c r="F43" s="1050"/>
      <c r="G43" s="1050"/>
      <c r="H43" s="1050"/>
      <c r="I43" s="1050"/>
      <c r="J43" s="10"/>
    </row>
    <row r="46" ht="9.75">
      <c r="F46" s="213"/>
    </row>
  </sheetData>
  <sheetProtection password="EBD1" sheet="1"/>
  <mergeCells count="8">
    <mergeCell ref="A1:H1"/>
    <mergeCell ref="A2:J2"/>
    <mergeCell ref="A43:I43"/>
    <mergeCell ref="C40:F40"/>
    <mergeCell ref="C5:F5"/>
    <mergeCell ref="C19:F19"/>
    <mergeCell ref="C33:F33"/>
    <mergeCell ref="C37:F37"/>
  </mergeCells>
  <conditionalFormatting sqref="C4:H4 C18:H18">
    <cfRule type="expression" priority="20" dxfId="6" stopIfTrue="1">
      <formula>ISERROR(C4)</formula>
    </cfRule>
  </conditionalFormatting>
  <conditionalFormatting sqref="C17:H17">
    <cfRule type="expression" priority="22" dxfId="15" stopIfTrue="1">
      <formula>ISERROR($D$6)</formula>
    </cfRule>
  </conditionalFormatting>
  <conditionalFormatting sqref="I32:J32 I17:J17">
    <cfRule type="expression" priority="19" dxfId="14" stopIfTrue="1">
      <formula>ISERROR($G$4)</formula>
    </cfRule>
  </conditionalFormatting>
  <conditionalFormatting sqref="C38:J38 C34:J34 I35:J35">
    <cfRule type="cellIs" priority="7" dxfId="0" operator="lessThan" stopIfTrue="1">
      <formula>0</formula>
    </cfRule>
  </conditionalFormatting>
  <conditionalFormatting sqref="C31:H31">
    <cfRule type="expression" priority="23" dxfId="6" stopIfTrue="1">
      <formula>ISERROR($E$6)</formula>
    </cfRule>
  </conditionalFormatting>
  <conditionalFormatting sqref="C35:H35">
    <cfRule type="cellIs" priority="2" dxfId="0" operator="lessThan" stopIfTrue="1">
      <formula>0</formula>
    </cfRule>
  </conditionalFormatting>
  <conditionalFormatting sqref="C41:H41">
    <cfRule type="cellIs" priority="1" dxfId="0" operator="lessThan" stopIfTrue="1">
      <formula>0</formula>
    </cfRule>
  </conditionalFormatting>
  <printOptions/>
  <pageMargins left="0.39" right="0.35" top="0.36" bottom="0.4" header="0.17" footer="0.19"/>
  <pageSetup fitToHeight="1" fitToWidth="1" horizontalDpi="600" verticalDpi="600" orientation="landscape" scale="96" r:id="rId2"/>
  <headerFooter alignWithMargins="0">
    <oddHeader>&amp;LPage 21&amp;RPI-PCP-14</oddHeader>
  </headerFooter>
  <ignoredErrors>
    <ignoredError sqref="D4:H4" evalError="1"/>
  </ignoredErrors>
  <drawing r:id="rId1"/>
</worksheet>
</file>

<file path=xl/worksheets/sheet27.xml><?xml version="1.0" encoding="utf-8"?>
<worksheet xmlns="http://schemas.openxmlformats.org/spreadsheetml/2006/main" xmlns:r="http://schemas.openxmlformats.org/officeDocument/2006/relationships">
  <sheetPr>
    <tabColor rgb="FF7030A0"/>
    <pageSetUpPr fitToPage="1"/>
  </sheetPr>
  <dimension ref="A1:I37"/>
  <sheetViews>
    <sheetView showGridLines="0" showOutlineSymbols="0" zoomScaleSheetLayoutView="100" workbookViewId="0" topLeftCell="A1">
      <selection activeCell="B19" sqref="B19:C19"/>
    </sheetView>
  </sheetViews>
  <sheetFormatPr defaultColWidth="9.140625" defaultRowHeight="12.75"/>
  <cols>
    <col min="1" max="1" width="5.57421875" style="21" customWidth="1"/>
    <col min="2" max="2" width="26.140625" style="8" customWidth="1"/>
    <col min="3" max="3" width="37.421875" style="8" customWidth="1"/>
    <col min="4" max="4" width="24.57421875" style="8" customWidth="1"/>
    <col min="5" max="5" width="9.140625" style="10" customWidth="1"/>
    <col min="6" max="16384" width="9.140625" style="8" customWidth="1"/>
  </cols>
  <sheetData>
    <row r="1" spans="1:9" ht="10.5">
      <c r="A1" s="1035">
        <f>'Cover Page'!A9</f>
        <v>0</v>
      </c>
      <c r="B1" s="1035"/>
      <c r="C1" s="1035"/>
      <c r="D1" s="1035"/>
      <c r="E1" s="16"/>
      <c r="F1" s="19"/>
      <c r="G1" s="19"/>
      <c r="H1" s="19"/>
      <c r="I1" s="19"/>
    </row>
    <row r="2" spans="1:4" ht="10.5">
      <c r="A2" s="1035" t="s">
        <v>694</v>
      </c>
      <c r="B2" s="1035"/>
      <c r="C2" s="1035"/>
      <c r="D2" s="1035"/>
    </row>
    <row r="3" spans="1:4" ht="10.5" thickBot="1">
      <c r="A3" s="1109" t="str">
        <f>'Required Attachments'!A3</f>
        <v>Budget for the period from July 1, 2022 to June 30, 2023</v>
      </c>
      <c r="B3" s="1109"/>
      <c r="C3" s="1109"/>
      <c r="D3" s="1109"/>
    </row>
    <row r="4" spans="1:4" ht="16.5" customHeight="1" thickTop="1">
      <c r="A4" s="102"/>
      <c r="B4" s="103"/>
      <c r="C4" s="371" t="s">
        <v>60</v>
      </c>
      <c r="D4" s="103"/>
    </row>
    <row r="5" spans="1:4" ht="39" customHeight="1">
      <c r="A5" s="1141" t="s">
        <v>714</v>
      </c>
      <c r="B5" s="1141"/>
      <c r="C5" s="1141"/>
      <c r="D5" s="1141"/>
    </row>
    <row r="6" spans="1:4" ht="27" customHeight="1">
      <c r="A6" s="28" t="s">
        <v>5</v>
      </c>
      <c r="B6" s="1085" t="s">
        <v>325</v>
      </c>
      <c r="C6" s="1287"/>
      <c r="D6" s="337" t="s">
        <v>326</v>
      </c>
    </row>
    <row r="7" spans="1:4" ht="16.5" customHeight="1">
      <c r="A7" s="75">
        <v>1</v>
      </c>
      <c r="B7" s="373" t="s">
        <v>54</v>
      </c>
      <c r="C7" s="374"/>
      <c r="D7" s="754">
        <f>'SCH 8-2 Jan - Jun Cash Flows'!J6</f>
        <v>0</v>
      </c>
    </row>
    <row r="8" spans="1:4" ht="16.5" customHeight="1" thickBot="1">
      <c r="A8" s="99">
        <v>2</v>
      </c>
      <c r="B8" s="607" t="s">
        <v>402</v>
      </c>
      <c r="C8" s="608"/>
      <c r="D8" s="755">
        <f>'SCH 8-2 Jan - Jun Cash Flows'!J7</f>
        <v>0</v>
      </c>
    </row>
    <row r="9" spans="1:4" ht="16.5" customHeight="1" thickBot="1">
      <c r="A9" s="100">
        <v>3</v>
      </c>
      <c r="B9" s="609" t="s">
        <v>442</v>
      </c>
      <c r="C9" s="610"/>
      <c r="D9" s="756">
        <f>SUM(D7:D8)</f>
        <v>0</v>
      </c>
    </row>
    <row r="10" spans="1:4" ht="16.5" customHeight="1">
      <c r="A10" s="101">
        <v>4</v>
      </c>
      <c r="B10" s="1288" t="s">
        <v>298</v>
      </c>
      <c r="C10" s="1289"/>
      <c r="D10" s="757">
        <f>'SCH 4-1 Revenue'!C27</f>
        <v>0</v>
      </c>
    </row>
    <row r="11" spans="1:4" ht="16.5" customHeight="1">
      <c r="A11" s="75">
        <v>5</v>
      </c>
      <c r="B11" s="373" t="s">
        <v>299</v>
      </c>
      <c r="C11" s="614"/>
      <c r="D11" s="432">
        <f>'SCH 4-1 Revenue'!D27</f>
        <v>0</v>
      </c>
    </row>
    <row r="12" spans="1:4" ht="16.5" customHeight="1">
      <c r="A12" s="75">
        <v>6</v>
      </c>
      <c r="B12" s="1283" t="s">
        <v>341</v>
      </c>
      <c r="C12" s="1284"/>
      <c r="D12" s="432">
        <f>'SCH 4-2 Revenue'!D31+'SCH 4-2 Revenue'!E31</f>
        <v>0</v>
      </c>
    </row>
    <row r="13" spans="1:4" ht="16.5" customHeight="1">
      <c r="A13" s="75">
        <v>7</v>
      </c>
      <c r="B13" s="1283" t="s">
        <v>769</v>
      </c>
      <c r="C13" s="1284"/>
      <c r="D13" s="432">
        <f>SUM('SCH 4-3 Revenue'!C25:E25)</f>
        <v>0</v>
      </c>
    </row>
    <row r="14" spans="1:4" ht="16.5" customHeight="1" thickBot="1">
      <c r="A14" s="77">
        <v>8</v>
      </c>
      <c r="B14" s="1294" t="s">
        <v>273</v>
      </c>
      <c r="C14" s="1295"/>
      <c r="D14" s="436">
        <f>'SCH 4-4 Revenue'!H16</f>
        <v>0</v>
      </c>
    </row>
    <row r="15" spans="1:4" ht="16.5" customHeight="1" thickBot="1">
      <c r="A15" s="375">
        <v>9</v>
      </c>
      <c r="B15" s="613" t="s">
        <v>443</v>
      </c>
      <c r="C15" s="615"/>
      <c r="D15" s="758">
        <f>SUM(D10:D14)</f>
        <v>0</v>
      </c>
    </row>
    <row r="16" spans="1:4" ht="16.5" customHeight="1" thickBot="1">
      <c r="A16" s="375">
        <v>10</v>
      </c>
      <c r="B16" s="1285" t="s">
        <v>699</v>
      </c>
      <c r="C16" s="1286"/>
      <c r="D16" s="759">
        <f>D9+D15</f>
        <v>0</v>
      </c>
    </row>
    <row r="17" spans="1:4" ht="16.5" customHeight="1">
      <c r="A17" s="308">
        <v>11</v>
      </c>
      <c r="B17" s="1298" t="s">
        <v>403</v>
      </c>
      <c r="C17" s="1299"/>
      <c r="D17" s="760">
        <f>SUM('SCH 3-1 Expenses'!D28:H28)</f>
        <v>0</v>
      </c>
    </row>
    <row r="18" spans="1:4" ht="16.5" customHeight="1">
      <c r="A18" s="75">
        <v>12</v>
      </c>
      <c r="B18" s="1193" t="s">
        <v>303</v>
      </c>
      <c r="C18" s="1193"/>
      <c r="D18" s="432">
        <f>SUM('SCH 3-2 Expenses'!C28:D28)</f>
        <v>0</v>
      </c>
    </row>
    <row r="19" spans="1:4" ht="16.5" customHeight="1">
      <c r="A19" s="75">
        <v>13</v>
      </c>
      <c r="B19" s="1193" t="s">
        <v>304</v>
      </c>
      <c r="C19" s="1193"/>
      <c r="D19" s="432">
        <f>SUM('SCH 3-2 Expenses'!C19:C21)</f>
        <v>0</v>
      </c>
    </row>
    <row r="20" spans="1:4" ht="16.5" customHeight="1">
      <c r="A20" s="75">
        <v>14</v>
      </c>
      <c r="B20" s="1193" t="s">
        <v>428</v>
      </c>
      <c r="C20" s="1193"/>
      <c r="D20" s="432">
        <f>'SCH 3-2 Expenses'!F28</f>
        <v>0</v>
      </c>
    </row>
    <row r="21" spans="1:4" ht="16.5" customHeight="1" thickBot="1">
      <c r="A21" s="75">
        <v>15</v>
      </c>
      <c r="B21" s="1193" t="s">
        <v>743</v>
      </c>
      <c r="C21" s="1193"/>
      <c r="D21" s="432">
        <f>SUM('SCH 3-3 Expenses'!C27:E27)</f>
        <v>0</v>
      </c>
    </row>
    <row r="22" spans="1:4" ht="16.5" customHeight="1" thickBot="1">
      <c r="A22" s="100">
        <v>16</v>
      </c>
      <c r="B22" s="1281" t="s">
        <v>316</v>
      </c>
      <c r="C22" s="1282"/>
      <c r="D22" s="756">
        <f>-SUM(D17:D21)</f>
        <v>0</v>
      </c>
    </row>
    <row r="23" spans="1:4" ht="16.5" customHeight="1">
      <c r="A23" s="308">
        <v>17</v>
      </c>
      <c r="B23" s="309" t="s">
        <v>744</v>
      </c>
      <c r="C23" s="310"/>
      <c r="D23" s="760">
        <f>'SCH 5-1 Fixed Assets'!E13+SUM('SCH 5-3 Leases'!E7:E14)</f>
        <v>0</v>
      </c>
    </row>
    <row r="24" spans="1:4" ht="16.5" customHeight="1">
      <c r="A24" s="164">
        <v>18</v>
      </c>
      <c r="B24" s="311" t="s">
        <v>404</v>
      </c>
      <c r="C24" s="312"/>
      <c r="D24" s="761">
        <f>'SCH 6 Debt'!F21+'SCH 6 Debt'!E30</f>
        <v>0</v>
      </c>
    </row>
    <row r="25" spans="1:4" ht="16.5" customHeight="1" thickBot="1">
      <c r="A25" s="101">
        <v>19</v>
      </c>
      <c r="B25" s="306" t="s">
        <v>405</v>
      </c>
      <c r="C25" s="307"/>
      <c r="D25" s="762">
        <f>'SCH 6 Debt'!E21</f>
        <v>0</v>
      </c>
    </row>
    <row r="26" spans="1:4" ht="16.5" customHeight="1" thickBot="1">
      <c r="A26" s="100">
        <v>20</v>
      </c>
      <c r="B26" s="1281" t="s">
        <v>812</v>
      </c>
      <c r="C26" s="1282"/>
      <c r="D26" s="756">
        <f>D25-D23-D24</f>
        <v>0</v>
      </c>
    </row>
    <row r="27" spans="1:4" ht="16.5" customHeight="1" thickBot="1">
      <c r="A27" s="209">
        <v>21</v>
      </c>
      <c r="B27" s="1296" t="s">
        <v>357</v>
      </c>
      <c r="C27" s="1297"/>
      <c r="D27" s="763">
        <f>D16+D22+D26</f>
        <v>0</v>
      </c>
    </row>
    <row r="28" spans="1:4" ht="16.5" customHeight="1" thickBot="1" thickTop="1">
      <c r="A28" s="209">
        <v>22</v>
      </c>
      <c r="B28" s="1296" t="s">
        <v>406</v>
      </c>
      <c r="C28" s="1297"/>
      <c r="D28" s="763">
        <f>D27-D8</f>
        <v>0</v>
      </c>
    </row>
    <row r="29" spans="1:4" ht="16.5" customHeight="1" thickTop="1">
      <c r="A29" s="102"/>
      <c r="B29" s="103"/>
      <c r="C29" s="371" t="s">
        <v>691</v>
      </c>
      <c r="D29" s="905"/>
    </row>
    <row r="30" spans="1:4" ht="16.5" customHeight="1" thickBot="1">
      <c r="A30" s="77">
        <v>23</v>
      </c>
      <c r="B30" s="1292" t="s">
        <v>700</v>
      </c>
      <c r="C30" s="1293"/>
      <c r="D30" s="898">
        <f>D16</f>
        <v>0</v>
      </c>
    </row>
    <row r="31" spans="1:4" ht="16.5" customHeight="1">
      <c r="A31" s="101">
        <v>24</v>
      </c>
      <c r="B31" s="1290" t="s">
        <v>696</v>
      </c>
      <c r="C31" s="1291"/>
      <c r="D31" s="762">
        <f>-D22</f>
        <v>0</v>
      </c>
    </row>
    <row r="32" spans="1:4" ht="16.5" customHeight="1">
      <c r="A32" s="897">
        <v>25</v>
      </c>
      <c r="B32" s="895" t="s">
        <v>697</v>
      </c>
      <c r="C32" s="44"/>
      <c r="D32" s="432">
        <f>SUM('SCH 5-1 Fixed Assets'!E18:E21)</f>
        <v>0</v>
      </c>
    </row>
    <row r="33" spans="1:4" ht="16.5" customHeight="1">
      <c r="A33" s="897">
        <v>26</v>
      </c>
      <c r="B33" s="895" t="s">
        <v>770</v>
      </c>
      <c r="C33" s="44"/>
      <c r="D33" s="432">
        <f>SUM('SCH 5-3 Leases'!E7:E14)</f>
        <v>0</v>
      </c>
    </row>
    <row r="34" spans="1:4" ht="16.5" customHeight="1" thickBot="1">
      <c r="A34" s="239">
        <v>27</v>
      </c>
      <c r="B34" s="900" t="s">
        <v>698</v>
      </c>
      <c r="C34" s="899"/>
      <c r="D34" s="436">
        <f>'SCH 6 Debt'!E30</f>
        <v>0</v>
      </c>
    </row>
    <row r="35" spans="1:4" ht="16.5" customHeight="1" thickBot="1">
      <c r="A35" s="901">
        <v>28</v>
      </c>
      <c r="B35" s="270" t="s">
        <v>692</v>
      </c>
      <c r="C35" s="902"/>
      <c r="D35" s="906">
        <f>SUM(D31:D34)</f>
        <v>0</v>
      </c>
    </row>
    <row r="36" spans="1:4" ht="16.5" customHeight="1" thickBot="1">
      <c r="A36" s="901">
        <v>29</v>
      </c>
      <c r="B36" s="270" t="s">
        <v>691</v>
      </c>
      <c r="C36" s="902"/>
      <c r="D36" s="906">
        <f>D30-D35</f>
        <v>0</v>
      </c>
    </row>
    <row r="37" spans="1:4" ht="16.5" customHeight="1" thickBot="1">
      <c r="A37" s="903">
        <v>30</v>
      </c>
      <c r="B37" s="346" t="s">
        <v>693</v>
      </c>
      <c r="C37" s="904"/>
      <c r="D37" s="266">
        <f>D36-D8</f>
        <v>0</v>
      </c>
    </row>
    <row r="38" ht="16.5" customHeight="1" thickTop="1"/>
    <row r="39" ht="16.5" customHeight="1"/>
    <row r="40" ht="16.5" customHeight="1"/>
  </sheetData>
  <sheetProtection password="EBD1" sheet="1"/>
  <mergeCells count="21">
    <mergeCell ref="B28:C28"/>
    <mergeCell ref="B21:C21"/>
    <mergeCell ref="B27:C27"/>
    <mergeCell ref="B17:C17"/>
    <mergeCell ref="B26:C26"/>
    <mergeCell ref="A1:D1"/>
    <mergeCell ref="A2:D2"/>
    <mergeCell ref="A3:D3"/>
    <mergeCell ref="B6:C6"/>
    <mergeCell ref="B10:C10"/>
    <mergeCell ref="B31:C31"/>
    <mergeCell ref="B30:C30"/>
    <mergeCell ref="B13:C13"/>
    <mergeCell ref="B14:C14"/>
    <mergeCell ref="B18:C18"/>
    <mergeCell ref="B22:C22"/>
    <mergeCell ref="A5:D5"/>
    <mergeCell ref="B19:C19"/>
    <mergeCell ref="B20:C20"/>
    <mergeCell ref="B12:C12"/>
    <mergeCell ref="B16:C16"/>
  </mergeCells>
  <conditionalFormatting sqref="D7:D9 D16 D22:D26">
    <cfRule type="expression" priority="9" dxfId="6" stopIfTrue="1">
      <formula>ISERROR($D$7)</formula>
    </cfRule>
  </conditionalFormatting>
  <conditionalFormatting sqref="D27:D28">
    <cfRule type="cellIs" priority="4" dxfId="0" operator="lessThan" stopIfTrue="1">
      <formula>0</formula>
    </cfRule>
  </conditionalFormatting>
  <conditionalFormatting sqref="D30">
    <cfRule type="expression" priority="3" dxfId="6" stopIfTrue="1">
      <formula>ISERROR($D$7)</formula>
    </cfRule>
  </conditionalFormatting>
  <conditionalFormatting sqref="D31">
    <cfRule type="expression" priority="2" dxfId="6" stopIfTrue="1">
      <formula>ISERROR($D$7)</formula>
    </cfRule>
  </conditionalFormatting>
  <conditionalFormatting sqref="D36:D37">
    <cfRule type="cellIs" priority="1" dxfId="0" operator="lessThan" stopIfTrue="1">
      <formula>0</formula>
    </cfRule>
  </conditionalFormatting>
  <printOptions/>
  <pageMargins left="0.39" right="0.35" top="0.6" bottom="0.57" header="0.39" footer="0.25"/>
  <pageSetup fitToHeight="1" fitToWidth="1" horizontalDpi="600" verticalDpi="600" orientation="portrait" r:id="rId1"/>
  <headerFooter alignWithMargins="0">
    <oddHeader>&amp;LPI-PCP-14&amp;RPage 22</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K30"/>
  <sheetViews>
    <sheetView showGridLines="0" zoomScalePageLayoutView="0" workbookViewId="0" topLeftCell="A1">
      <pane xSplit="2" ySplit="6" topLeftCell="C7" activePane="bottomRight" state="frozen"/>
      <selection pane="topLeft" activeCell="B11" sqref="B11"/>
      <selection pane="topRight" activeCell="B11" sqref="B11"/>
      <selection pane="bottomLeft" activeCell="B11" sqref="B11"/>
      <selection pane="bottomRight" activeCell="G30" sqref="G30"/>
    </sheetView>
  </sheetViews>
  <sheetFormatPr defaultColWidth="8.8515625" defaultRowHeight="12.75"/>
  <cols>
    <col min="1" max="1" width="5.421875" style="515" customWidth="1"/>
    <col min="2" max="2" width="61.421875" style="496" customWidth="1"/>
    <col min="3" max="4" width="13.57421875" style="496" customWidth="1"/>
    <col min="5" max="7" width="8.8515625" style="495" customWidth="1"/>
    <col min="8" max="16384" width="8.8515625" style="496" customWidth="1"/>
  </cols>
  <sheetData>
    <row r="1" spans="1:11" s="8" customFormat="1" ht="12.75" customHeight="1">
      <c r="A1" s="1035">
        <f>'Cover Page'!A9</f>
        <v>0</v>
      </c>
      <c r="B1" s="1035"/>
      <c r="C1" s="1035"/>
      <c r="D1" s="1035"/>
      <c r="E1" s="16"/>
      <c r="F1" s="16"/>
      <c r="G1" s="16"/>
      <c r="H1" s="19"/>
      <c r="I1" s="19"/>
      <c r="J1" s="19"/>
      <c r="K1" s="19"/>
    </row>
    <row r="2" spans="1:7" s="8" customFormat="1" ht="12.75" customHeight="1">
      <c r="A2" s="1035" t="s">
        <v>320</v>
      </c>
      <c r="B2" s="1035"/>
      <c r="C2" s="1035"/>
      <c r="D2" s="1035"/>
      <c r="E2" s="16"/>
      <c r="F2" s="16"/>
      <c r="G2" s="10"/>
    </row>
    <row r="3" spans="1:7" s="8" customFormat="1" ht="13.5" customHeight="1" thickBot="1">
      <c r="A3" s="1109" t="str">
        <f>'Required Attachments'!A3</f>
        <v>Budget for the period from July 1, 2022 to June 30, 2023</v>
      </c>
      <c r="B3" s="1109"/>
      <c r="C3" s="1109"/>
      <c r="D3" s="1109"/>
      <c r="E3" s="16"/>
      <c r="F3" s="16"/>
      <c r="G3" s="10"/>
    </row>
    <row r="4" spans="1:7" s="8" customFormat="1" ht="12.75" customHeight="1" thickTop="1">
      <c r="A4" s="208"/>
      <c r="B4" s="1225" t="s">
        <v>328</v>
      </c>
      <c r="C4" s="1225"/>
      <c r="D4" s="73"/>
      <c r="E4" s="10"/>
      <c r="F4" s="10"/>
      <c r="G4" s="10"/>
    </row>
    <row r="5" spans="1:8" s="11" customFormat="1" ht="79.5" customHeight="1">
      <c r="A5" s="1160" t="str">
        <f>"If the school is participating in the Choice program or SNSP in the "&amp;Months!D33&amp;" school year, insert the anticipated ending reserve balance in Line 1. If the school is participating in the SNSP, it must identify what portion of the primarily SNSP expenses on Line 9, Column C are for SNSP pupils and insert it on Line 13, Column C."&amp;" Primarily SNSP expenses are those that are primarily related to SNSP students. In order to be included in this category, the expenses must be at least 50% related to the SNSP pupils. "&amp;"See the SNSP Eligible Education Expenses Bulletin at https://dpi.wi.gov/sms/special-needs-scholarship/bulletins for additional information."&amp;" Once the other schedules are completed, the school must review the schedule to ensure the cash and investment balance on Line 21 is at least as much as the amount in Line 20."</f>
        <v>If the school is participating in the Choice program or SNSP in the 2021-22 school year, insert the anticipated ending reserve balance in Line 1. If the school is participating in the SNSP, it must identify what portion of the primarily SNSP expenses on Line 9, Column C are for SNSP pupils and insert it on Line 13, Column C. Primarily SNSP expenses are those that are primarily related to SNSP students. In order to be included in this category, the expenses must be at least 50% related to the SNSP pupils. See the SNSP Eligible Education Expenses Bulletin at https://dpi.wi.gov/sms/special-needs-scholarship/bulletins for additional information. Once the other schedules are completed, the school must review the schedule to ensure the cash and investment balance on Line 21 is at least as much as the amount in Line 20.</v>
      </c>
      <c r="B5" s="1160"/>
      <c r="C5" s="1160"/>
      <c r="D5" s="1160"/>
      <c r="E5" s="336"/>
      <c r="F5" s="336"/>
      <c r="G5" s="336"/>
      <c r="H5" s="146"/>
    </row>
    <row r="6" spans="1:4" ht="25.5" customHeight="1">
      <c r="A6" s="912" t="s">
        <v>5</v>
      </c>
      <c r="B6" s="493" t="s">
        <v>199</v>
      </c>
      <c r="C6" s="493" t="s">
        <v>321</v>
      </c>
      <c r="D6" s="494" t="s">
        <v>322</v>
      </c>
    </row>
    <row r="7" spans="1:4" ht="19.5" customHeight="1">
      <c r="A7" s="492">
        <v>1</v>
      </c>
      <c r="B7" s="497" t="s">
        <v>323</v>
      </c>
      <c r="C7" s="697"/>
      <c r="D7" s="693"/>
    </row>
    <row r="8" spans="1:4" ht="19.5" customHeight="1">
      <c r="A8" s="492">
        <v>2</v>
      </c>
      <c r="B8" s="497" t="s">
        <v>460</v>
      </c>
      <c r="C8" s="698">
        <f>'SCH 8-2 Jan - Jun Cash Flows'!J6-C9</f>
        <v>0</v>
      </c>
      <c r="D8" s="699">
        <f>'SCH 8-2 Jan - Jun Cash Flows'!J7-D9</f>
        <v>0</v>
      </c>
    </row>
    <row r="9" spans="1:4" ht="19.5" customHeight="1" thickBot="1">
      <c r="A9" s="498">
        <v>3</v>
      </c>
      <c r="B9" s="499" t="s">
        <v>474</v>
      </c>
      <c r="C9" s="700">
        <f>'SCH 2-1 All &amp; Choice Pupils'!F38</f>
        <v>0</v>
      </c>
      <c r="D9" s="907">
        <f>'SCH 2-2 SNSP Pupils'!G32</f>
        <v>0</v>
      </c>
    </row>
    <row r="10" spans="1:4" ht="19.5" customHeight="1" thickBot="1">
      <c r="A10" s="500">
        <v>4</v>
      </c>
      <c r="B10" s="501" t="s">
        <v>475</v>
      </c>
      <c r="C10" s="690">
        <f>SUM(C7:C9)</f>
        <v>0</v>
      </c>
      <c r="D10" s="691">
        <f>SUM(D7:D9)</f>
        <v>0</v>
      </c>
    </row>
    <row r="11" spans="1:4" ht="19.5" customHeight="1">
      <c r="A11" s="502">
        <v>5</v>
      </c>
      <c r="B11" s="503" t="s">
        <v>317</v>
      </c>
      <c r="C11" s="701">
        <f>SUM('SCH 3-1 Expenses'!D24:H24,'SCH 3-1 Expenses'!D26:H26,'SCH 3-2 Expenses'!C26:F26,'SCH 3-3 Expenses'!C25:E25)+('SCH 5-1 Fixed Assets'!C17*'SCH 5-1 Fixed Assets'!E17)+('SCH 5-1 Fixed Assets'!C18*'SCH 5-1 Fixed Assets'!E18)+('SCH 5-1 Fixed Assets'!C19*'SCH 5-1 Fixed Assets'!E19)+('SCH 5-1 Fixed Assets'!C20*'SCH 5-1 Fixed Assets'!E20)+('SCH 5-1 Fixed Assets'!C21*'SCH 5-1 Fixed Assets'!E21)+SUM('SCH 5-3 Leases'!E19:F19)+'SCH 6 Debt'!L21</f>
        <v>0</v>
      </c>
      <c r="D11" s="702">
        <f>C11</f>
        <v>0</v>
      </c>
    </row>
    <row r="12" spans="1:4" ht="19.5" customHeight="1">
      <c r="A12" s="492">
        <v>6</v>
      </c>
      <c r="B12" s="504" t="s">
        <v>492</v>
      </c>
      <c r="C12" s="698">
        <f>'SCH 4-1 Revenue'!G23-D20</f>
        <v>0</v>
      </c>
      <c r="D12" s="699">
        <f>C12</f>
        <v>0</v>
      </c>
    </row>
    <row r="13" spans="1:4" ht="19.5" customHeight="1">
      <c r="A13" s="498">
        <v>7</v>
      </c>
      <c r="B13" s="505" t="s">
        <v>490</v>
      </c>
      <c r="C13" s="703">
        <f>MIN('SCH 3-3 Expenses'!D19,SUMIF('SCH 4-2 Revenue'!I9:I26,"Yes",'SCH 4-2 Revenue'!G9:G26))-D21</f>
        <v>0</v>
      </c>
      <c r="D13" s="704">
        <f>C13</f>
        <v>0</v>
      </c>
    </row>
    <row r="14" spans="1:4" ht="19.5" customHeight="1">
      <c r="A14" s="498">
        <v>8</v>
      </c>
      <c r="B14" s="505" t="s">
        <v>493</v>
      </c>
      <c r="C14" s="697"/>
      <c r="D14" s="704">
        <f>C14</f>
        <v>0</v>
      </c>
    </row>
    <row r="15" spans="1:4" ht="19.5" customHeight="1" thickBot="1">
      <c r="A15" s="498">
        <v>9</v>
      </c>
      <c r="B15" s="505" t="s">
        <v>771</v>
      </c>
      <c r="C15" s="700">
        <f>D19</f>
        <v>0</v>
      </c>
      <c r="D15" s="907">
        <f>SUM('SCH 3-1 Expenses'!D26:H26)+'SCH 3-3 Expenses'!D18</f>
        <v>0</v>
      </c>
    </row>
    <row r="16" spans="1:4" ht="19.5" customHeight="1" thickBot="1">
      <c r="A16" s="500">
        <v>10</v>
      </c>
      <c r="B16" s="501" t="s">
        <v>318</v>
      </c>
      <c r="C16" s="690">
        <f>C11-C12-C13-C14-C15</f>
        <v>0</v>
      </c>
      <c r="D16" s="694">
        <f>D11-D12-D13-D14-D15</f>
        <v>0</v>
      </c>
    </row>
    <row r="17" spans="1:4" ht="19.5" customHeight="1" thickBot="1">
      <c r="A17" s="506">
        <v>11</v>
      </c>
      <c r="B17" s="507" t="s">
        <v>330</v>
      </c>
      <c r="C17" s="635">
        <f>IF('SCH 2-1 All &amp; Choice Pupils'!H28&gt;0,'SCH 2-1 All &amp; Choice Pupils'!H28/'SCH 2-1 All &amp; Choice Pupils'!H16,0)</f>
        <v>0</v>
      </c>
      <c r="D17" s="636">
        <f>IF('SCH 2-2 SNSP Pupils'!E29&gt;0,'SCH 2-2 SNSP Pupils'!H29/'SCH 2-1 All &amp; Choice Pupils'!H16,0)</f>
        <v>0</v>
      </c>
    </row>
    <row r="18" spans="1:4" ht="19.5" customHeight="1" thickBot="1">
      <c r="A18" s="500">
        <v>12</v>
      </c>
      <c r="B18" s="508" t="s">
        <v>324</v>
      </c>
      <c r="C18" s="690">
        <f>C17*C16</f>
        <v>0</v>
      </c>
      <c r="D18" s="691">
        <f>D17*D16</f>
        <v>0</v>
      </c>
    </row>
    <row r="19" spans="1:4" ht="19.5" customHeight="1">
      <c r="A19" s="634">
        <v>13</v>
      </c>
      <c r="B19" s="509" t="s">
        <v>772</v>
      </c>
      <c r="C19" s="692"/>
      <c r="D19" s="693"/>
    </row>
    <row r="20" spans="1:4" ht="19.5" customHeight="1">
      <c r="A20" s="492">
        <v>14</v>
      </c>
      <c r="B20" s="504" t="s">
        <v>773</v>
      </c>
      <c r="C20" s="692"/>
      <c r="D20" s="693"/>
    </row>
    <row r="21" spans="1:4" ht="19.5" customHeight="1">
      <c r="A21" s="502">
        <v>15</v>
      </c>
      <c r="B21" s="505" t="s">
        <v>491</v>
      </c>
      <c r="C21" s="692"/>
      <c r="D21" s="693"/>
    </row>
    <row r="22" spans="1:4" ht="19.5" customHeight="1" thickBot="1">
      <c r="A22" s="506">
        <v>16</v>
      </c>
      <c r="B22" s="633" t="s">
        <v>774</v>
      </c>
      <c r="C22" s="692"/>
      <c r="D22" s="693"/>
    </row>
    <row r="23" spans="1:4" ht="19.5" customHeight="1" thickBot="1">
      <c r="A23" s="500">
        <v>17</v>
      </c>
      <c r="B23" s="508" t="s">
        <v>327</v>
      </c>
      <c r="C23" s="690">
        <f>C18</f>
        <v>0</v>
      </c>
      <c r="D23" s="694">
        <f>D18+D19-D20-D21-D22</f>
        <v>0</v>
      </c>
    </row>
    <row r="24" spans="1:4" ht="19.5" customHeight="1" thickBot="1">
      <c r="A24" s="510">
        <v>18</v>
      </c>
      <c r="B24" s="511" t="str">
        <f>Months!B5&amp;" Reserve Balance"</f>
        <v>June 30, 2023 Reserve Balance</v>
      </c>
      <c r="C24" s="695">
        <f>C10-C23</f>
        <v>0</v>
      </c>
      <c r="D24" s="696">
        <f>D10-D23</f>
        <v>0</v>
      </c>
    </row>
    <row r="25" spans="1:7" s="8" customFormat="1" ht="19.5" customHeight="1" thickTop="1">
      <c r="A25" s="208"/>
      <c r="B25" s="1225" t="s">
        <v>329</v>
      </c>
      <c r="C25" s="1225"/>
      <c r="D25" s="73"/>
      <c r="E25" s="10"/>
      <c r="F25" s="10"/>
      <c r="G25" s="10"/>
    </row>
    <row r="26" spans="1:4" ht="19.5" customHeight="1" thickBot="1">
      <c r="A26" s="492">
        <v>19</v>
      </c>
      <c r="B26" s="512" t="s">
        <v>319</v>
      </c>
      <c r="C26" s="688">
        <f>'SCH 5-1 Fixed Assets'!G13-'SCH 5-1 Fixed Assets'!G22</f>
        <v>0</v>
      </c>
      <c r="D26" s="570"/>
    </row>
    <row r="27" spans="1:4" ht="19.5" customHeight="1" thickBot="1" thickTop="1">
      <c r="A27" s="513">
        <v>20</v>
      </c>
      <c r="B27" s="514" t="s">
        <v>331</v>
      </c>
      <c r="C27" s="689">
        <f>(IF((C24+D24-C26)&gt;0,C24+D24-C26,0))</f>
        <v>0</v>
      </c>
      <c r="D27" s="569"/>
    </row>
    <row r="28" spans="1:4" ht="19.5" customHeight="1" thickBot="1" thickTop="1">
      <c r="A28" s="513">
        <v>21</v>
      </c>
      <c r="B28" s="520" t="s">
        <v>374</v>
      </c>
      <c r="C28" s="689">
        <f>SUM('SCH 7-1 Net Assets'!F8:F9,'SCH 7-1 Net Assets'!F17)</f>
        <v>0</v>
      </c>
      <c r="D28" s="519"/>
    </row>
    <row r="29" ht="15" customHeight="1" thickBot="1" thickTop="1"/>
    <row r="30" spans="1:4" ht="36" customHeight="1" thickBot="1">
      <c r="A30" s="515">
        <v>22</v>
      </c>
      <c r="B30" s="1300">
        <f>IF(C28&lt;C27,"THE CASH AND INVESTMENT BALANCE IS LESS THAN THE REQUIRED BALANCE. THE BUDGET MUST BE ADJUSTED TO CORRECT THIS ERROR.","")</f>
      </c>
      <c r="C30" s="1301"/>
      <c r="D30" s="1302"/>
    </row>
    <row r="31" ht="15" customHeight="1"/>
    <row r="32" ht="15" customHeight="1"/>
    <row r="33" ht="15" customHeight="1"/>
    <row r="34" ht="15" customHeight="1"/>
    <row r="35" ht="15" customHeight="1"/>
  </sheetData>
  <sheetProtection password="EBD1" sheet="1"/>
  <mergeCells count="7">
    <mergeCell ref="A1:D1"/>
    <mergeCell ref="B30:D30"/>
    <mergeCell ref="A2:D2"/>
    <mergeCell ref="A3:D3"/>
    <mergeCell ref="B4:C4"/>
    <mergeCell ref="B25:C25"/>
    <mergeCell ref="A5:D5"/>
  </mergeCells>
  <printOptions/>
  <pageMargins left="0.7" right="0.7" top="0.75" bottom="0.75" header="0.3" footer="0.3"/>
  <pageSetup fitToHeight="1" fitToWidth="1" horizontalDpi="600" verticalDpi="600" orientation="portrait" scale="98" r:id="rId3"/>
  <headerFooter>
    <oddHeader>&amp;LPI-PCP-14&amp;RPage 23</oddHeader>
  </headerFooter>
  <legacyDrawing r:id="rId2"/>
</worksheet>
</file>

<file path=xl/worksheets/sheet29.xml><?xml version="1.0" encoding="utf-8"?>
<worksheet xmlns="http://schemas.openxmlformats.org/spreadsheetml/2006/main" xmlns:r="http://schemas.openxmlformats.org/officeDocument/2006/relationships">
  <sheetPr>
    <tabColor theme="2" tint="-0.09996999800205231"/>
    <pageSetUpPr fitToPage="1"/>
  </sheetPr>
  <dimension ref="A1:H26"/>
  <sheetViews>
    <sheetView showGridLines="0" showOutlineSymbols="0" zoomScale="115" zoomScaleNormal="115" zoomScaleSheetLayoutView="90" workbookViewId="0" topLeftCell="A19">
      <selection activeCell="C21" sqref="C21"/>
    </sheetView>
  </sheetViews>
  <sheetFormatPr defaultColWidth="9.140625" defaultRowHeight="12.75"/>
  <cols>
    <col min="1" max="1" width="32.57421875" style="10" customWidth="1"/>
    <col min="2" max="2" width="29.8515625" style="8" customWidth="1"/>
    <col min="3" max="3" width="27.421875" style="8" customWidth="1"/>
    <col min="4" max="4" width="7.421875" style="441" bestFit="1" customWidth="1"/>
    <col min="5" max="5" width="11.57421875" style="24" customWidth="1"/>
    <col min="6" max="7" width="9.140625" style="8" customWidth="1"/>
    <col min="8" max="8" width="9.140625" style="8" hidden="1" customWidth="1"/>
    <col min="9" max="16384" width="9.140625" style="8" customWidth="1"/>
  </cols>
  <sheetData>
    <row r="1" spans="1:4" ht="16.5" customHeight="1">
      <c r="A1" s="1035">
        <f>'Cover Page'!A9</f>
        <v>0</v>
      </c>
      <c r="B1" s="1035"/>
      <c r="C1" s="1035"/>
      <c r="D1" s="1035"/>
    </row>
    <row r="2" spans="1:4" ht="16.5" customHeight="1">
      <c r="A2" s="1035" t="s">
        <v>407</v>
      </c>
      <c r="B2" s="1035"/>
      <c r="C2" s="1035"/>
      <c r="D2" s="1035"/>
    </row>
    <row r="3" spans="1:4" ht="16.5" customHeight="1" thickBot="1">
      <c r="A3" s="1109" t="str">
        <f>'Required Attachments'!A3</f>
        <v>Budget for the period from July 1, 2022 to June 30, 2023</v>
      </c>
      <c r="B3" s="1109"/>
      <c r="C3" s="1109"/>
      <c r="D3" s="1109"/>
    </row>
    <row r="4" spans="1:4" ht="33.75" customHeight="1" thickBot="1" thickTop="1">
      <c r="A4" s="1110" t="s">
        <v>453</v>
      </c>
      <c r="B4" s="1110"/>
      <c r="C4" s="1110"/>
      <c r="D4" s="1110"/>
    </row>
    <row r="5" spans="1:4" ht="12.75" customHeight="1" thickTop="1">
      <c r="A5" s="79"/>
      <c r="B5" s="347" t="s">
        <v>264</v>
      </c>
      <c r="C5" s="79"/>
      <c r="D5" s="301"/>
    </row>
    <row r="6" spans="1:8" s="15" customFormat="1" ht="30" customHeight="1">
      <c r="A6" s="1304" t="s">
        <v>408</v>
      </c>
      <c r="B6" s="1010"/>
      <c r="C6" s="1306"/>
      <c r="D6" s="1227" t="str">
        <f>IF('SCH 3-1 Expenses'!G28=0,"Required","Not Required")</f>
        <v>Required</v>
      </c>
      <c r="E6" s="1108" t="str">
        <f>IF(D6="Required",IF(A7="","NO RESPONSE",""),"")</f>
        <v>NO RESPONSE</v>
      </c>
      <c r="H6" s="15" t="s">
        <v>120</v>
      </c>
    </row>
    <row r="7" spans="1:8" s="15" customFormat="1" ht="26.25" customHeight="1">
      <c r="A7" s="1310"/>
      <c r="B7" s="1310"/>
      <c r="C7" s="1311"/>
      <c r="D7" s="1229"/>
      <c r="E7" s="1108"/>
      <c r="H7" s="15" t="s">
        <v>121</v>
      </c>
    </row>
    <row r="8" spans="1:8" ht="17.25" customHeight="1">
      <c r="A8" s="1017" t="str">
        <f>IF(A7=H6,"1b) Specify the church or convention or association of churches that exempts the school from DWD payments.",IF(A7=H9,"1b) Specify why the school is exempt from DWD payments.","1b) No explanation related to a DWD exemption required."))</f>
        <v>1b) No explanation related to a DWD exemption required.</v>
      </c>
      <c r="B8" s="1010"/>
      <c r="C8" s="1306"/>
      <c r="D8" s="1227" t="str">
        <f>IF(A8="1b) No explanation related to a DWD exemption required.","Not Required","Required")</f>
        <v>Not Required</v>
      </c>
      <c r="E8" s="1108">
        <f>IF(D8="Required",IF(A9="","NO RESPONSE",""),"")</f>
      </c>
      <c r="H8" s="15" t="s">
        <v>122</v>
      </c>
    </row>
    <row r="9" spans="1:8" ht="27" customHeight="1">
      <c r="A9" s="1307"/>
      <c r="B9" s="1307"/>
      <c r="C9" s="1308"/>
      <c r="D9" s="1229"/>
      <c r="E9" s="1108"/>
      <c r="H9" s="15" t="s">
        <v>123</v>
      </c>
    </row>
    <row r="10" spans="1:7" s="15" customFormat="1" ht="39" customHeight="1">
      <c r="A10" s="1304" t="s">
        <v>838</v>
      </c>
      <c r="B10" s="1304"/>
      <c r="C10" s="1305"/>
      <c r="D10" s="1227" t="str">
        <f>IF(AND('SCH 3-1 Expenses'!H48&lt;0,'SCH 3-1 Expenses'!G28&lt;&gt;0),"Required","Not Required")</f>
        <v>Not Required</v>
      </c>
      <c r="E10" s="1108">
        <f>IF(D10="Required",IF(A11="","NO RESPONSE",""),"")</f>
      </c>
      <c r="F10" s="155"/>
      <c r="G10" s="356"/>
    </row>
    <row r="11" spans="1:5" s="15" customFormat="1" ht="40.5" customHeight="1">
      <c r="A11" s="1303"/>
      <c r="B11" s="1303"/>
      <c r="C11" s="1303"/>
      <c r="D11" s="1229"/>
      <c r="E11" s="1108"/>
    </row>
    <row r="12" spans="1:7" s="15" customFormat="1" ht="29.25" customHeight="1">
      <c r="A12" s="1304" t="str">
        <f>IF(D12="Not Required","3) No explanation for FICA required.","3) The school's FICA &amp; Medicare percentage is not 7.65%. If this is an error, revise the amounts on Schedule 3-1, Line 16, Column C. If the school is exempt due to individuals being called workers, explain what position(s) are exempt.")</f>
        <v>3) The school's FICA &amp; Medicare percentage is not 7.65%. If this is an error, revise the amounts on Schedule 3-1, Line 16, Column C. If the school is exempt due to individuals being called workers, explain what position(s) are exempt.</v>
      </c>
      <c r="B12" s="1304"/>
      <c r="C12" s="1305"/>
      <c r="D12" s="1227" t="str">
        <f>IF('SCH 3-1 Expenses'!F28=0,"Required",IF('SCH 3-1 Expenses'!F48=0.0765,"Not Required","Required"))</f>
        <v>Required</v>
      </c>
      <c r="E12" s="1108" t="str">
        <f>IF(D12="Required",IF(A13="","NO RESPONSE",""),"")</f>
        <v>NO RESPONSE</v>
      </c>
      <c r="F12" s="155"/>
      <c r="G12" s="356"/>
    </row>
    <row r="13" spans="1:5" s="15" customFormat="1" ht="45" customHeight="1">
      <c r="A13" s="1303"/>
      <c r="B13" s="1303"/>
      <c r="C13" s="1303"/>
      <c r="D13" s="1229"/>
      <c r="E13" s="1108"/>
    </row>
    <row r="14" spans="1:5" ht="27" customHeight="1">
      <c r="A14" s="1017" t="s">
        <v>476</v>
      </c>
      <c r="B14" s="1017"/>
      <c r="C14" s="1017"/>
      <c r="D14" s="1227" t="str">
        <f>IF('SCH 3-1 Expenses'!J18&gt;0,"Required","Not Required")</f>
        <v>Not Required</v>
      </c>
      <c r="E14" s="1108">
        <f>IF(D14="Required",IF(A15="","NO RESPONSE",""),"")</f>
      </c>
    </row>
    <row r="15" spans="1:5" ht="60.75" customHeight="1" thickBot="1">
      <c r="A15" s="1105"/>
      <c r="B15" s="1105"/>
      <c r="C15" s="1105"/>
      <c r="D15" s="1228"/>
      <c r="E15" s="1108"/>
    </row>
    <row r="16" spans="1:4" ht="12.75" customHeight="1" thickTop="1">
      <c r="A16" s="79"/>
      <c r="B16" s="63" t="s">
        <v>265</v>
      </c>
      <c r="C16" s="79"/>
      <c r="D16" s="301"/>
    </row>
    <row r="17" spans="1:5" ht="15" customHeight="1">
      <c r="A17" s="1013" t="s">
        <v>355</v>
      </c>
      <c r="B17" s="1013"/>
      <c r="C17" s="1013"/>
      <c r="D17" s="1309" t="str">
        <f>IF('SCH 4-1 Revenue'!F12&gt;0,"Required","Not Required")</f>
        <v>Not Required</v>
      </c>
      <c r="E17" s="1108">
        <f>IF(D17="Required",IF(A18="","NO RESPONSE",""),"")</f>
      </c>
    </row>
    <row r="18" spans="1:5" ht="48" customHeight="1">
      <c r="A18" s="1097"/>
      <c r="B18" s="1097"/>
      <c r="C18" s="1097"/>
      <c r="D18" s="1229"/>
      <c r="E18" s="1108"/>
    </row>
    <row r="19" spans="1:5" ht="15" customHeight="1">
      <c r="A19" s="1017" t="s">
        <v>356</v>
      </c>
      <c r="B19" s="1017"/>
      <c r="C19" s="1017"/>
      <c r="D19" s="1227" t="str">
        <f>IF('SCH 4-1 Revenue'!F14&gt;0,"Required","Not Required")</f>
        <v>Not Required</v>
      </c>
      <c r="E19" s="1108">
        <f>IF(D19="Required",IF(A20="","NO RESPONSE",""),"")</f>
      </c>
    </row>
    <row r="20" spans="1:5" ht="59.25" customHeight="1">
      <c r="A20" s="1307"/>
      <c r="B20" s="1307"/>
      <c r="C20" s="1307"/>
      <c r="D20" s="1229"/>
      <c r="E20" s="1108"/>
    </row>
    <row r="21" spans="1:5" ht="18.75" customHeight="1">
      <c r="A21" s="1017" t="s">
        <v>723</v>
      </c>
      <c r="B21" s="1017"/>
      <c r="C21" s="872"/>
      <c r="D21" s="1227" t="str">
        <f>IF(SUM('SCH 4-1 Revenue'!F16:F18)&gt;0,"Required","Not Required")</f>
        <v>Not Required</v>
      </c>
      <c r="E21" s="1108">
        <f>IF(D21="Required",IF(OR(C21="",C22=""),"NO RESPONSE",""),"")</f>
      </c>
    </row>
    <row r="22" spans="1:5" ht="18.75" customHeight="1" thickBot="1">
      <c r="A22" s="1004" t="str">
        <f>IF(C21="","7b) No explanation related to the USDA food program required.",IF(C21="Yes","7b) What is the school's agency ID for the USDA food program?","7b) What is the school's federal tax ID number?"))</f>
        <v>7b) No explanation related to the USDA food program required.</v>
      </c>
      <c r="B22" s="1004"/>
      <c r="C22" s="873"/>
      <c r="D22" s="1228"/>
      <c r="E22" s="1108"/>
    </row>
    <row r="23" spans="1:4" ht="12.75" customHeight="1" thickTop="1">
      <c r="A23" s="79"/>
      <c r="B23" s="63" t="s">
        <v>266</v>
      </c>
      <c r="C23" s="79"/>
      <c r="D23" s="301"/>
    </row>
    <row r="24" spans="1:5" ht="45.75" customHeight="1">
      <c r="A24" s="1013" t="s">
        <v>865</v>
      </c>
      <c r="B24" s="1013"/>
      <c r="C24" s="1013"/>
      <c r="D24" s="1309" t="str">
        <f>IF('SCH 6 Debt'!E21&gt;0,"Required","Not Required")</f>
        <v>Not Required</v>
      </c>
      <c r="E24" s="1108">
        <f>IF(D24="Required",IF(A25="","NO RESPONSE",""),"")</f>
      </c>
    </row>
    <row r="25" spans="1:5" ht="66.75" customHeight="1" thickBot="1">
      <c r="A25" s="1107"/>
      <c r="B25" s="1107"/>
      <c r="C25" s="1107"/>
      <c r="D25" s="1228"/>
      <c r="E25" s="1108"/>
    </row>
    <row r="26" spans="5:6" ht="11.25" thickBot="1" thickTop="1">
      <c r="E26" s="442">
        <f>COUNTIF(E6:E25,"NO RESPONSE")</f>
        <v>2</v>
      </c>
      <c r="F26" s="8" t="s">
        <v>366</v>
      </c>
    </row>
  </sheetData>
  <sheetProtection password="EBD1" sheet="1"/>
  <mergeCells count="40">
    <mergeCell ref="A24:C24"/>
    <mergeCell ref="D19:D20"/>
    <mergeCell ref="A1:D1"/>
    <mergeCell ref="A2:D2"/>
    <mergeCell ref="A3:D3"/>
    <mergeCell ref="A4:D4"/>
    <mergeCell ref="A6:C6"/>
    <mergeCell ref="A7:C7"/>
    <mergeCell ref="A10:C10"/>
    <mergeCell ref="D10:D11"/>
    <mergeCell ref="D24:D25"/>
    <mergeCell ref="E24:E25"/>
    <mergeCell ref="A17:C17"/>
    <mergeCell ref="D17:D18"/>
    <mergeCell ref="E17:E18"/>
    <mergeCell ref="A18:C18"/>
    <mergeCell ref="A19:C19"/>
    <mergeCell ref="A25:C25"/>
    <mergeCell ref="E19:E20"/>
    <mergeCell ref="A20:C20"/>
    <mergeCell ref="A15:C15"/>
    <mergeCell ref="A14:C14"/>
    <mergeCell ref="D14:D15"/>
    <mergeCell ref="E14:E15"/>
    <mergeCell ref="E6:E7"/>
    <mergeCell ref="A8:C8"/>
    <mergeCell ref="D6:D7"/>
    <mergeCell ref="A9:C9"/>
    <mergeCell ref="D8:D9"/>
    <mergeCell ref="E8:E9"/>
    <mergeCell ref="E21:E22"/>
    <mergeCell ref="A21:B21"/>
    <mergeCell ref="A22:B22"/>
    <mergeCell ref="D21:D22"/>
    <mergeCell ref="E10:E11"/>
    <mergeCell ref="A11:C11"/>
    <mergeCell ref="A12:C12"/>
    <mergeCell ref="D12:D13"/>
    <mergeCell ref="A13:C13"/>
    <mergeCell ref="E12:E13"/>
  </mergeCells>
  <conditionalFormatting sqref="E24:E25 E17:E20 E6:E15">
    <cfRule type="containsText" priority="3" dxfId="0" operator="containsText" stopIfTrue="1" text="NO RESPONSE">
      <formula>NOT(ISERROR(SEARCH("NO RESPONSE",E6)))</formula>
    </cfRule>
  </conditionalFormatting>
  <conditionalFormatting sqref="E21">
    <cfRule type="containsText" priority="2" dxfId="0" operator="containsText" stopIfTrue="1" text="NO RESPONSE">
      <formula>NOT(ISERROR(SEARCH("NO RESPONSE",E21)))</formula>
    </cfRule>
  </conditionalFormatting>
  <dataValidations count="2">
    <dataValidation type="list" allowBlank="1" showInputMessage="1" showErrorMessage="1" sqref="A7:C7">
      <formula1>$H$6:$H$9</formula1>
    </dataValidation>
    <dataValidation type="list" allowBlank="1" showInputMessage="1" showErrorMessage="1" sqref="C21">
      <formula1>"Yes,No"</formula1>
    </dataValidation>
  </dataValidations>
  <printOptions/>
  <pageMargins left="0.39" right="0.35" top="0.6" bottom="0.39" header="0.39" footer="0.27"/>
  <pageSetup fitToHeight="1" fitToWidth="1" horizontalDpi="600" verticalDpi="600" orientation="portrait" scale="91" r:id="rId2"/>
  <headerFooter alignWithMargins="0">
    <oddHeader>&amp;LPI-PCP-14&amp;RPage 24</oddHeader>
  </headerFooter>
  <drawing r:id="rId1"/>
</worksheet>
</file>

<file path=xl/worksheets/sheet3.xml><?xml version="1.0" encoding="utf-8"?>
<worksheet xmlns="http://schemas.openxmlformats.org/spreadsheetml/2006/main" xmlns:r="http://schemas.openxmlformats.org/officeDocument/2006/relationships">
  <sheetPr>
    <tabColor rgb="FF00B0F0"/>
  </sheetPr>
  <dimension ref="A1:H59"/>
  <sheetViews>
    <sheetView zoomScalePageLayoutView="0" workbookViewId="0" topLeftCell="A1">
      <selection activeCell="D14" sqref="D14"/>
    </sheetView>
  </sheetViews>
  <sheetFormatPr defaultColWidth="9.140625" defaultRowHeight="12.75"/>
  <cols>
    <col min="1" max="1" width="23.421875" style="0" customWidth="1"/>
    <col min="2" max="2" width="13.57421875" style="281" customWidth="1"/>
    <col min="3" max="3" width="15.421875" style="0" customWidth="1"/>
    <col min="4" max="4" width="15.421875" style="0" bestFit="1" customWidth="1"/>
    <col min="5" max="5" width="17.8515625" style="0" bestFit="1" customWidth="1"/>
  </cols>
  <sheetData>
    <row r="1" ht="12">
      <c r="B1" s="282" t="s">
        <v>826</v>
      </c>
    </row>
    <row r="2" spans="1:2" ht="12">
      <c r="A2" s="185" t="s">
        <v>546</v>
      </c>
      <c r="B2" s="282" t="s">
        <v>686</v>
      </c>
    </row>
    <row r="3" spans="1:2" ht="12">
      <c r="A3" s="185" t="s">
        <v>224</v>
      </c>
      <c r="B3" s="282" t="s">
        <v>718</v>
      </c>
    </row>
    <row r="4" spans="1:3" ht="12">
      <c r="A4" s="185" t="s">
        <v>222</v>
      </c>
      <c r="B4" s="282" t="s">
        <v>822</v>
      </c>
      <c r="C4" s="282" t="s">
        <v>823</v>
      </c>
    </row>
    <row r="5" spans="1:3" ht="12">
      <c r="A5" s="185" t="s">
        <v>223</v>
      </c>
      <c r="B5" s="282" t="s">
        <v>842</v>
      </c>
      <c r="C5" s="282" t="s">
        <v>843</v>
      </c>
    </row>
    <row r="7" spans="1:2" ht="12">
      <c r="A7" s="185" t="s">
        <v>225</v>
      </c>
      <c r="B7" s="282" t="s">
        <v>844</v>
      </c>
    </row>
    <row r="8" ht="12">
      <c r="B8" s="282" t="s">
        <v>845</v>
      </c>
    </row>
    <row r="9" ht="12">
      <c r="B9" s="282" t="s">
        <v>846</v>
      </c>
    </row>
    <row r="10" ht="12">
      <c r="B10" s="282" t="s">
        <v>847</v>
      </c>
    </row>
    <row r="11" ht="12">
      <c r="B11" s="282" t="s">
        <v>848</v>
      </c>
    </row>
    <row r="12" ht="12">
      <c r="B12" s="282" t="s">
        <v>849</v>
      </c>
    </row>
    <row r="13" ht="12">
      <c r="B13" s="282" t="s">
        <v>850</v>
      </c>
    </row>
    <row r="14" ht="12">
      <c r="B14" s="282" t="s">
        <v>851</v>
      </c>
    </row>
    <row r="15" ht="12">
      <c r="B15" s="282" t="s">
        <v>852</v>
      </c>
    </row>
    <row r="16" ht="12">
      <c r="B16" s="282" t="s">
        <v>853</v>
      </c>
    </row>
    <row r="17" ht="12">
      <c r="B17" s="282" t="s">
        <v>854</v>
      </c>
    </row>
    <row r="18" ht="12">
      <c r="B18" s="282" t="s">
        <v>855</v>
      </c>
    </row>
    <row r="20" ht="12">
      <c r="B20" s="282" t="s">
        <v>719</v>
      </c>
    </row>
    <row r="21" ht="12">
      <c r="B21" s="282" t="s">
        <v>824</v>
      </c>
    </row>
    <row r="22" ht="12">
      <c r="B22" s="282" t="s">
        <v>856</v>
      </c>
    </row>
    <row r="24" spans="2:7" ht="12">
      <c r="B24" s="289">
        <v>44743</v>
      </c>
      <c r="C24" s="289">
        <v>44774</v>
      </c>
      <c r="D24" s="289">
        <v>44805</v>
      </c>
      <c r="E24" s="289">
        <v>44835</v>
      </c>
      <c r="F24" s="289">
        <v>44866</v>
      </c>
      <c r="G24" s="289">
        <v>44896</v>
      </c>
    </row>
    <row r="25" spans="2:8" ht="12">
      <c r="B25" s="289">
        <v>44927</v>
      </c>
      <c r="C25" s="289">
        <v>44958</v>
      </c>
      <c r="D25" s="289">
        <v>44986</v>
      </c>
      <c r="E25" s="289">
        <v>45017</v>
      </c>
      <c r="F25" s="289">
        <v>45047</v>
      </c>
      <c r="G25" s="289">
        <v>45078</v>
      </c>
      <c r="H25" s="289"/>
    </row>
    <row r="28" spans="1:2" ht="12">
      <c r="A28" t="s">
        <v>620</v>
      </c>
      <c r="B28" s="281" t="s">
        <v>720</v>
      </c>
    </row>
    <row r="29" spans="1:2" ht="12">
      <c r="A29" s="185" t="s">
        <v>558</v>
      </c>
      <c r="B29" s="281" t="s">
        <v>825</v>
      </c>
    </row>
    <row r="30" spans="1:2" ht="12">
      <c r="A30" t="s">
        <v>616</v>
      </c>
      <c r="B30" s="281" t="s">
        <v>857</v>
      </c>
    </row>
    <row r="32" spans="2:6" ht="12">
      <c r="B32" s="281" t="s">
        <v>602</v>
      </c>
      <c r="C32" t="s">
        <v>603</v>
      </c>
      <c r="D32" s="185" t="s">
        <v>547</v>
      </c>
      <c r="E32" s="185" t="s">
        <v>732</v>
      </c>
      <c r="F32" s="185" t="s">
        <v>733</v>
      </c>
    </row>
    <row r="33" spans="2:6" ht="12">
      <c r="B33" s="282" t="s">
        <v>685</v>
      </c>
      <c r="C33" s="282" t="s">
        <v>717</v>
      </c>
      <c r="D33" s="282" t="s">
        <v>871</v>
      </c>
      <c r="E33" s="930" t="s">
        <v>826</v>
      </c>
      <c r="F33" s="930" t="s">
        <v>858</v>
      </c>
    </row>
    <row r="35" spans="1:2" ht="12">
      <c r="A35" t="s">
        <v>617</v>
      </c>
      <c r="B35" s="281" t="s">
        <v>859</v>
      </c>
    </row>
    <row r="36" spans="1:2" ht="12">
      <c r="A36" t="s">
        <v>618</v>
      </c>
      <c r="B36" s="281" t="s">
        <v>827</v>
      </c>
    </row>
    <row r="37" spans="1:2" ht="12">
      <c r="A37" t="s">
        <v>619</v>
      </c>
      <c r="B37" s="281" t="s">
        <v>721</v>
      </c>
    </row>
    <row r="39" spans="2:3" ht="12">
      <c r="B39" s="282" t="s">
        <v>661</v>
      </c>
      <c r="C39" s="185" t="s">
        <v>662</v>
      </c>
    </row>
    <row r="40" spans="1:3" ht="12">
      <c r="A40" s="185" t="s">
        <v>645</v>
      </c>
      <c r="B40" s="890">
        <v>8399</v>
      </c>
      <c r="C40" s="890">
        <v>8336</v>
      </c>
    </row>
    <row r="41" spans="1:3" ht="12">
      <c r="A41" s="185" t="s">
        <v>646</v>
      </c>
      <c r="B41" s="890">
        <v>9045</v>
      </c>
      <c r="C41" s="890">
        <v>8982</v>
      </c>
    </row>
    <row r="42" spans="1:3" ht="12">
      <c r="A42" s="185" t="s">
        <v>647</v>
      </c>
      <c r="B42" s="890">
        <v>13076</v>
      </c>
      <c r="C42" s="890">
        <v>13013</v>
      </c>
    </row>
    <row r="45" spans="1:2" ht="12">
      <c r="A45" t="s">
        <v>673</v>
      </c>
      <c r="B45" s="893">
        <v>275</v>
      </c>
    </row>
    <row r="52" ht="12.75">
      <c r="A52" s="861" t="s">
        <v>621</v>
      </c>
    </row>
    <row r="53" ht="12">
      <c r="A53" t="s">
        <v>631</v>
      </c>
    </row>
    <row r="54" ht="12">
      <c r="A54" t="s">
        <v>688</v>
      </c>
    </row>
    <row r="55" ht="12">
      <c r="A55" s="185" t="s">
        <v>702</v>
      </c>
    </row>
    <row r="56" ht="13.5" customHeight="1">
      <c r="A56" s="185" t="s">
        <v>622</v>
      </c>
    </row>
    <row r="57" ht="12">
      <c r="A57" t="s">
        <v>623</v>
      </c>
    </row>
    <row r="58" ht="12">
      <c r="A58" t="s">
        <v>687</v>
      </c>
    </row>
    <row r="59" ht="12">
      <c r="A59" s="185" t="s">
        <v>798</v>
      </c>
    </row>
  </sheetData>
  <sheetProtection password="EBD1" sheet="1"/>
  <printOptions/>
  <pageMargins left="0.7" right="0.7" top="0.75" bottom="0.7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tabColor theme="2" tint="-0.09996999800205231"/>
    <pageSetUpPr fitToPage="1"/>
  </sheetPr>
  <dimension ref="A1:H27"/>
  <sheetViews>
    <sheetView showGridLines="0" showOutlineSymbols="0" workbookViewId="0" topLeftCell="A1">
      <selection activeCell="M18" sqref="M18"/>
    </sheetView>
  </sheetViews>
  <sheetFormatPr defaultColWidth="9.140625" defaultRowHeight="12.75"/>
  <cols>
    <col min="1" max="1" width="5.00390625" style="8" customWidth="1"/>
    <col min="2" max="2" width="12.421875" style="8" customWidth="1"/>
    <col min="3" max="3" width="20.00390625" style="8" customWidth="1"/>
    <col min="4" max="7" width="13.8515625" style="8" customWidth="1"/>
    <col min="8" max="8" width="9.140625" style="10" customWidth="1"/>
    <col min="9" max="16384" width="9.140625" style="8" customWidth="1"/>
  </cols>
  <sheetData>
    <row r="1" spans="1:7" ht="12.75" customHeight="1">
      <c r="A1" s="1035">
        <f>'Cover Page'!A9</f>
        <v>0</v>
      </c>
      <c r="B1" s="1035"/>
      <c r="C1" s="1035"/>
      <c r="D1" s="1035"/>
      <c r="E1" s="1035"/>
      <c r="F1" s="1035"/>
      <c r="G1" s="1035"/>
    </row>
    <row r="2" spans="1:7" ht="10.5">
      <c r="A2" s="1036" t="s">
        <v>477</v>
      </c>
      <c r="B2" s="1036"/>
      <c r="C2" s="1036"/>
      <c r="D2" s="1036"/>
      <c r="E2" s="1036"/>
      <c r="F2" s="1036"/>
      <c r="G2" s="1036"/>
    </row>
    <row r="3" spans="1:7" ht="13.5" customHeight="1" thickBot="1">
      <c r="A3" s="1109" t="str">
        <f>'Required Attachments'!A3</f>
        <v>Budget for the period from July 1, 2022 to June 30, 2023</v>
      </c>
      <c r="B3" s="1109"/>
      <c r="C3" s="1109"/>
      <c r="D3" s="1109"/>
      <c r="E3" s="1109"/>
      <c r="F3" s="1109"/>
      <c r="G3" s="1109"/>
    </row>
    <row r="4" spans="1:7" ht="15" customHeight="1" thickTop="1">
      <c r="A4" s="192"/>
      <c r="B4" s="443"/>
      <c r="C4" s="1041" t="s">
        <v>350</v>
      </c>
      <c r="D4" s="1041"/>
      <c r="E4" s="1041"/>
      <c r="F4" s="443"/>
      <c r="G4" s="443"/>
    </row>
    <row r="5" spans="1:7" ht="36" customHeight="1">
      <c r="A5" s="1160" t="s">
        <v>712</v>
      </c>
      <c r="B5" s="1160"/>
      <c r="C5" s="1160"/>
      <c r="D5" s="1160"/>
      <c r="E5" s="1160"/>
      <c r="F5" s="1160"/>
      <c r="G5" s="1160"/>
    </row>
    <row r="6" spans="1:8" s="183" customFormat="1" ht="15" customHeight="1">
      <c r="A6" s="196"/>
      <c r="B6" s="1312" t="s">
        <v>6</v>
      </c>
      <c r="C6" s="1313"/>
      <c r="D6" s="397" t="s">
        <v>7</v>
      </c>
      <c r="E6" s="367" t="s">
        <v>8</v>
      </c>
      <c r="F6" s="368" t="s">
        <v>9</v>
      </c>
      <c r="G6" s="395" t="s">
        <v>10</v>
      </c>
      <c r="H6" s="184"/>
    </row>
    <row r="7" spans="1:7" ht="31.5" customHeight="1">
      <c r="A7" s="195" t="s">
        <v>5</v>
      </c>
      <c r="B7" s="1318" t="s">
        <v>103</v>
      </c>
      <c r="C7" s="1315"/>
      <c r="D7" s="369" t="str">
        <f>Months!B33&amp;" School Year"</f>
        <v>2019-20 School Year</v>
      </c>
      <c r="E7" s="369" t="str">
        <f>Months!C33&amp;" School Year"</f>
        <v>2020-21 School Year</v>
      </c>
      <c r="F7" s="369" t="str">
        <f>Months!D33&amp;" School Year"</f>
        <v>2021-22 School Year</v>
      </c>
      <c r="G7" s="18" t="s">
        <v>349</v>
      </c>
    </row>
    <row r="8" spans="1:7" ht="15" customHeight="1">
      <c r="A8" s="54">
        <v>1</v>
      </c>
      <c r="B8" s="1118" t="s">
        <v>0</v>
      </c>
      <c r="C8" s="1314"/>
      <c r="D8" s="764"/>
      <c r="E8" s="764"/>
      <c r="F8" s="765"/>
      <c r="G8" s="766">
        <f aca="true" t="shared" si="0" ref="G8:G15">MIN(D8:F8)</f>
        <v>0</v>
      </c>
    </row>
    <row r="9" spans="1:7" ht="15" customHeight="1">
      <c r="A9" s="54">
        <v>2</v>
      </c>
      <c r="B9" s="1118" t="s">
        <v>101</v>
      </c>
      <c r="C9" s="1314"/>
      <c r="D9" s="764"/>
      <c r="E9" s="764"/>
      <c r="F9" s="765"/>
      <c r="G9" s="766">
        <f t="shared" si="0"/>
        <v>0</v>
      </c>
    </row>
    <row r="10" spans="1:7" ht="15" customHeight="1">
      <c r="A10" s="54">
        <v>3</v>
      </c>
      <c r="B10" s="1118" t="s">
        <v>1</v>
      </c>
      <c r="C10" s="1314"/>
      <c r="D10" s="764"/>
      <c r="E10" s="764"/>
      <c r="F10" s="765"/>
      <c r="G10" s="766">
        <f t="shared" si="0"/>
        <v>0</v>
      </c>
    </row>
    <row r="11" spans="1:7" ht="15" customHeight="1">
      <c r="A11" s="54">
        <v>4</v>
      </c>
      <c r="B11" s="1118" t="s">
        <v>2</v>
      </c>
      <c r="C11" s="1119"/>
      <c r="D11" s="764"/>
      <c r="E11" s="764"/>
      <c r="F11" s="765"/>
      <c r="G11" s="766">
        <f t="shared" si="0"/>
        <v>0</v>
      </c>
    </row>
    <row r="12" spans="1:7" ht="15" customHeight="1">
      <c r="A12" s="54">
        <v>5</v>
      </c>
      <c r="B12" s="1118" t="s">
        <v>3</v>
      </c>
      <c r="C12" s="1119"/>
      <c r="D12" s="764"/>
      <c r="E12" s="764"/>
      <c r="F12" s="765"/>
      <c r="G12" s="766">
        <f>MIN(D12:F12)</f>
        <v>0</v>
      </c>
    </row>
    <row r="13" spans="1:7" ht="15" customHeight="1">
      <c r="A13" s="58">
        <v>6</v>
      </c>
      <c r="B13" s="1118" t="s">
        <v>102</v>
      </c>
      <c r="C13" s="1119"/>
      <c r="D13" s="764"/>
      <c r="E13" s="764"/>
      <c r="F13" s="765"/>
      <c r="G13" s="766">
        <f t="shared" si="0"/>
        <v>0</v>
      </c>
    </row>
    <row r="14" spans="1:7" ht="15" customHeight="1">
      <c r="A14" s="54">
        <v>7</v>
      </c>
      <c r="B14" s="116" t="s">
        <v>65</v>
      </c>
      <c r="C14" s="12"/>
      <c r="D14" s="764"/>
      <c r="E14" s="764"/>
      <c r="F14" s="765"/>
      <c r="G14" s="766">
        <f t="shared" si="0"/>
        <v>0</v>
      </c>
    </row>
    <row r="15" spans="1:7" ht="15" customHeight="1" thickBot="1">
      <c r="A15" s="55">
        <v>8</v>
      </c>
      <c r="B15" s="1129" t="s">
        <v>66</v>
      </c>
      <c r="C15" s="1317"/>
      <c r="D15" s="767"/>
      <c r="E15" s="767"/>
      <c r="F15" s="768"/>
      <c r="G15" s="769">
        <f t="shared" si="0"/>
        <v>0</v>
      </c>
    </row>
    <row r="16" spans="1:7" ht="15" customHeight="1" thickBot="1">
      <c r="A16" s="197">
        <v>9</v>
      </c>
      <c r="B16" s="199" t="s">
        <v>107</v>
      </c>
      <c r="C16" s="198"/>
      <c r="D16" s="770">
        <f>SUM(D8:D15)</f>
        <v>0</v>
      </c>
      <c r="E16" s="770">
        <f>SUM(E8:E15)</f>
        <v>0</v>
      </c>
      <c r="F16" s="771">
        <f>SUM(F8:F15)</f>
        <v>0</v>
      </c>
      <c r="G16" s="772">
        <f>SUM(G8:G15)</f>
        <v>0</v>
      </c>
    </row>
    <row r="17" spans="1:7" ht="15" customHeight="1" thickTop="1">
      <c r="A17" s="192"/>
      <c r="B17" s="443"/>
      <c r="C17" s="1041" t="s">
        <v>351</v>
      </c>
      <c r="D17" s="1041"/>
      <c r="E17" s="1041"/>
      <c r="F17" s="443"/>
      <c r="G17" s="443"/>
    </row>
    <row r="18" spans="1:7" ht="32.25" customHeight="1">
      <c r="A18" s="1106" t="s">
        <v>668</v>
      </c>
      <c r="B18" s="1106"/>
      <c r="C18" s="1106"/>
      <c r="D18" s="1106"/>
      <c r="E18" s="1106"/>
      <c r="F18" s="1106"/>
      <c r="G18" s="1106"/>
    </row>
    <row r="19" spans="1:8" s="183" customFormat="1" ht="15" customHeight="1">
      <c r="A19" s="196"/>
      <c r="B19" s="1319" t="s">
        <v>6</v>
      </c>
      <c r="C19" s="1320"/>
      <c r="D19" s="397" t="s">
        <v>7</v>
      </c>
      <c r="E19" s="367" t="s">
        <v>8</v>
      </c>
      <c r="F19" s="368" t="s">
        <v>9</v>
      </c>
      <c r="G19" s="802" t="s">
        <v>10</v>
      </c>
      <c r="H19" s="184"/>
    </row>
    <row r="20" spans="1:7" ht="31.5" customHeight="1">
      <c r="A20" s="195" t="s">
        <v>5</v>
      </c>
      <c r="B20" s="1315" t="s">
        <v>103</v>
      </c>
      <c r="C20" s="1316"/>
      <c r="D20" s="369" t="str">
        <f>Months!B33&amp;" School Year"</f>
        <v>2019-20 School Year</v>
      </c>
      <c r="E20" s="369" t="str">
        <f>Months!C33&amp;" School Year"</f>
        <v>2020-21 School Year</v>
      </c>
      <c r="F20" s="369" t="str">
        <f>Months!D33&amp;" School Year"</f>
        <v>2021-22 School Year</v>
      </c>
      <c r="G20" s="370" t="s">
        <v>669</v>
      </c>
    </row>
    <row r="21" spans="1:7" ht="15" customHeight="1" thickBot="1">
      <c r="A21" s="54">
        <v>10</v>
      </c>
      <c r="B21" s="1118" t="s">
        <v>716</v>
      </c>
      <c r="C21" s="1119"/>
      <c r="D21" s="69"/>
      <c r="E21" s="69"/>
      <c r="F21" s="66"/>
      <c r="G21" s="803">
        <f>MIN(D21:F21)</f>
        <v>0</v>
      </c>
    </row>
    <row r="22" spans="1:7" ht="15" customHeight="1" thickTop="1">
      <c r="A22" s="192"/>
      <c r="B22" s="443"/>
      <c r="C22" s="1041" t="s">
        <v>268</v>
      </c>
      <c r="D22" s="1041"/>
      <c r="E22" s="1041"/>
      <c r="F22" s="443"/>
      <c r="G22" s="443"/>
    </row>
    <row r="23" spans="1:8" ht="19.5" customHeight="1">
      <c r="A23" s="366">
        <v>11</v>
      </c>
      <c r="B23" s="1016" t="s">
        <v>495</v>
      </c>
      <c r="C23" s="1017"/>
      <c r="D23" s="1017"/>
      <c r="E23" s="1017"/>
      <c r="F23" s="1017"/>
      <c r="G23" s="1017"/>
      <c r="H23" s="8"/>
    </row>
    <row r="24" spans="1:8" ht="64.5" customHeight="1" thickBot="1">
      <c r="A24" s="1097"/>
      <c r="B24" s="1097"/>
      <c r="C24" s="1097"/>
      <c r="D24" s="1097"/>
      <c r="E24" s="1097"/>
      <c r="F24" s="1097"/>
      <c r="G24" s="1097"/>
      <c r="H24" s="8" t="s">
        <v>461</v>
      </c>
    </row>
    <row r="25" spans="1:7" ht="15" customHeight="1" thickTop="1">
      <c r="A25" s="192"/>
      <c r="B25" s="443"/>
      <c r="C25" s="1041" t="s">
        <v>352</v>
      </c>
      <c r="D25" s="1041"/>
      <c r="E25" s="1041"/>
      <c r="F25" s="443"/>
      <c r="G25" s="443"/>
    </row>
    <row r="26" spans="1:8" ht="25.5" customHeight="1">
      <c r="A26" s="372">
        <v>12</v>
      </c>
      <c r="B26" s="1016" t="str">
        <f>"If the school did not operate in the "&amp;Months!D33&amp;" school year, what are the school's plans for obtaining tuition paying pupils."</f>
        <v>If the school did not operate in the 2021-22 school year, what are the school's plans for obtaining tuition paying pupils.</v>
      </c>
      <c r="C26" s="1017"/>
      <c r="D26" s="1017"/>
      <c r="E26" s="1017"/>
      <c r="F26" s="1017"/>
      <c r="G26" s="1017"/>
      <c r="H26" s="8"/>
    </row>
    <row r="27" spans="1:8" ht="68.25" customHeight="1" thickBot="1">
      <c r="A27" s="1105"/>
      <c r="B27" s="1105"/>
      <c r="C27" s="1105"/>
      <c r="D27" s="1105"/>
      <c r="E27" s="1105"/>
      <c r="F27" s="1105"/>
      <c r="G27" s="1105"/>
      <c r="H27" s="8" t="str">
        <f>IF(AND('SCH 11-2 Pupil Questions'!F16=0,'SCH 4-1 Revenue'!F7&gt;0),"REQUIRED","NOT REQUIRED")</f>
        <v>NOT REQUIRED</v>
      </c>
    </row>
    <row r="28" ht="10.5" thickTop="1"/>
  </sheetData>
  <sheetProtection password="EBD1" sheet="1"/>
  <mergeCells count="25">
    <mergeCell ref="A5:G5"/>
    <mergeCell ref="A24:G24"/>
    <mergeCell ref="B13:C13"/>
    <mergeCell ref="B15:C15"/>
    <mergeCell ref="B7:C7"/>
    <mergeCell ref="B8:C8"/>
    <mergeCell ref="B21:C21"/>
    <mergeCell ref="B19:C19"/>
    <mergeCell ref="C17:E17"/>
    <mergeCell ref="A27:G27"/>
    <mergeCell ref="B26:G26"/>
    <mergeCell ref="B12:C12"/>
    <mergeCell ref="B10:C10"/>
    <mergeCell ref="B11:C11"/>
    <mergeCell ref="A18:G18"/>
    <mergeCell ref="A1:G1"/>
    <mergeCell ref="A2:G2"/>
    <mergeCell ref="A3:G3"/>
    <mergeCell ref="B6:C6"/>
    <mergeCell ref="C25:E25"/>
    <mergeCell ref="C4:E4"/>
    <mergeCell ref="B9:C9"/>
    <mergeCell ref="B20:C20"/>
    <mergeCell ref="B23:G23"/>
    <mergeCell ref="C22:E22"/>
  </mergeCells>
  <dataValidations count="1">
    <dataValidation errorStyle="warning" type="whole" allowBlank="1" showInputMessage="1" showErrorMessage="1" error="Insert the average tuition received rather than the total tuition received.  For example, if the school receives $50,000 from 10 pupils, $5,000 should be inserted here. Answer No to change the amount." sqref="D21:F21">
      <formula1>0</formula1>
      <formula2>15000</formula2>
    </dataValidation>
  </dataValidations>
  <printOptions/>
  <pageMargins left="0.39" right="0.35" top="0.6" bottom="0.39" header="0.39" footer="0.27"/>
  <pageSetup firstPageNumber="1" useFirstPageNumber="1" fitToHeight="1" fitToWidth="1" horizontalDpi="600" verticalDpi="600" orientation="portrait" r:id="rId2"/>
  <headerFooter alignWithMargins="0">
    <oddHeader>&amp;LPI-PCP-14&amp;RPage 25</oddHeader>
  </headerFooter>
  <drawing r:id="rId1"/>
</worksheet>
</file>

<file path=xl/worksheets/sheet31.xml><?xml version="1.0" encoding="utf-8"?>
<worksheet xmlns="http://schemas.openxmlformats.org/spreadsheetml/2006/main" xmlns:r="http://schemas.openxmlformats.org/officeDocument/2006/relationships">
  <sheetPr>
    <tabColor rgb="FFFFFF00"/>
    <pageSetUpPr fitToPage="1"/>
  </sheetPr>
  <dimension ref="A1:R48"/>
  <sheetViews>
    <sheetView showGridLines="0" showOutlineSymbols="0" workbookViewId="0" topLeftCell="A1">
      <selection activeCell="A17" sqref="A17"/>
    </sheetView>
  </sheetViews>
  <sheetFormatPr defaultColWidth="9.140625" defaultRowHeight="12.75"/>
  <cols>
    <col min="1" max="1" width="2.8515625" style="8" customWidth="1"/>
    <col min="2" max="2" width="18.8515625" style="8" customWidth="1"/>
    <col min="3" max="3" width="10.57421875" style="8" customWidth="1"/>
    <col min="4" max="4" width="9.57421875" style="8" customWidth="1"/>
    <col min="5" max="7" width="10.57421875" style="8" customWidth="1"/>
    <col min="8" max="9" width="10.57421875" style="10" customWidth="1"/>
    <col min="10" max="10" width="9.140625" style="8" customWidth="1"/>
    <col min="11" max="11" width="9.140625" style="10" customWidth="1"/>
    <col min="12" max="12" width="12.8515625" style="8" customWidth="1"/>
    <col min="13" max="13" width="9.140625" style="8" customWidth="1"/>
    <col min="14" max="18" width="0" style="8" hidden="1" customWidth="1"/>
    <col min="19" max="16384" width="9.140625" style="8" customWidth="1"/>
  </cols>
  <sheetData>
    <row r="1" spans="1:10" ht="12.75" customHeight="1">
      <c r="A1" s="1035">
        <f>'Cover Page'!A9</f>
        <v>0</v>
      </c>
      <c r="B1" s="1035"/>
      <c r="C1" s="1035"/>
      <c r="D1" s="1035"/>
      <c r="E1" s="1035"/>
      <c r="F1" s="1035"/>
      <c r="G1" s="1035"/>
      <c r="H1" s="1035"/>
      <c r="I1" s="1035"/>
      <c r="J1" s="1035"/>
    </row>
    <row r="2" spans="1:10" ht="10.5">
      <c r="A2" s="1036" t="s">
        <v>411</v>
      </c>
      <c r="B2" s="1036"/>
      <c r="C2" s="1036"/>
      <c r="D2" s="1036"/>
      <c r="E2" s="1036"/>
      <c r="F2" s="1036"/>
      <c r="G2" s="1036"/>
      <c r="H2" s="1036"/>
      <c r="I2" s="1036"/>
      <c r="J2" s="1036"/>
    </row>
    <row r="3" spans="1:10" ht="13.5" customHeight="1" thickBot="1">
      <c r="A3" s="1109" t="str">
        <f>'Required Attachments'!A3</f>
        <v>Budget for the period from July 1, 2022 to June 30, 2023</v>
      </c>
      <c r="B3" s="1109"/>
      <c r="C3" s="1109"/>
      <c r="D3" s="1109"/>
      <c r="E3" s="1109"/>
      <c r="F3" s="1109"/>
      <c r="G3" s="1109"/>
      <c r="H3" s="1109"/>
      <c r="I3" s="1109"/>
      <c r="J3" s="1109"/>
    </row>
    <row r="4" spans="1:10" ht="78" customHeight="1" thickBot="1" thickTop="1">
      <c r="A4" s="1187" t="s">
        <v>775</v>
      </c>
      <c r="B4" s="1188"/>
      <c r="C4" s="1188"/>
      <c r="D4" s="1188"/>
      <c r="E4" s="1188"/>
      <c r="F4" s="1188"/>
      <c r="G4" s="1188"/>
      <c r="H4" s="1188"/>
      <c r="I4" s="1188"/>
      <c r="J4" s="1188"/>
    </row>
    <row r="5" spans="1:10" ht="15" customHeight="1" thickTop="1">
      <c r="A5" s="192"/>
      <c r="B5" s="443"/>
      <c r="C5" s="1041" t="s">
        <v>713</v>
      </c>
      <c r="D5" s="1041"/>
      <c r="E5" s="1041"/>
      <c r="F5" s="1041"/>
      <c r="G5" s="1041"/>
      <c r="H5" s="443"/>
      <c r="I5" s="443"/>
      <c r="J5" s="443"/>
    </row>
    <row r="6" spans="1:11" s="183" customFormat="1" ht="15" customHeight="1">
      <c r="A6" s="1336" t="s">
        <v>5</v>
      </c>
      <c r="B6" s="394"/>
      <c r="C6" s="1319" t="s">
        <v>267</v>
      </c>
      <c r="D6" s="1349"/>
      <c r="E6" s="1348" t="s">
        <v>268</v>
      </c>
      <c r="F6" s="1349"/>
      <c r="G6" s="1349"/>
      <c r="H6" s="1349"/>
      <c r="I6" s="1349"/>
      <c r="J6" s="1349"/>
      <c r="K6" s="184"/>
    </row>
    <row r="7" spans="1:12" s="183" customFormat="1" ht="15" customHeight="1">
      <c r="A7" s="1337"/>
      <c r="B7" s="525" t="s">
        <v>6</v>
      </c>
      <c r="C7" s="524" t="s">
        <v>7</v>
      </c>
      <c r="D7" s="524" t="s">
        <v>8</v>
      </c>
      <c r="E7" s="542" t="s">
        <v>9</v>
      </c>
      <c r="F7" s="523" t="s">
        <v>10</v>
      </c>
      <c r="G7" s="523" t="s">
        <v>11</v>
      </c>
      <c r="H7" s="524" t="s">
        <v>12</v>
      </c>
      <c r="I7" s="858" t="s">
        <v>393</v>
      </c>
      <c r="J7" s="524" t="s">
        <v>610</v>
      </c>
      <c r="K7" s="184"/>
      <c r="L7" s="1329" t="s">
        <v>612</v>
      </c>
    </row>
    <row r="8" spans="1:12" ht="24" customHeight="1">
      <c r="A8" s="1338"/>
      <c r="B8" s="227" t="s">
        <v>103</v>
      </c>
      <c r="C8" s="18" t="s">
        <v>392</v>
      </c>
      <c r="D8" s="18" t="s">
        <v>348</v>
      </c>
      <c r="E8" s="543" t="s">
        <v>387</v>
      </c>
      <c r="F8" s="18" t="s">
        <v>388</v>
      </c>
      <c r="G8" s="18" t="s">
        <v>389</v>
      </c>
      <c r="H8" s="18" t="s">
        <v>392</v>
      </c>
      <c r="I8" s="18" t="s">
        <v>611</v>
      </c>
      <c r="J8" s="18" t="s">
        <v>348</v>
      </c>
      <c r="L8" s="1329"/>
    </row>
    <row r="9" spans="1:12" ht="15" customHeight="1">
      <c r="A9" s="54">
        <v>1</v>
      </c>
      <c r="B9" s="116" t="s">
        <v>390</v>
      </c>
      <c r="C9" s="773">
        <f>IF('SCH 11-2 Pupil Questions'!F16=0,((('SCH 2-1 All &amp; Choice Pupils'!H7-'SCH 2-1 All &amp; Choice Pupils'!H19)*0.05)+H9),'SCH 11-2 Pupil Questions'!F8*0.5)</f>
        <v>0</v>
      </c>
      <c r="D9" s="774">
        <f>C9-'SCH 2-1 All &amp; Choice Pupils'!H7</f>
        <v>0</v>
      </c>
      <c r="E9" s="779"/>
      <c r="F9" s="69"/>
      <c r="G9" s="69"/>
      <c r="H9" s="783">
        <f>SUM(E9:G9)*0.5</f>
        <v>0</v>
      </c>
      <c r="I9" s="774">
        <f>'SCH 2-1 All &amp; Choice Pupils'!H19</f>
        <v>0</v>
      </c>
      <c r="J9" s="774">
        <f>H9-I9</f>
        <v>0</v>
      </c>
      <c r="L9" s="859" t="str">
        <f>IF(I9&lt;H9,"ERROR","OK")</f>
        <v>OK</v>
      </c>
    </row>
    <row r="10" spans="1:12" ht="15" customHeight="1">
      <c r="A10" s="54">
        <v>2</v>
      </c>
      <c r="B10" s="116" t="s">
        <v>391</v>
      </c>
      <c r="C10" s="773">
        <f>IF('SCH 11-2 Pupil Questions'!F16=0,((('SCH 2-1 All &amp; Choice Pupils'!H8-'SCH 2-1 All &amp; Choice Pupils'!H20)*0.05)+H10),'SCH 11-2 Pupil Questions'!F9*0.6)</f>
        <v>0</v>
      </c>
      <c r="D10" s="774">
        <f>C10-'SCH 2-1 All &amp; Choice Pupils'!H8</f>
        <v>0</v>
      </c>
      <c r="E10" s="779"/>
      <c r="F10" s="69"/>
      <c r="G10" s="69"/>
      <c r="H10" s="783">
        <f>SUM(E10:G10)*0.6</f>
        <v>0</v>
      </c>
      <c r="I10" s="774">
        <f>'SCH 2-1 All &amp; Choice Pupils'!H20</f>
        <v>0</v>
      </c>
      <c r="J10" s="774">
        <f aca="true" t="shared" si="0" ref="J10:J16">H10-I10</f>
        <v>0</v>
      </c>
      <c r="L10" s="860" t="str">
        <f aca="true" t="shared" si="1" ref="L10:L16">IF(I10&lt;H10,"ERROR","OK")</f>
        <v>OK</v>
      </c>
    </row>
    <row r="11" spans="1:12" ht="15" customHeight="1">
      <c r="A11" s="54">
        <v>3</v>
      </c>
      <c r="B11" s="116" t="s">
        <v>1</v>
      </c>
      <c r="C11" s="773">
        <f>IF('SCH 11-2 Pupil Questions'!F16=0,((('SCH 2-1 All &amp; Choice Pupils'!H9-'SCH 2-1 All &amp; Choice Pupils'!H21)*0.05)+H11),'SCH 11-2 Pupil Questions'!G10*0.5)</f>
        <v>0</v>
      </c>
      <c r="D11" s="774">
        <f>C11-'SCH 2-1 All &amp; Choice Pupils'!H9</f>
        <v>0</v>
      </c>
      <c r="E11" s="779"/>
      <c r="F11" s="69"/>
      <c r="G11" s="69"/>
      <c r="H11" s="783">
        <f>SUM(E11:G11)*0.5</f>
        <v>0</v>
      </c>
      <c r="I11" s="774">
        <f>'SCH 2-1 All &amp; Choice Pupils'!H21</f>
        <v>0</v>
      </c>
      <c r="J11" s="774">
        <f t="shared" si="0"/>
        <v>0</v>
      </c>
      <c r="L11" s="860" t="str">
        <f t="shared" si="1"/>
        <v>OK</v>
      </c>
    </row>
    <row r="12" spans="1:12" ht="15" customHeight="1">
      <c r="A12" s="54">
        <v>4</v>
      </c>
      <c r="B12" s="116" t="s">
        <v>2</v>
      </c>
      <c r="C12" s="773">
        <f>IF('SCH 11-2 Pupil Questions'!F16=0,((('SCH 2-1 All &amp; Choice Pupils'!H10-'SCH 2-1 All &amp; Choice Pupils'!H22)*0.05)+H12),'SCH 11-2 Pupil Questions'!G11*0.6)</f>
        <v>0</v>
      </c>
      <c r="D12" s="774">
        <f>C12-'SCH 2-1 All &amp; Choice Pupils'!H10</f>
        <v>0</v>
      </c>
      <c r="E12" s="779"/>
      <c r="F12" s="69"/>
      <c r="G12" s="69"/>
      <c r="H12" s="783">
        <f>SUM(E12:G12)*0.6</f>
        <v>0</v>
      </c>
      <c r="I12" s="774">
        <f>'SCH 2-1 All &amp; Choice Pupils'!H22</f>
        <v>0</v>
      </c>
      <c r="J12" s="774">
        <f t="shared" si="0"/>
        <v>0</v>
      </c>
      <c r="L12" s="860" t="str">
        <f t="shared" si="1"/>
        <v>OK</v>
      </c>
    </row>
    <row r="13" spans="1:12" ht="15" customHeight="1">
      <c r="A13" s="54">
        <v>5</v>
      </c>
      <c r="B13" s="116" t="s">
        <v>3</v>
      </c>
      <c r="C13" s="773">
        <f>IF('SCH 11-2 Pupil Questions'!F16=0,((('SCH 2-1 All &amp; Choice Pupils'!H11-'SCH 2-1 All &amp; Choice Pupils'!H23)*0.05)+H13),'SCH 11-2 Pupil Questions'!G12*0.8)</f>
        <v>0</v>
      </c>
      <c r="D13" s="774">
        <f>C13-'SCH 2-1 All &amp; Choice Pupils'!H11</f>
        <v>0</v>
      </c>
      <c r="E13" s="779"/>
      <c r="F13" s="69"/>
      <c r="G13" s="69"/>
      <c r="H13" s="783">
        <f>SUM(E13:G13)*0.8</f>
        <v>0</v>
      </c>
      <c r="I13" s="774">
        <f>'SCH 2-1 All &amp; Choice Pupils'!H23</f>
        <v>0</v>
      </c>
      <c r="J13" s="774">
        <f t="shared" si="0"/>
        <v>0</v>
      </c>
      <c r="L13" s="860" t="str">
        <f t="shared" si="1"/>
        <v>OK</v>
      </c>
    </row>
    <row r="14" spans="1:12" ht="15" customHeight="1">
      <c r="A14" s="58">
        <v>6</v>
      </c>
      <c r="B14" s="116" t="s">
        <v>102</v>
      </c>
      <c r="C14" s="773">
        <f>IF('SCH 11-2 Pupil Questions'!F16=0,((('SCH 2-1 All &amp; Choice Pupils'!H12-'SCH 2-1 All &amp; Choice Pupils'!H24)*0.05)+H14),'SCH 11-2 Pupil Questions'!F13)</f>
        <v>0</v>
      </c>
      <c r="D14" s="774">
        <f>C14-'SCH 2-1 All &amp; Choice Pupils'!H12</f>
        <v>0</v>
      </c>
      <c r="E14" s="779"/>
      <c r="F14" s="69"/>
      <c r="G14" s="69"/>
      <c r="H14" s="783">
        <f>SUM(E14:G14)</f>
        <v>0</v>
      </c>
      <c r="I14" s="774">
        <f>'SCH 2-1 All &amp; Choice Pupils'!H24</f>
        <v>0</v>
      </c>
      <c r="J14" s="774">
        <f t="shared" si="0"/>
        <v>0</v>
      </c>
      <c r="L14" s="860" t="str">
        <f t="shared" si="1"/>
        <v>OK</v>
      </c>
    </row>
    <row r="15" spans="1:12" ht="15" customHeight="1">
      <c r="A15" s="54">
        <v>7</v>
      </c>
      <c r="B15" s="544" t="s">
        <v>65</v>
      </c>
      <c r="C15" s="773">
        <f>IF('SCH 11-2 Pupil Questions'!F16=0,((('SCH 2-1 All &amp; Choice Pupils'!H13-'SCH 2-1 All &amp; Choice Pupils'!H25)*0.05)+H15),'SCH 11-2 Pupil Questions'!F14)</f>
        <v>0</v>
      </c>
      <c r="D15" s="774">
        <f>C15-'SCH 2-1 All &amp; Choice Pupils'!H13</f>
        <v>0</v>
      </c>
      <c r="E15" s="779"/>
      <c r="F15" s="69"/>
      <c r="G15" s="69"/>
      <c r="H15" s="783">
        <f>SUM(E15:G15)</f>
        <v>0</v>
      </c>
      <c r="I15" s="774">
        <f>'SCH 2-1 All &amp; Choice Pupils'!H25</f>
        <v>0</v>
      </c>
      <c r="J15" s="774">
        <f t="shared" si="0"/>
        <v>0</v>
      </c>
      <c r="L15" s="860" t="str">
        <f t="shared" si="1"/>
        <v>OK</v>
      </c>
    </row>
    <row r="16" spans="1:12" ht="15" customHeight="1" thickBot="1">
      <c r="A16" s="55">
        <v>8</v>
      </c>
      <c r="B16" s="124" t="s">
        <v>66</v>
      </c>
      <c r="C16" s="775">
        <f>IF('SCH 11-2 Pupil Questions'!F16=0,((('SCH 2-1 All &amp; Choice Pupils'!H15-'SCH 2-1 All &amp; Choice Pupils'!H27)*0.05)+H16),'SCH 11-2 Pupil Questions'!F15)</f>
        <v>0</v>
      </c>
      <c r="D16" s="776">
        <f>C16-'SCH 2-1 All &amp; Choice Pupils'!H15</f>
        <v>0</v>
      </c>
      <c r="E16" s="780"/>
      <c r="F16" s="70"/>
      <c r="G16" s="70"/>
      <c r="H16" s="784">
        <f>SUM(E16:G16)</f>
        <v>0</v>
      </c>
      <c r="I16" s="774">
        <f>'SCH 2-1 All &amp; Choice Pupils'!H27</f>
        <v>0</v>
      </c>
      <c r="J16" s="774">
        <f t="shared" si="0"/>
        <v>0</v>
      </c>
      <c r="L16" s="860" t="str">
        <f t="shared" si="1"/>
        <v>OK</v>
      </c>
    </row>
    <row r="17" spans="1:12" ht="15" customHeight="1" thickBot="1">
      <c r="A17" s="556">
        <v>9</v>
      </c>
      <c r="B17" s="557" t="s">
        <v>125</v>
      </c>
      <c r="C17" s="777">
        <f aca="true" t="shared" si="2" ref="C17:J17">SUM(C9:C16)</f>
        <v>0</v>
      </c>
      <c r="D17" s="778">
        <f t="shared" si="2"/>
        <v>0</v>
      </c>
      <c r="E17" s="781">
        <f t="shared" si="2"/>
        <v>0</v>
      </c>
      <c r="F17" s="782">
        <f t="shared" si="2"/>
        <v>0</v>
      </c>
      <c r="G17" s="782">
        <f t="shared" si="2"/>
        <v>0</v>
      </c>
      <c r="H17" s="777">
        <f t="shared" si="2"/>
        <v>0</v>
      </c>
      <c r="I17" s="777">
        <f t="shared" si="2"/>
        <v>0</v>
      </c>
      <c r="J17" s="778">
        <f t="shared" si="2"/>
        <v>0</v>
      </c>
      <c r="L17" s="857">
        <f>COUNTIF(L9:L16,"ERROR")</f>
        <v>0</v>
      </c>
    </row>
    <row r="18" spans="1:10" ht="15" customHeight="1" thickBot="1">
      <c r="A18" s="559">
        <v>10</v>
      </c>
      <c r="B18" s="571" t="s">
        <v>681</v>
      </c>
      <c r="C18" s="560"/>
      <c r="D18" s="565"/>
      <c r="E18" s="656"/>
      <c r="F18" s="558"/>
      <c r="G18" s="558"/>
      <c r="H18" s="558"/>
      <c r="I18" s="558"/>
      <c r="J18" s="558"/>
    </row>
    <row r="19" spans="1:10" ht="15" customHeight="1" thickTop="1">
      <c r="A19" s="192"/>
      <c r="B19" s="443"/>
      <c r="C19" s="1041" t="s">
        <v>659</v>
      </c>
      <c r="D19" s="1041"/>
      <c r="E19" s="1041"/>
      <c r="F19" s="1041"/>
      <c r="G19" s="1041"/>
      <c r="H19" s="443"/>
      <c r="I19" s="443"/>
      <c r="J19" s="443"/>
    </row>
    <row r="20" spans="1:11" s="20" customFormat="1" ht="24" customHeight="1">
      <c r="A20" s="885" t="s">
        <v>5</v>
      </c>
      <c r="B20" s="1350" t="s">
        <v>660</v>
      </c>
      <c r="C20" s="1351"/>
      <c r="D20" s="1352"/>
      <c r="E20" s="887" t="s">
        <v>321</v>
      </c>
      <c r="F20" s="1353" t="s">
        <v>671</v>
      </c>
      <c r="G20" s="1353"/>
      <c r="H20" s="1339" t="s">
        <v>672</v>
      </c>
      <c r="I20" s="1340"/>
      <c r="J20" s="888"/>
      <c r="K20" s="21"/>
    </row>
    <row r="21" spans="1:10" ht="15" customHeight="1">
      <c r="A21" s="325">
        <v>11</v>
      </c>
      <c r="B21" s="572" t="str">
        <f>Months!B29&amp;" Summer School Grades K-8 Headcount"</f>
        <v>2022 Summer School Grades K-8 Headcount</v>
      </c>
      <c r="C21" s="561"/>
      <c r="D21" s="566"/>
      <c r="E21" s="66"/>
      <c r="F21" s="1142"/>
      <c r="G21" s="1143"/>
      <c r="H21" s="1142"/>
      <c r="I21" s="1172"/>
      <c r="J21" s="555"/>
    </row>
    <row r="22" spans="1:10" ht="15" customHeight="1" thickBot="1">
      <c r="A22" s="562">
        <v>12</v>
      </c>
      <c r="B22" s="573" t="str">
        <f>Months!B29&amp;" Summer School Grades 9-12 Headcount"</f>
        <v>2022 Summer School Grades 9-12 Headcount</v>
      </c>
      <c r="C22" s="563"/>
      <c r="D22" s="563"/>
      <c r="E22" s="886"/>
      <c r="F22" s="1344"/>
      <c r="G22" s="1345"/>
      <c r="H22" s="1344"/>
      <c r="I22" s="1356"/>
      <c r="J22" s="564"/>
    </row>
    <row r="23" spans="1:11" ht="15" customHeight="1" thickTop="1">
      <c r="A23" s="187"/>
      <c r="B23" s="445"/>
      <c r="C23" s="1041" t="s">
        <v>106</v>
      </c>
      <c r="D23" s="1041"/>
      <c r="E23" s="1041"/>
      <c r="F23" s="1041"/>
      <c r="G23" s="1041"/>
      <c r="H23" s="57"/>
      <c r="I23" s="51"/>
      <c r="J23" s="51"/>
      <c r="K23" s="8"/>
    </row>
    <row r="24" spans="1:11" ht="14.25" customHeight="1">
      <c r="A24" s="54">
        <v>13</v>
      </c>
      <c r="B24" s="374" t="s">
        <v>589</v>
      </c>
      <c r="C24" s="553"/>
      <c r="D24" s="553"/>
      <c r="F24" s="382"/>
      <c r="G24" s="845"/>
      <c r="H24" s="554"/>
      <c r="I24" s="382"/>
      <c r="K24" s="22" t="str">
        <f>IF(G24="","NO RESPONSE","")</f>
        <v>NO RESPONSE</v>
      </c>
    </row>
    <row r="25" spans="1:10" ht="15" customHeight="1">
      <c r="A25" s="1017" t="s">
        <v>608</v>
      </c>
      <c r="B25" s="1017"/>
      <c r="C25" s="1017"/>
      <c r="D25" s="1017"/>
      <c r="E25" s="1017"/>
      <c r="F25" s="1017"/>
      <c r="G25" s="1017"/>
      <c r="H25" s="1017"/>
      <c r="I25" s="1017"/>
      <c r="J25" s="1017"/>
    </row>
    <row r="26" spans="1:11" s="11" customFormat="1" ht="36" customHeight="1">
      <c r="A26" s="54">
        <v>14</v>
      </c>
      <c r="B26" s="1217"/>
      <c r="C26" s="1097"/>
      <c r="D26" s="1097"/>
      <c r="E26" s="1097"/>
      <c r="F26" s="1097"/>
      <c r="G26" s="1097"/>
      <c r="H26" s="1097"/>
      <c r="I26" s="1097"/>
      <c r="J26" s="1097"/>
      <c r="K26" s="22">
        <f>IF(AND(G24="YES",B26=""),"NO RESPONSE","")</f>
      </c>
    </row>
    <row r="27" spans="1:11" ht="19.5" customHeight="1">
      <c r="A27" s="1013" t="s">
        <v>386</v>
      </c>
      <c r="B27" s="1017"/>
      <c r="C27" s="1017"/>
      <c r="D27" s="1017"/>
      <c r="E27" s="1017"/>
      <c r="F27" s="1017"/>
      <c r="G27" s="1017"/>
      <c r="H27" s="1017"/>
      <c r="I27" s="1017"/>
      <c r="J27" s="1017"/>
      <c r="K27" s="8"/>
    </row>
    <row r="28" spans="1:11" ht="41.25" customHeight="1" thickBot="1">
      <c r="A28" s="174">
        <v>15</v>
      </c>
      <c r="B28" s="1219"/>
      <c r="C28" s="1105"/>
      <c r="D28" s="1105"/>
      <c r="E28" s="1105"/>
      <c r="F28" s="1105"/>
      <c r="G28" s="1105"/>
      <c r="H28" s="1105"/>
      <c r="I28" s="1105"/>
      <c r="J28" s="1105"/>
      <c r="K28" s="22" t="str">
        <f>IF(B28="","NO RESPONSE","")</f>
        <v>NO RESPONSE</v>
      </c>
    </row>
    <row r="29" spans="1:11" ht="19.5" customHeight="1" thickTop="1">
      <c r="A29" s="79"/>
      <c r="B29" s="79"/>
      <c r="C29" s="1343" t="s">
        <v>124</v>
      </c>
      <c r="D29" s="1343"/>
      <c r="E29" s="1343"/>
      <c r="F29" s="1343"/>
      <c r="G29" s="79"/>
      <c r="H29" s="79"/>
      <c r="I29" s="79"/>
      <c r="J29" s="79"/>
      <c r="K29" s="24"/>
    </row>
    <row r="30" spans="1:11" ht="155.25" customHeight="1">
      <c r="A30" s="1354" t="s">
        <v>682</v>
      </c>
      <c r="B30" s="1354"/>
      <c r="C30" s="1354"/>
      <c r="D30" s="1354"/>
      <c r="E30" s="1354"/>
      <c r="F30" s="1354"/>
      <c r="G30" s="1354"/>
      <c r="H30" s="1354"/>
      <c r="I30" s="1354"/>
      <c r="J30" s="1354"/>
      <c r="K30" s="8"/>
    </row>
    <row r="31" spans="1:11" ht="34.5" customHeight="1">
      <c r="A31" s="1333" t="s">
        <v>412</v>
      </c>
      <c r="B31" s="1334"/>
      <c r="C31" s="1334"/>
      <c r="D31" s="1335"/>
      <c r="E31" s="1355" t="s">
        <v>409</v>
      </c>
      <c r="F31" s="1355"/>
      <c r="G31" s="1355"/>
      <c r="H31" s="1085" t="s">
        <v>410</v>
      </c>
      <c r="I31" s="1113"/>
      <c r="J31" s="1113"/>
      <c r="K31" s="8"/>
    </row>
    <row r="32" spans="1:11" ht="12.75">
      <c r="A32" s="54">
        <v>16</v>
      </c>
      <c r="B32" s="1217"/>
      <c r="C32" s="1097"/>
      <c r="D32" s="1218"/>
      <c r="E32" s="1326"/>
      <c r="F32" s="1327"/>
      <c r="G32" s="1328"/>
      <c r="H32" s="1321"/>
      <c r="I32" s="1322"/>
      <c r="J32" s="1322"/>
      <c r="K32" s="22" t="str">
        <f>IF(OR(B32="",E32="",H32=""),"NO RESPONSE","")</f>
        <v>NO RESPONSE</v>
      </c>
    </row>
    <row r="33" spans="1:11" ht="12.75" customHeight="1">
      <c r="A33" s="54">
        <v>17</v>
      </c>
      <c r="B33" s="1217"/>
      <c r="C33" s="1097"/>
      <c r="D33" s="1218"/>
      <c r="E33" s="1326"/>
      <c r="F33" s="1327"/>
      <c r="G33" s="1328"/>
      <c r="H33" s="1321"/>
      <c r="I33" s="1322"/>
      <c r="J33" s="1322"/>
      <c r="K33" s="8"/>
    </row>
    <row r="34" spans="1:11" ht="12.75" customHeight="1">
      <c r="A34" s="54">
        <v>18</v>
      </c>
      <c r="B34" s="1217"/>
      <c r="C34" s="1097"/>
      <c r="D34" s="1218"/>
      <c r="E34" s="1326"/>
      <c r="F34" s="1327"/>
      <c r="G34" s="1328"/>
      <c r="H34" s="1321"/>
      <c r="I34" s="1322"/>
      <c r="J34" s="1322"/>
      <c r="K34" s="8"/>
    </row>
    <row r="35" spans="1:11" ht="12.75">
      <c r="A35" s="54">
        <v>19</v>
      </c>
      <c r="B35" s="1217"/>
      <c r="C35" s="1097"/>
      <c r="D35" s="1218"/>
      <c r="E35" s="1326"/>
      <c r="F35" s="1327"/>
      <c r="G35" s="1328"/>
      <c r="H35" s="1321"/>
      <c r="I35" s="1322"/>
      <c r="J35" s="1322"/>
      <c r="K35" s="8"/>
    </row>
    <row r="36" spans="1:11" ht="13.5" thickBot="1">
      <c r="A36" s="55">
        <v>20</v>
      </c>
      <c r="B36" s="1330"/>
      <c r="C36" s="1331"/>
      <c r="D36" s="1332"/>
      <c r="E36" s="1323"/>
      <c r="F36" s="1324"/>
      <c r="G36" s="1325"/>
      <c r="H36" s="1346"/>
      <c r="I36" s="1347"/>
      <c r="J36" s="1347"/>
      <c r="K36" s="8"/>
    </row>
    <row r="37" spans="1:10" ht="18" customHeight="1" thickBot="1">
      <c r="A37" s="365">
        <v>21</v>
      </c>
      <c r="B37" s="611" t="s">
        <v>125</v>
      </c>
      <c r="C37" s="52"/>
      <c r="D37" s="52"/>
      <c r="E37" s="52"/>
      <c r="F37" s="52"/>
      <c r="G37" s="52"/>
      <c r="H37" s="1341">
        <f>SUM(H32:J36)</f>
        <v>0</v>
      </c>
      <c r="I37" s="1342"/>
      <c r="J37" s="1342"/>
    </row>
    <row r="38" spans="11:12" ht="10.5" thickBot="1" thickTop="1">
      <c r="K38" s="317">
        <f>COUNTIF(K24:K32,"NO RESPONSE")+IF(H17=0,1,0)</f>
        <v>4</v>
      </c>
      <c r="L38" s="8" t="str">
        <f>IF(K38&gt;0,"Responses/Choice Counts Missing","")</f>
        <v>Responses/Choice Counts Missing</v>
      </c>
    </row>
    <row r="43" spans="14:18" ht="9.75">
      <c r="N43" s="8" t="s">
        <v>113</v>
      </c>
      <c r="R43" s="213">
        <f aca="true" t="shared" si="3" ref="R43:R48">COUNTIF($E$32:$E$36,N43)</f>
        <v>0</v>
      </c>
    </row>
    <row r="44" spans="14:18" ht="9.75">
      <c r="N44" s="8" t="s">
        <v>114</v>
      </c>
      <c r="R44" s="213">
        <f t="shared" si="3"/>
        <v>0</v>
      </c>
    </row>
    <row r="45" spans="14:18" ht="9.75">
      <c r="N45" s="8" t="s">
        <v>115</v>
      </c>
      <c r="R45" s="213">
        <f t="shared" si="3"/>
        <v>0</v>
      </c>
    </row>
    <row r="46" spans="14:18" ht="9.75">
      <c r="N46" s="8" t="s">
        <v>116</v>
      </c>
      <c r="R46" s="213">
        <f t="shared" si="3"/>
        <v>0</v>
      </c>
    </row>
    <row r="47" spans="14:18" ht="9.75">
      <c r="N47" s="8" t="s">
        <v>117</v>
      </c>
      <c r="R47" s="213">
        <f t="shared" si="3"/>
        <v>0</v>
      </c>
    </row>
    <row r="48" spans="14:18" ht="9.75">
      <c r="N48" s="8" t="s">
        <v>118</v>
      </c>
      <c r="R48" s="213">
        <f t="shared" si="3"/>
        <v>0</v>
      </c>
    </row>
  </sheetData>
  <sheetProtection password="EBD1" sheet="1"/>
  <mergeCells count="43">
    <mergeCell ref="F20:G20"/>
    <mergeCell ref="A30:J30"/>
    <mergeCell ref="E31:G31"/>
    <mergeCell ref="H32:J32"/>
    <mergeCell ref="H22:I22"/>
    <mergeCell ref="A27:J27"/>
    <mergeCell ref="H31:J31"/>
    <mergeCell ref="A1:J1"/>
    <mergeCell ref="C5:G5"/>
    <mergeCell ref="A2:J2"/>
    <mergeCell ref="A3:J3"/>
    <mergeCell ref="A25:J25"/>
    <mergeCell ref="E6:J6"/>
    <mergeCell ref="B20:D20"/>
    <mergeCell ref="C23:G23"/>
    <mergeCell ref="C6:D6"/>
    <mergeCell ref="A4:J4"/>
    <mergeCell ref="H37:J37"/>
    <mergeCell ref="C29:F29"/>
    <mergeCell ref="E33:G33"/>
    <mergeCell ref="B32:D32"/>
    <mergeCell ref="E32:G32"/>
    <mergeCell ref="F21:G21"/>
    <mergeCell ref="F22:G22"/>
    <mergeCell ref="H21:I21"/>
    <mergeCell ref="H36:J36"/>
    <mergeCell ref="B26:J26"/>
    <mergeCell ref="L7:L8"/>
    <mergeCell ref="B36:D36"/>
    <mergeCell ref="E35:G35"/>
    <mergeCell ref="H34:J34"/>
    <mergeCell ref="B28:J28"/>
    <mergeCell ref="A31:D31"/>
    <mergeCell ref="B33:D33"/>
    <mergeCell ref="A6:A8"/>
    <mergeCell ref="H20:I20"/>
    <mergeCell ref="C19:G19"/>
    <mergeCell ref="H33:J33"/>
    <mergeCell ref="E36:G36"/>
    <mergeCell ref="B35:D35"/>
    <mergeCell ref="B34:D34"/>
    <mergeCell ref="E34:G34"/>
    <mergeCell ref="H35:J35"/>
  </mergeCells>
  <conditionalFormatting sqref="L9:L16">
    <cfRule type="cellIs" priority="1" dxfId="0" operator="equal" stopIfTrue="1">
      <formula>"ERROR"</formula>
    </cfRule>
  </conditionalFormatting>
  <dataValidations count="2">
    <dataValidation type="list" allowBlank="1" showInputMessage="1" showErrorMessage="1" sqref="E32:G36">
      <formula1>$N$43:$N$48</formula1>
    </dataValidation>
    <dataValidation type="list" allowBlank="1" showInputMessage="1" showErrorMessage="1" sqref="G24">
      <formula1>"Yes,No"</formula1>
    </dataValidation>
  </dataValidations>
  <printOptions horizontalCentered="1" verticalCentered="1"/>
  <pageMargins left="0.39" right="0.35" top="0.6" bottom="0.39" header="0.39" footer="0.27"/>
  <pageSetup firstPageNumber="1" useFirstPageNumber="1" fitToHeight="1" fitToWidth="1" horizontalDpi="600" verticalDpi="600" orientation="portrait" scale="91" r:id="rId2"/>
  <headerFooter alignWithMargins="0">
    <oddHeader>&amp;LPI-PCP-14&amp;RPage 26</oddHeader>
  </headerFooter>
  <drawing r:id="rId1"/>
</worksheet>
</file>

<file path=xl/worksheets/sheet32.xml><?xml version="1.0" encoding="utf-8"?>
<worksheet xmlns="http://schemas.openxmlformats.org/spreadsheetml/2006/main" xmlns:r="http://schemas.openxmlformats.org/officeDocument/2006/relationships">
  <sheetPr>
    <tabColor rgb="FFFFFF00"/>
    <pageSetUpPr fitToPage="1"/>
  </sheetPr>
  <dimension ref="A1:I31"/>
  <sheetViews>
    <sheetView showGridLines="0" showOutlineSymbols="0" workbookViewId="0" topLeftCell="A1">
      <pane ySplit="7" topLeftCell="A8" activePane="bottomLeft" state="frozen"/>
      <selection pane="topLeft" activeCell="B11" sqref="B11"/>
      <selection pane="bottomLeft" activeCell="B12" sqref="B12:C12"/>
    </sheetView>
  </sheetViews>
  <sheetFormatPr defaultColWidth="9.140625" defaultRowHeight="12.75"/>
  <cols>
    <col min="1" max="1" width="3.140625" style="20" customWidth="1"/>
    <col min="2" max="2" width="12.421875" style="8" customWidth="1"/>
    <col min="3" max="3" width="17.421875" style="8" customWidth="1"/>
    <col min="4" max="4" width="12.00390625" style="8" customWidth="1"/>
    <col min="5" max="5" width="12.57421875" style="8" customWidth="1"/>
    <col min="6" max="6" width="12.00390625" style="8" customWidth="1"/>
    <col min="7" max="7" width="63.57421875" style="8" customWidth="1"/>
    <col min="8" max="16384" width="9.140625" style="8" customWidth="1"/>
  </cols>
  <sheetData>
    <row r="1" spans="1:7" ht="12.75" customHeight="1">
      <c r="A1" s="1035">
        <f>'Cover Page'!A9</f>
        <v>0</v>
      </c>
      <c r="B1" s="1035"/>
      <c r="C1" s="1035"/>
      <c r="D1" s="1035"/>
      <c r="E1" s="1035"/>
      <c r="F1" s="1035"/>
      <c r="G1" s="1035"/>
    </row>
    <row r="2" spans="1:7" ht="10.5">
      <c r="A2" s="1036" t="s">
        <v>354</v>
      </c>
      <c r="B2" s="1036"/>
      <c r="C2" s="1036"/>
      <c r="D2" s="1036"/>
      <c r="E2" s="1036"/>
      <c r="F2" s="1036"/>
      <c r="G2" s="1036"/>
    </row>
    <row r="3" spans="1:7" ht="10.5" thickBot="1">
      <c r="A3" s="1109" t="str">
        <f>'Required Attachments'!A3</f>
        <v>Budget for the period from July 1, 2022 to June 30, 2023</v>
      </c>
      <c r="B3" s="1109"/>
      <c r="C3" s="1109"/>
      <c r="D3" s="1109"/>
      <c r="E3" s="1109"/>
      <c r="F3" s="1109"/>
      <c r="G3" s="1109"/>
    </row>
    <row r="4" spans="1:7" ht="41.25" customHeight="1" thickBot="1" thickTop="1">
      <c r="A4" s="1187" t="s">
        <v>553</v>
      </c>
      <c r="B4" s="1187"/>
      <c r="C4" s="1187"/>
      <c r="D4" s="1187"/>
      <c r="E4" s="1187"/>
      <c r="F4" s="1187"/>
      <c r="G4" s="1187"/>
    </row>
    <row r="5" spans="1:7" ht="15" customHeight="1" thickTop="1">
      <c r="A5" s="364"/>
      <c r="B5" s="446"/>
      <c r="C5" s="193"/>
      <c r="D5" s="1041" t="s">
        <v>345</v>
      </c>
      <c r="E5" s="1041"/>
      <c r="F5" s="1041"/>
      <c r="G5" s="194"/>
    </row>
    <row r="6" spans="1:8" ht="12.75" customHeight="1">
      <c r="A6" s="1336" t="s">
        <v>5</v>
      </c>
      <c r="B6" s="1372" t="s">
        <v>6</v>
      </c>
      <c r="C6" s="1372"/>
      <c r="D6" s="188" t="s">
        <v>7</v>
      </c>
      <c r="E6" s="188" t="s">
        <v>8</v>
      </c>
      <c r="F6" s="191" t="s">
        <v>9</v>
      </c>
      <c r="G6" s="191" t="s">
        <v>10</v>
      </c>
      <c r="H6" s="10"/>
    </row>
    <row r="7" spans="1:8" s="11" customFormat="1" ht="15" customHeight="1">
      <c r="A7" s="1338"/>
      <c r="B7" s="1318" t="s">
        <v>103</v>
      </c>
      <c r="C7" s="1318"/>
      <c r="D7" s="62" t="s">
        <v>108</v>
      </c>
      <c r="E7" s="62" t="s">
        <v>109</v>
      </c>
      <c r="F7" s="17" t="s">
        <v>72</v>
      </c>
      <c r="G7" s="190" t="s">
        <v>776</v>
      </c>
      <c r="H7" s="146"/>
    </row>
    <row r="8" spans="1:8" ht="24" customHeight="1">
      <c r="A8" s="54">
        <v>1</v>
      </c>
      <c r="B8" s="1361" t="s">
        <v>300</v>
      </c>
      <c r="C8" s="1361"/>
      <c r="D8" s="697">
        <f>E8</f>
        <v>0</v>
      </c>
      <c r="E8" s="434">
        <f>'SCH 3-1 Expenses'!D28</f>
        <v>0</v>
      </c>
      <c r="F8" s="432">
        <f>D8-E8</f>
        <v>0</v>
      </c>
      <c r="G8" s="1368"/>
      <c r="H8" s="10"/>
    </row>
    <row r="9" spans="1:8" ht="24" customHeight="1">
      <c r="A9" s="54">
        <v>2</v>
      </c>
      <c r="B9" s="1366" t="s">
        <v>301</v>
      </c>
      <c r="C9" s="1367"/>
      <c r="D9" s="697">
        <f>E9</f>
        <v>0</v>
      </c>
      <c r="E9" s="434">
        <f>'SCH 3-1 Expenses'!F28+'SCH 3-1 Expenses'!G28</f>
        <v>0</v>
      </c>
      <c r="F9" s="432">
        <f>D9-E9</f>
        <v>0</v>
      </c>
      <c r="G9" s="1369"/>
      <c r="H9" s="27" t="str">
        <f>IF(OR(F8&lt;&gt;0,F9&lt;&gt;0,F10&lt;&gt;0),IF(G8="","ERROR","OK"),"OK")</f>
        <v>OK</v>
      </c>
    </row>
    <row r="10" spans="1:8" ht="24" customHeight="1">
      <c r="A10" s="54">
        <v>3</v>
      </c>
      <c r="B10" s="1366" t="s">
        <v>302</v>
      </c>
      <c r="C10" s="1367"/>
      <c r="D10" s="697">
        <f aca="true" t="shared" si="0" ref="D10:D15">E10</f>
        <v>0</v>
      </c>
      <c r="E10" s="434">
        <f>'SCH 3-1 Expenses'!H28</f>
        <v>0</v>
      </c>
      <c r="F10" s="432">
        <f aca="true" t="shared" si="1" ref="F10:F15">D10-E10</f>
        <v>0</v>
      </c>
      <c r="G10" s="1371"/>
      <c r="H10" s="27"/>
    </row>
    <row r="11" spans="1:8" ht="24" customHeight="1">
      <c r="A11" s="54">
        <v>4</v>
      </c>
      <c r="B11" s="1361" t="s">
        <v>303</v>
      </c>
      <c r="C11" s="1361"/>
      <c r="D11" s="697">
        <f t="shared" si="0"/>
        <v>0</v>
      </c>
      <c r="E11" s="434">
        <f>'SCH 3-2 Expenses'!C28+'SCH 3-2 Expenses'!D28</f>
        <v>0</v>
      </c>
      <c r="F11" s="432">
        <f t="shared" si="1"/>
        <v>0</v>
      </c>
      <c r="G11" s="143"/>
      <c r="H11" s="27" t="str">
        <f>IF(F11=0,"OK",IF(G11="","ERROR","OK"))</f>
        <v>OK</v>
      </c>
    </row>
    <row r="12" spans="1:8" ht="24" customHeight="1">
      <c r="A12" s="54">
        <v>5</v>
      </c>
      <c r="B12" s="1361" t="s">
        <v>304</v>
      </c>
      <c r="C12" s="1361"/>
      <c r="D12" s="697">
        <f t="shared" si="0"/>
        <v>0</v>
      </c>
      <c r="E12" s="434">
        <f>'SCH 3-2 Expenses'!E28+'SCH 3-2 Expenses'!C19</f>
        <v>0</v>
      </c>
      <c r="F12" s="432">
        <f t="shared" si="1"/>
        <v>0</v>
      </c>
      <c r="G12" s="143"/>
      <c r="H12" s="27" t="str">
        <f>IF(F12=0,"OK",IF(G12="","ERROR","OK"))</f>
        <v>OK</v>
      </c>
    </row>
    <row r="13" spans="1:8" ht="24" customHeight="1">
      <c r="A13" s="54">
        <v>6</v>
      </c>
      <c r="B13" s="1361" t="s">
        <v>428</v>
      </c>
      <c r="C13" s="1361"/>
      <c r="D13" s="697">
        <f t="shared" si="0"/>
        <v>0</v>
      </c>
      <c r="E13" s="434">
        <f>'SCH 3-2 Expenses'!F28</f>
        <v>0</v>
      </c>
      <c r="F13" s="432">
        <f t="shared" si="1"/>
        <v>0</v>
      </c>
      <c r="G13" s="143"/>
      <c r="H13" s="27" t="str">
        <f>IF(F13=0,"OK",IF(G13="","ERROR","OK"))</f>
        <v>OK</v>
      </c>
    </row>
    <row r="14" spans="1:8" ht="24" customHeight="1">
      <c r="A14" s="54">
        <v>7</v>
      </c>
      <c r="B14" s="1361" t="s">
        <v>353</v>
      </c>
      <c r="C14" s="1361"/>
      <c r="D14" s="697">
        <f t="shared" si="0"/>
        <v>0</v>
      </c>
      <c r="E14" s="434">
        <f>SUM('SCH 3-3 Expenses'!C27:E27)</f>
        <v>0</v>
      </c>
      <c r="F14" s="432">
        <f t="shared" si="1"/>
        <v>0</v>
      </c>
      <c r="G14" s="143"/>
      <c r="H14" s="27" t="str">
        <f>IF(F14=0,"OK",IF(G14="","ERROR","OK"))</f>
        <v>OK</v>
      </c>
    </row>
    <row r="15" spans="1:8" ht="24" customHeight="1" thickBot="1">
      <c r="A15" s="126">
        <v>8</v>
      </c>
      <c r="B15" s="1362" t="s">
        <v>792</v>
      </c>
      <c r="C15" s="1363"/>
      <c r="D15" s="697">
        <f t="shared" si="0"/>
        <v>0</v>
      </c>
      <c r="E15" s="785">
        <f>'SCH 5-1 Fixed Assets'!E13+SUM('SCH 5-3 Leases'!E7:E14)</f>
        <v>0</v>
      </c>
      <c r="F15" s="432">
        <f t="shared" si="1"/>
        <v>0</v>
      </c>
      <c r="G15" s="358"/>
      <c r="H15" s="27" t="str">
        <f>IF(F15=0,"OK",IF(G15="","ERROR","OK"))</f>
        <v>OK</v>
      </c>
    </row>
    <row r="16" spans="1:8" ht="13.5" thickBot="1">
      <c r="A16" s="170">
        <v>9</v>
      </c>
      <c r="B16" s="1359" t="s">
        <v>104</v>
      </c>
      <c r="C16" s="1360"/>
      <c r="D16" s="786">
        <f>SUM(D8:D15)</f>
        <v>0</v>
      </c>
      <c r="E16" s="786">
        <f>SUM(E8:E15)</f>
        <v>0</v>
      </c>
      <c r="F16" s="786">
        <f>SUM(F8:F15)</f>
        <v>0</v>
      </c>
      <c r="G16" s="359"/>
      <c r="H16" s="27"/>
    </row>
    <row r="17" spans="1:8" ht="11.25">
      <c r="A17" s="364"/>
      <c r="B17" s="446"/>
      <c r="C17" s="193"/>
      <c r="D17" s="1031" t="s">
        <v>342</v>
      </c>
      <c r="E17" s="1031"/>
      <c r="F17" s="1031"/>
      <c r="G17" s="194"/>
      <c r="H17" s="80"/>
    </row>
    <row r="18" spans="1:8" ht="15.75" customHeight="1">
      <c r="A18" s="54">
        <v>10</v>
      </c>
      <c r="B18" s="1366" t="s">
        <v>478</v>
      </c>
      <c r="C18" s="1367"/>
      <c r="D18" s="487">
        <f>(SUM('SCH 12-1 Low Budget'!H9:H15)*Choice_K8_Pmt)+('SCH 12-1 Low Budget'!H16*Choice_912_Pmt)+('SCH 12-1 Low Budget'!E21*PY_Choice_K8_Pmt*0.05)+('SCH 12-1 Low Budget'!E22*PY_Choice_912_Pmt*0.05)</f>
        <v>0</v>
      </c>
      <c r="E18" s="434">
        <f>'SCH 8-2 Jan - Jun Cash Flows'!J6</f>
        <v>0</v>
      </c>
      <c r="F18" s="432">
        <f aca="true" t="shared" si="2" ref="F18:F24">D18-E18</f>
        <v>0</v>
      </c>
      <c r="G18" s="516"/>
      <c r="H18" s="80"/>
    </row>
    <row r="19" spans="1:8" ht="15.75" customHeight="1">
      <c r="A19" s="54">
        <v>11</v>
      </c>
      <c r="B19" s="116" t="s">
        <v>479</v>
      </c>
      <c r="C19" s="254"/>
      <c r="D19" s="703">
        <f>('SCH 12-1 Low Budget'!E18*SNSP_Pmt)+(SUM('SCH 12-1 Low Budget'!F21:F22)*PY_SNSP_Pmt*0.05)+('SCH 12-1 Low Budget'!H21*PY_Choice_K8_Pmt*0.05)+('SCH 12-1 Low Budget'!H22*PY_Choice_912_Pmt*0.05)</f>
        <v>0</v>
      </c>
      <c r="E19" s="434">
        <f>'SCH 8-2 Jan - Jun Cash Flows'!J7</f>
        <v>0</v>
      </c>
      <c r="F19" s="432">
        <f t="shared" si="2"/>
        <v>0</v>
      </c>
      <c r="G19" s="143"/>
      <c r="H19" s="27" t="str">
        <f aca="true" t="shared" si="3" ref="H19:H24">IF(F19=0,"OK",IF(G19="","ERROR","OK"))</f>
        <v>OK</v>
      </c>
    </row>
    <row r="20" spans="1:8" ht="24" customHeight="1">
      <c r="A20" s="54">
        <v>12</v>
      </c>
      <c r="B20" s="1366" t="s">
        <v>298</v>
      </c>
      <c r="C20" s="1367"/>
      <c r="D20" s="697"/>
      <c r="E20" s="434">
        <f>'SCH 4-1 Revenue'!C27</f>
        <v>0</v>
      </c>
      <c r="F20" s="432">
        <f t="shared" si="2"/>
        <v>0</v>
      </c>
      <c r="G20" s="143"/>
      <c r="H20" s="27" t="str">
        <f t="shared" si="3"/>
        <v>OK</v>
      </c>
    </row>
    <row r="21" spans="1:8" ht="24" customHeight="1">
      <c r="A21" s="54">
        <v>13</v>
      </c>
      <c r="B21" s="116" t="s">
        <v>299</v>
      </c>
      <c r="C21" s="254"/>
      <c r="D21" s="697"/>
      <c r="E21" s="434">
        <f>'SCH 4-1 Revenue'!D27</f>
        <v>0</v>
      </c>
      <c r="F21" s="432">
        <f t="shared" si="2"/>
        <v>0</v>
      </c>
      <c r="G21" s="143"/>
      <c r="H21" s="27" t="str">
        <f t="shared" si="3"/>
        <v>OK</v>
      </c>
    </row>
    <row r="22" spans="1:8" ht="24" customHeight="1">
      <c r="A22" s="54">
        <v>14</v>
      </c>
      <c r="B22" s="1366" t="s">
        <v>341</v>
      </c>
      <c r="C22" s="1367"/>
      <c r="D22" s="697">
        <f>E22</f>
        <v>0</v>
      </c>
      <c r="E22" s="434">
        <f>'SCH 4-2 Revenue'!D31+'SCH 4-2 Revenue'!E31</f>
        <v>0</v>
      </c>
      <c r="F22" s="432">
        <f t="shared" si="2"/>
        <v>0</v>
      </c>
      <c r="G22" s="143"/>
      <c r="H22" s="27" t="str">
        <f t="shared" si="3"/>
        <v>OK</v>
      </c>
    </row>
    <row r="23" spans="1:8" ht="24" customHeight="1">
      <c r="A23" s="54">
        <v>15</v>
      </c>
      <c r="B23" s="1366" t="s">
        <v>769</v>
      </c>
      <c r="C23" s="1367"/>
      <c r="D23" s="697">
        <f>E23</f>
        <v>0</v>
      </c>
      <c r="E23" s="434">
        <f>SUM('SCH 4-3 Revenue'!C25:E25)</f>
        <v>0</v>
      </c>
      <c r="F23" s="432">
        <f t="shared" si="2"/>
        <v>0</v>
      </c>
      <c r="G23" s="143"/>
      <c r="H23" s="27" t="str">
        <f t="shared" si="3"/>
        <v>OK</v>
      </c>
    </row>
    <row r="24" spans="1:8" ht="24" customHeight="1" thickBot="1">
      <c r="A24" s="54">
        <v>16</v>
      </c>
      <c r="B24" s="1364" t="s">
        <v>273</v>
      </c>
      <c r="C24" s="1365"/>
      <c r="D24" s="787">
        <f>E24</f>
        <v>0</v>
      </c>
      <c r="E24" s="435">
        <f>'SCH 4-4 Revenue'!H16</f>
        <v>0</v>
      </c>
      <c r="F24" s="432">
        <f t="shared" si="2"/>
        <v>0</v>
      </c>
      <c r="G24" s="143"/>
      <c r="H24" s="27" t="str">
        <f t="shared" si="3"/>
        <v>OK</v>
      </c>
    </row>
    <row r="25" spans="1:8" ht="13.5" thickBot="1">
      <c r="A25" s="170">
        <v>17</v>
      </c>
      <c r="B25" s="1359" t="s">
        <v>105</v>
      </c>
      <c r="C25" s="1360"/>
      <c r="D25" s="786">
        <f>SUM(D18:D24)</f>
        <v>0</v>
      </c>
      <c r="E25" s="786">
        <f>SUM(E18:E24)</f>
        <v>0</v>
      </c>
      <c r="F25" s="786">
        <f>SUM(F18:F24)</f>
        <v>0</v>
      </c>
      <c r="G25" s="359"/>
      <c r="H25" s="80"/>
    </row>
    <row r="26" spans="1:8" ht="11.25">
      <c r="A26" s="364"/>
      <c r="B26" s="446"/>
      <c r="C26" s="193"/>
      <c r="D26" s="1031" t="s">
        <v>343</v>
      </c>
      <c r="E26" s="1031"/>
      <c r="F26" s="1031"/>
      <c r="G26" s="194"/>
      <c r="H26" s="80"/>
    </row>
    <row r="27" spans="1:8" ht="19.5" customHeight="1">
      <c r="A27" s="54">
        <v>18</v>
      </c>
      <c r="B27" s="1366" t="s">
        <v>778</v>
      </c>
      <c r="C27" s="1367"/>
      <c r="D27" s="697">
        <f>E27</f>
        <v>0</v>
      </c>
      <c r="E27" s="434">
        <f>'SCH 6 Debt'!E21</f>
        <v>0</v>
      </c>
      <c r="F27" s="432">
        <f>D27-E27</f>
        <v>0</v>
      </c>
      <c r="G27" s="1368"/>
      <c r="H27" s="27"/>
    </row>
    <row r="28" spans="1:8" ht="19.5" customHeight="1">
      <c r="A28" s="54">
        <v>19</v>
      </c>
      <c r="B28" s="116" t="s">
        <v>779</v>
      </c>
      <c r="C28" s="254"/>
      <c r="D28" s="697">
        <f>E28</f>
        <v>0</v>
      </c>
      <c r="E28" s="434">
        <f>'SCH 6 Debt'!F21</f>
        <v>0</v>
      </c>
      <c r="F28" s="432">
        <f>D28-E28</f>
        <v>0</v>
      </c>
      <c r="G28" s="1369"/>
      <c r="H28" s="27" t="str">
        <f>IF(OR(F27&lt;&gt;0,F28&lt;&gt;0,F29&lt;&gt;0),IF(G27="","ERROR","OK"),"OK")</f>
        <v>OK</v>
      </c>
    </row>
    <row r="29" spans="1:8" ht="19.5" customHeight="1" thickBot="1">
      <c r="A29" s="55">
        <v>20</v>
      </c>
      <c r="B29" s="1364" t="s">
        <v>777</v>
      </c>
      <c r="C29" s="1365"/>
      <c r="D29" s="787">
        <f>E29</f>
        <v>0</v>
      </c>
      <c r="E29" s="435">
        <f>'SCH 6 Debt'!E30</f>
        <v>0</v>
      </c>
      <c r="F29" s="436">
        <f>D29-E29</f>
        <v>0</v>
      </c>
      <c r="G29" s="1370"/>
      <c r="H29" s="10"/>
    </row>
    <row r="30" spans="1:7" ht="13.5" thickBot="1">
      <c r="A30" s="76">
        <v>21</v>
      </c>
      <c r="B30" s="1357" t="s">
        <v>554</v>
      </c>
      <c r="C30" s="1358"/>
      <c r="D30" s="788">
        <f>D27-D28-D29</f>
        <v>0</v>
      </c>
      <c r="E30" s="788">
        <f>E27-E28-E29</f>
        <v>0</v>
      </c>
      <c r="F30" s="788">
        <f>F27-F28-F29</f>
        <v>0</v>
      </c>
      <c r="G30" s="376"/>
    </row>
    <row r="31" spans="1:9" ht="16.5" customHeight="1" thickBot="1">
      <c r="A31" s="365">
        <v>22</v>
      </c>
      <c r="B31" s="346" t="s">
        <v>344</v>
      </c>
      <c r="C31" s="52"/>
      <c r="D31" s="266">
        <f>D25-D16+D30</f>
        <v>0</v>
      </c>
      <c r="E31" s="266">
        <f>E25-E16+E30</f>
        <v>0</v>
      </c>
      <c r="F31" s="266">
        <f>F25-F16+F30</f>
        <v>0</v>
      </c>
      <c r="G31" s="447"/>
      <c r="H31" s="317">
        <f>COUNTIF(H8:H28,"ERROR")</f>
        <v>0</v>
      </c>
      <c r="I31" s="8">
        <f>IF(H31&gt;0,"EXPLANATIONS STILL NEEDED","")</f>
      </c>
    </row>
    <row r="32" ht="10.5" thickTop="1"/>
  </sheetData>
  <sheetProtection password="EBD1" sheet="1"/>
  <mergeCells count="30">
    <mergeCell ref="D17:F17"/>
    <mergeCell ref="B22:C22"/>
    <mergeCell ref="B23:C23"/>
    <mergeCell ref="B6:C6"/>
    <mergeCell ref="A6:A7"/>
    <mergeCell ref="B7:C7"/>
    <mergeCell ref="B9:C9"/>
    <mergeCell ref="B10:C10"/>
    <mergeCell ref="B11:C11"/>
    <mergeCell ref="B12:C12"/>
    <mergeCell ref="B24:C24"/>
    <mergeCell ref="B25:C25"/>
    <mergeCell ref="B18:C18"/>
    <mergeCell ref="B20:C20"/>
    <mergeCell ref="G27:G29"/>
    <mergeCell ref="G8:G10"/>
    <mergeCell ref="D26:F26"/>
    <mergeCell ref="B27:C27"/>
    <mergeCell ref="B29:C29"/>
    <mergeCell ref="B8:C8"/>
    <mergeCell ref="A1:G1"/>
    <mergeCell ref="A2:G2"/>
    <mergeCell ref="A3:G3"/>
    <mergeCell ref="A4:G4"/>
    <mergeCell ref="D5:F5"/>
    <mergeCell ref="B30:C30"/>
    <mergeCell ref="B16:C16"/>
    <mergeCell ref="B13:C13"/>
    <mergeCell ref="B14:C14"/>
    <mergeCell ref="B15:C15"/>
  </mergeCells>
  <conditionalFormatting sqref="H9:H18 H20:H28">
    <cfRule type="containsText" priority="2" dxfId="0" operator="containsText" stopIfTrue="1" text="ERROR">
      <formula>NOT(ISERROR(SEARCH("ERROR",H9)))</formula>
    </cfRule>
  </conditionalFormatting>
  <conditionalFormatting sqref="H19">
    <cfRule type="containsText" priority="1" dxfId="0" operator="containsText" stopIfTrue="1" text="ERROR">
      <formula>NOT(ISERROR(SEARCH("ERROR",H19)))</formula>
    </cfRule>
  </conditionalFormatting>
  <printOptions horizontalCentered="1" verticalCentered="1"/>
  <pageMargins left="0.39" right="0.35" top="0.52" bottom="0.31" header="0.28" footer="0.2"/>
  <pageSetup firstPageNumber="1" useFirstPageNumber="1" fitToHeight="1" fitToWidth="1" horizontalDpi="600" verticalDpi="600" orientation="landscape" scale="96" r:id="rId2"/>
  <headerFooter alignWithMargins="0">
    <oddHeader>&amp;LPage 27&amp;RPI-PCP-14</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D22"/>
  <sheetViews>
    <sheetView showGridLines="0" zoomScalePageLayoutView="0" workbookViewId="0" topLeftCell="A1">
      <selection activeCell="A19" sqref="A19"/>
    </sheetView>
  </sheetViews>
  <sheetFormatPr defaultColWidth="8.8515625" defaultRowHeight="12.75"/>
  <cols>
    <col min="1" max="1" width="87.57421875" style="971" customWidth="1"/>
    <col min="2" max="2" width="8.8515625" style="969" customWidth="1"/>
    <col min="3" max="16384" width="8.8515625" style="969" customWidth="1"/>
  </cols>
  <sheetData>
    <row r="1" spans="1:4" ht="12.75">
      <c r="A1" s="975" t="s">
        <v>785</v>
      </c>
      <c r="B1" s="974"/>
      <c r="C1" s="974"/>
      <c r="D1" s="974"/>
    </row>
    <row r="2" ht="78.75" customHeight="1">
      <c r="A2" s="970" t="s">
        <v>802</v>
      </c>
    </row>
    <row r="3" ht="9" customHeight="1">
      <c r="A3" s="970"/>
    </row>
    <row r="4" ht="33.75" customHeight="1">
      <c r="A4" s="970" t="s">
        <v>803</v>
      </c>
    </row>
    <row r="5" ht="9" customHeight="1">
      <c r="A5" s="970"/>
    </row>
    <row r="6" ht="39.75" customHeight="1">
      <c r="A6" s="970" t="s">
        <v>804</v>
      </c>
    </row>
    <row r="7" ht="9" customHeight="1">
      <c r="A7" s="970"/>
    </row>
    <row r="8" ht="52.5" customHeight="1">
      <c r="A8" s="970" t="s">
        <v>805</v>
      </c>
    </row>
    <row r="9" ht="9" customHeight="1">
      <c r="A9" s="970"/>
    </row>
    <row r="10" ht="66" customHeight="1">
      <c r="A10" s="970" t="s">
        <v>806</v>
      </c>
    </row>
    <row r="11" ht="9" customHeight="1">
      <c r="A11" s="970"/>
    </row>
    <row r="12" ht="78.75" customHeight="1">
      <c r="A12" s="970" t="s">
        <v>807</v>
      </c>
    </row>
    <row r="13" ht="9" customHeight="1">
      <c r="A13" s="970"/>
    </row>
    <row r="14" ht="52.5" customHeight="1">
      <c r="A14" s="970" t="s">
        <v>808</v>
      </c>
    </row>
    <row r="15" ht="9" customHeight="1">
      <c r="A15" s="970"/>
    </row>
    <row r="16" ht="64.5" customHeight="1">
      <c r="A16" s="970" t="s">
        <v>809</v>
      </c>
    </row>
    <row r="17" ht="9" customHeight="1">
      <c r="A17" s="970"/>
    </row>
    <row r="18" ht="51.75">
      <c r="A18" s="970" t="s">
        <v>810</v>
      </c>
    </row>
    <row r="19" spans="1:2" ht="12.75">
      <c r="A19" s="973" t="str">
        <f>"a. Expected Minimum Internal Food Cost: "&amp;IF('SCH 1 General Info'!F36="X",ROUND(('SCH 1 General Info'!C40*'SCH 1 General Info'!E40*3)+('SCH 1 General Info'!C41*'SCH 1 General Info'!E41*2)+('SCH 1 General Info'!C42*'SCH 1 General Info'!E42*0.2),0),"N/A")</f>
        <v>a. Expected Minimum Internal Food Cost: N/A</v>
      </c>
      <c r="B19" s="972"/>
    </row>
    <row r="20" spans="1:2" ht="12.75">
      <c r="A20" s="973" t="str">
        <f>"b. Food Service Supplies &amp; Salary Related Costs in Budget: "&amp;IF('SCH 1 General Info'!F36="X",'SCH 1 General Info'!E47+'SCH 3-1 Expenses'!G12,"N/A")</f>
        <v>b. Food Service Supplies &amp; Salary Related Costs in Budget: N/A</v>
      </c>
      <c r="B20" s="972"/>
    </row>
    <row r="21" ht="9" customHeight="1">
      <c r="A21" s="970"/>
    </row>
    <row r="22" ht="57.75" customHeight="1">
      <c r="A22" s="970" t="s">
        <v>811</v>
      </c>
    </row>
  </sheetData>
  <sheetProtection password="EBD1" sheet="1"/>
  <printOptions/>
  <pageMargins left="0.7" right="0.7" top="0.75" bottom="0.75" header="0.3" footer="0.3"/>
  <pageSetup fitToHeight="1" fitToWidth="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57"/>
  <sheetViews>
    <sheetView showGridLines="0" showZeros="0" showOutlineSymbols="0" workbookViewId="0" topLeftCell="A1">
      <selection activeCell="J8" sqref="J8"/>
    </sheetView>
  </sheetViews>
  <sheetFormatPr defaultColWidth="9.140625" defaultRowHeight="12.75"/>
  <cols>
    <col min="1" max="1" width="2.421875" style="8" customWidth="1"/>
    <col min="2" max="2" width="12.00390625" style="8" customWidth="1"/>
    <col min="3" max="3" width="18.140625" style="8" customWidth="1"/>
    <col min="4" max="4" width="18.00390625" style="8" customWidth="1"/>
    <col min="5" max="5" width="12.00390625" style="8" customWidth="1"/>
    <col min="6" max="6" width="3.57421875" style="8" customWidth="1"/>
    <col min="7" max="7" width="14.8515625" style="8" customWidth="1"/>
    <col min="8" max="8" width="21.421875" style="8" customWidth="1"/>
    <col min="9" max="16384" width="9.140625" style="8" customWidth="1"/>
  </cols>
  <sheetData>
    <row r="1" spans="3:8" s="826" customFormat="1" ht="12.75" customHeight="1">
      <c r="C1" s="826" t="s">
        <v>43</v>
      </c>
      <c r="F1" s="1005" t="s">
        <v>561</v>
      </c>
      <c r="G1" s="1005"/>
      <c r="H1" s="1005"/>
    </row>
    <row r="2" spans="3:8" s="826" customFormat="1" ht="12.75" customHeight="1">
      <c r="C2" s="5" t="s">
        <v>464</v>
      </c>
      <c r="F2" s="1005"/>
      <c r="G2" s="1005"/>
      <c r="H2" s="1005"/>
    </row>
    <row r="3" spans="3:8" s="826" customFormat="1" ht="12.75" customHeight="1">
      <c r="C3" s="38" t="s">
        <v>46</v>
      </c>
      <c r="F3" s="826" t="s">
        <v>336</v>
      </c>
      <c r="G3" s="43"/>
      <c r="H3" s="43"/>
    </row>
    <row r="4" spans="3:6" s="826" customFormat="1" ht="12.75" customHeight="1">
      <c r="C4" s="38" t="str">
        <f>"FOR THE YEAR ENDING JUNE 30, "&amp;Months!B30</f>
        <v>FOR THE YEAR ENDING JUNE 30, 2023</v>
      </c>
      <c r="E4" s="38"/>
      <c r="F4" s="826" t="s">
        <v>559</v>
      </c>
    </row>
    <row r="5" spans="3:6" s="826" customFormat="1" ht="12.75" customHeight="1">
      <c r="C5" s="5" t="s">
        <v>879</v>
      </c>
      <c r="F5" s="826" t="s">
        <v>560</v>
      </c>
    </row>
    <row r="6" s="826" customFormat="1" ht="12.75" customHeight="1" thickBot="1">
      <c r="C6" s="39"/>
    </row>
    <row r="7" spans="1:8" s="826" customFormat="1" ht="15" customHeight="1" thickTop="1">
      <c r="A7" s="122"/>
      <c r="B7" s="122"/>
      <c r="C7" s="1011" t="s">
        <v>872</v>
      </c>
      <c r="D7" s="1011"/>
      <c r="E7" s="1011"/>
      <c r="F7" s="1011"/>
      <c r="G7" s="1011"/>
      <c r="H7" s="122"/>
    </row>
    <row r="8" spans="1:8" s="826" customFormat="1" ht="15" customHeight="1">
      <c r="A8" s="1007" t="s">
        <v>644</v>
      </c>
      <c r="B8" s="1007"/>
      <c r="C8" s="1007"/>
      <c r="D8" s="1007"/>
      <c r="E8" s="1007"/>
      <c r="F8" s="1007"/>
      <c r="G8" s="1007"/>
      <c r="H8" s="1007"/>
    </row>
    <row r="9" spans="1:8" s="826" customFormat="1" ht="16.5" customHeight="1">
      <c r="A9" s="1008"/>
      <c r="B9" s="1008"/>
      <c r="C9" s="1008"/>
      <c r="D9" s="1008"/>
      <c r="E9" s="1008"/>
      <c r="F9" s="1008"/>
      <c r="G9" s="1008"/>
      <c r="H9" s="1008"/>
    </row>
    <row r="10" spans="1:8" s="826" customFormat="1" ht="15" customHeight="1">
      <c r="A10" s="40" t="s">
        <v>44</v>
      </c>
      <c r="B10" s="40"/>
      <c r="C10" s="40"/>
      <c r="D10" s="40"/>
      <c r="E10" s="40"/>
      <c r="F10" s="41"/>
      <c r="G10" s="105" t="s">
        <v>184</v>
      </c>
      <c r="H10" s="26"/>
    </row>
    <row r="11" spans="1:8" s="826" customFormat="1" ht="16.5" customHeight="1">
      <c r="A11" s="989"/>
      <c r="B11" s="989"/>
      <c r="C11" s="989"/>
      <c r="D11" s="989"/>
      <c r="E11" s="989"/>
      <c r="F11" s="1014"/>
      <c r="G11" s="988"/>
      <c r="H11" s="989"/>
    </row>
    <row r="12" spans="1:8" s="826" customFormat="1" ht="27.75" customHeight="1">
      <c r="A12" s="1006" t="s">
        <v>860</v>
      </c>
      <c r="B12" s="1006"/>
      <c r="C12" s="1006"/>
      <c r="D12" s="1006"/>
      <c r="E12" s="1006"/>
      <c r="F12" s="1006"/>
      <c r="G12" s="1006"/>
      <c r="H12" s="1006"/>
    </row>
    <row r="13" spans="1:8" s="826" customFormat="1" ht="16.5" customHeight="1">
      <c r="A13" s="104"/>
      <c r="B13" s="182"/>
      <c r="C13" s="104" t="s">
        <v>98</v>
      </c>
      <c r="D13" s="104"/>
      <c r="E13" s="338"/>
      <c r="F13" s="339" t="s">
        <v>100</v>
      </c>
      <c r="G13" s="104"/>
      <c r="H13" s="104"/>
    </row>
    <row r="14" spans="1:8" s="826" customFormat="1" ht="16.5" customHeight="1" thickBot="1">
      <c r="A14" s="639"/>
      <c r="B14" s="894"/>
      <c r="C14" s="639" t="s">
        <v>99</v>
      </c>
      <c r="D14" s="639"/>
      <c r="E14" s="894"/>
      <c r="F14" s="830" t="s">
        <v>183</v>
      </c>
      <c r="G14" s="639"/>
      <c r="H14" s="639"/>
    </row>
    <row r="15" spans="1:8" s="826" customFormat="1" ht="15" customHeight="1" thickTop="1">
      <c r="A15" s="820"/>
      <c r="B15" s="820"/>
      <c r="C15" s="1011" t="s">
        <v>521</v>
      </c>
      <c r="D15" s="1011"/>
      <c r="E15" s="1011"/>
      <c r="F15" s="1011"/>
      <c r="G15" s="1011"/>
      <c r="H15" s="820"/>
    </row>
    <row r="16" spans="1:8" s="826" customFormat="1" ht="17.25" customHeight="1">
      <c r="A16" s="992" t="s">
        <v>496</v>
      </c>
      <c r="B16" s="1006"/>
      <c r="C16" s="992"/>
      <c r="D16" s="992"/>
      <c r="E16" s="992"/>
      <c r="F16" s="992"/>
      <c r="G16" s="992"/>
      <c r="H16" s="992"/>
    </row>
    <row r="17" spans="1:8" s="826" customFormat="1" ht="27.75" customHeight="1">
      <c r="A17" s="104"/>
      <c r="B17" s="182"/>
      <c r="C17" s="991" t="str">
        <f>"Budget due by August 1, "&amp;Months!B28&amp;" for schools in their first year of participation in the MPCP, RPCP, and WPCP (collectively 'Choice'). If the school withdrew or was terminated from all Choice programs, the school is in it's first year of participation."</f>
        <v>Budget due by August 1, 2021 for schools in their first year of participation in the MPCP, RPCP, and WPCP (collectively 'Choice'). If the school withdrew or was terminated from all Choice programs, the school is in it's first year of participation.</v>
      </c>
      <c r="D17" s="992"/>
      <c r="E17" s="992"/>
      <c r="F17" s="992"/>
      <c r="G17" s="992"/>
      <c r="H17" s="992"/>
    </row>
    <row r="18" spans="1:8" s="826" customFormat="1" ht="28.5" customHeight="1">
      <c r="A18" s="104"/>
      <c r="B18" s="182"/>
      <c r="C18" s="991" t="str">
        <f>"Budget due by May 1, "&amp;Months!B29&amp;" for schools in their first year of participation in the MPCP, RPCP, and WPCP (collectively 'Choice'). If the school withdrew or was terminated from all Choice programs, the school is in it's first year of participation."</f>
        <v>Budget due by May 1, 2022 for schools in their first year of participation in the MPCP, RPCP, and WPCP (collectively 'Choice'). If the school withdrew or was terminated from all Choice programs, the school is in it's first year of participation.</v>
      </c>
      <c r="D18" s="992"/>
      <c r="E18" s="992"/>
      <c r="F18" s="992"/>
      <c r="G18" s="992"/>
      <c r="H18" s="992"/>
    </row>
    <row r="19" spans="1:8" s="826" customFormat="1" ht="16.5" customHeight="1">
      <c r="A19" s="104"/>
      <c r="B19" s="182"/>
      <c r="C19" s="104" t="str">
        <f>"Continuing MPCP, RPCP, or WPCP responding to a financial viability request from the department."</f>
        <v>Continuing MPCP, RPCP, or WPCP responding to a financial viability request from the department.</v>
      </c>
      <c r="D19" s="104"/>
      <c r="E19" s="104"/>
      <c r="F19" s="104"/>
      <c r="G19" s="104"/>
      <c r="H19" s="104"/>
    </row>
    <row r="20" spans="1:8" s="826" customFormat="1" ht="27.75" customHeight="1">
      <c r="A20" s="402"/>
      <c r="B20" s="182"/>
      <c r="C20" s="995" t="str">
        <f>"SNSP required financial information for schools that DID NOT participate in SNSP, MPCP, RPCP, or WPCP in both "&amp;Months!C33&amp;" AND "&amp;Months!D33&amp;"."</f>
        <v>SNSP required financial information for schools that DID NOT participate in SNSP, MPCP, RPCP, or WPCP in both 2020-21 AND 2021-22.</v>
      </c>
      <c r="D20" s="996"/>
      <c r="E20" s="996"/>
      <c r="F20" s="996"/>
      <c r="G20" s="996"/>
      <c r="H20" s="996"/>
    </row>
    <row r="21" spans="1:8" s="826" customFormat="1" ht="27.75" customHeight="1" thickBot="1">
      <c r="A21" s="639"/>
      <c r="B21" s="648"/>
      <c r="C21" s="997" t="str">
        <f>"SNSP required financial information for schools that PARTICIPATED in SNSP, MPCP, RPCP, or WPCP in both "&amp;Months!C33&amp;" AND "&amp;Months!D33&amp;"."</f>
        <v>SNSP required financial information for schools that PARTICIPATED in SNSP, MPCP, RPCP, or WPCP in both 2020-21 AND 2021-22.</v>
      </c>
      <c r="D21" s="998"/>
      <c r="E21" s="998"/>
      <c r="F21" s="998"/>
      <c r="G21" s="998"/>
      <c r="H21" s="998"/>
    </row>
    <row r="22" spans="1:8" s="826" customFormat="1" ht="15" customHeight="1" thickTop="1">
      <c r="A22" s="123"/>
      <c r="B22" s="123"/>
      <c r="C22" s="1011" t="s">
        <v>522</v>
      </c>
      <c r="D22" s="1011"/>
      <c r="E22" s="1011"/>
      <c r="F22" s="1011"/>
      <c r="G22" s="1011"/>
      <c r="H22" s="123"/>
    </row>
    <row r="23" spans="1:8" s="826" customFormat="1" ht="49.5" customHeight="1">
      <c r="A23" s="999" t="str">
        <f>"In order to be considered complete, the budget MUST MEET ALL OF THE REQUIREMENTS below. Line 4 may not say ERROR(S) IDENTIFIED! unless an email from one of the DPI Auditors specifically excusing the error is attached to the budget. "&amp;"FAILURE TO PROVIDE ALL OF THE REQUIRED DOCUMENTS ON THE REQUIRED ATTACHMENTS PAGE MAY RESULT IN A NEW CHOICE SCHOOL BEING BARRED FROM PARTICIPATION IN THE PROGRAM IN THE "&amp;Months!B1&amp;" SCHOOL YEAR."</f>
        <v>In order to be considered complete, the budget MUST MEET ALL OF THE REQUIREMENTS below. Line 4 may not say ERROR(S) IDENTIFIED! unless an email from one of the DPI Auditors specifically excusing the error is attached to the budget. FAILURE TO PROVIDE ALL OF THE REQUIRED DOCUMENTS ON THE REQUIRED ATTACHMENTS PAGE MAY RESULT IN A NEW CHOICE SCHOOL BEING BARRED FROM PARTICIPATION IN THE PROGRAM IN THE 2022-23 SCHOOL YEAR.</v>
      </c>
      <c r="B23" s="1000"/>
      <c r="C23" s="1000"/>
      <c r="D23" s="1000"/>
      <c r="E23" s="1000"/>
      <c r="F23" s="1000"/>
      <c r="G23" s="1000"/>
      <c r="H23" s="1000"/>
    </row>
    <row r="24" spans="1:9" ht="13.5" customHeight="1">
      <c r="A24" s="115">
        <v>1</v>
      </c>
      <c r="B24" s="1012" t="s">
        <v>555</v>
      </c>
      <c r="C24" s="1013"/>
      <c r="D24" s="1013"/>
      <c r="E24" s="1013"/>
      <c r="F24" s="1013"/>
      <c r="G24" s="1013"/>
      <c r="H24" s="1013"/>
      <c r="I24" s="10"/>
    </row>
    <row r="25" spans="1:9" ht="13.5" customHeight="1">
      <c r="A25" s="31">
        <v>2</v>
      </c>
      <c r="B25" s="1009" t="s">
        <v>556</v>
      </c>
      <c r="C25" s="1010"/>
      <c r="D25" s="1010"/>
      <c r="E25" s="1010"/>
      <c r="F25" s="1010"/>
      <c r="G25" s="1010"/>
      <c r="H25" s="1010"/>
      <c r="I25" s="10"/>
    </row>
    <row r="26" spans="1:9" ht="13.5" customHeight="1">
      <c r="A26" s="181">
        <v>3</v>
      </c>
      <c r="B26" s="1009" t="s">
        <v>821</v>
      </c>
      <c r="C26" s="1010"/>
      <c r="D26" s="1010"/>
      <c r="E26" s="1010"/>
      <c r="F26" s="1010"/>
      <c r="G26" s="1010"/>
      <c r="H26" s="1010"/>
      <c r="I26" s="10"/>
    </row>
    <row r="27" spans="1:9" ht="13.5" customHeight="1">
      <c r="A27" s="181">
        <v>4</v>
      </c>
      <c r="B27" s="1016" t="s">
        <v>520</v>
      </c>
      <c r="C27" s="1017"/>
      <c r="D27" s="1017"/>
      <c r="E27" s="1017"/>
      <c r="F27" s="1026"/>
      <c r="G27" s="1001" t="str">
        <f>IF(COUNTIF('Error Report'!G7:G70,"ERROR")&gt;0,"ERROR(S) IDENTIFIED!","OK")</f>
        <v>ERROR(S) IDENTIFIED!</v>
      </c>
      <c r="H27" s="1002"/>
      <c r="I27" s="10"/>
    </row>
    <row r="28" spans="1:9" ht="21.75" customHeight="1">
      <c r="A28" s="808">
        <v>5</v>
      </c>
      <c r="B28" s="1016" t="s">
        <v>557</v>
      </c>
      <c r="C28" s="1017"/>
      <c r="D28" s="1017"/>
      <c r="E28" s="1017"/>
      <c r="F28" s="1017"/>
      <c r="G28" s="1017"/>
      <c r="H28" s="1017"/>
      <c r="I28" s="10"/>
    </row>
    <row r="29" spans="1:13" ht="15.75" customHeight="1" thickBot="1">
      <c r="A29" s="821">
        <v>6</v>
      </c>
      <c r="B29" s="1003" t="s">
        <v>818</v>
      </c>
      <c r="C29" s="1004"/>
      <c r="D29" s="1004"/>
      <c r="E29" s="1004"/>
      <c r="F29" s="1004"/>
      <c r="G29" s="1004"/>
      <c r="H29" s="1004"/>
      <c r="I29" s="10"/>
      <c r="M29" s="444"/>
    </row>
    <row r="30" spans="1:8" s="826" customFormat="1" ht="15" customHeight="1" thickTop="1">
      <c r="A30" s="820"/>
      <c r="B30" s="820"/>
      <c r="C30" s="1011" t="s">
        <v>523</v>
      </c>
      <c r="D30" s="1011"/>
      <c r="E30" s="1011"/>
      <c r="F30" s="1011"/>
      <c r="G30" s="1011"/>
      <c r="H30" s="820"/>
    </row>
    <row r="31" spans="1:8" s="826" customFormat="1" ht="75" customHeight="1">
      <c r="A31" s="999" t="str">
        <f>"All schools: I certify that the information contained herein is correct and accurate, and includes all liabilities of the legal entity of the school. I understand the budget MUST MEET ALL OF THE REQUIREMENTS in Section III above."&amp;" I agree that typing my name below constitutes a legal signature. "&amp;"
For new schools participating in the MPCP, RPCP, or WPCP for the "&amp;Months!B1&amp;" school year: I understand that the Department of Public Instruction (DPI) must receive a complete budget, including all required attachments, by the date in the instructions. "&amp;"Failure to provide a complete budget and all attachments by the required date may result in the school being ineligible to participate in the Choice program in the "&amp;Months!B1&amp;" school year."</f>
        <v>All schools: I certify that the information contained herein is correct and accurate, and includes all liabilities of the legal entity of the school. I understand the budget MUST MEET ALL OF THE REQUIREMENTS in Section III above. I agree that typing my name below constitutes a legal signature. 
For new schools participating in the MPCP, RPCP, or WPCP for the 2022-23 school year: I understand that the Department of Public Instruction (DPI) must receive a complete budget, including all required attachments, by the date in the instructions. Failure to provide a complete budget and all attachments by the required date may result in the school being ineligible to participate in the Choice program in the 2022-23 school year.</v>
      </c>
      <c r="B31" s="1000"/>
      <c r="C31" s="1000"/>
      <c r="D31" s="1000"/>
      <c r="E31" s="1000"/>
      <c r="F31" s="1000"/>
      <c r="G31" s="1000"/>
      <c r="H31" s="1000"/>
    </row>
    <row r="32" spans="1:8" s="826" customFormat="1" ht="15" customHeight="1">
      <c r="A32" s="993" t="s">
        <v>814</v>
      </c>
      <c r="B32" s="993"/>
      <c r="C32" s="993"/>
      <c r="D32" s="993"/>
      <c r="E32" s="993"/>
      <c r="F32" s="993"/>
      <c r="G32" s="994"/>
      <c r="H32" s="976" t="s">
        <v>45</v>
      </c>
    </row>
    <row r="33" spans="1:8" s="826" customFormat="1" ht="16.5" customHeight="1" thickBot="1">
      <c r="A33" s="990"/>
      <c r="B33" s="990"/>
      <c r="C33" s="990"/>
      <c r="D33" s="990"/>
      <c r="E33" s="990"/>
      <c r="F33" s="990"/>
      <c r="G33" s="990"/>
      <c r="H33" s="977"/>
    </row>
    <row r="34" spans="1:8" s="826" customFormat="1" ht="15" customHeight="1" thickTop="1">
      <c r="A34" s="122"/>
      <c r="B34" s="122"/>
      <c r="C34" s="1011" t="s">
        <v>524</v>
      </c>
      <c r="D34" s="1011"/>
      <c r="E34" s="1011"/>
      <c r="F34" s="1011"/>
      <c r="G34" s="1011"/>
      <c r="H34" s="122"/>
    </row>
    <row r="35" spans="1:8" s="826" customFormat="1" ht="15" customHeight="1">
      <c r="A35" s="40" t="s">
        <v>47</v>
      </c>
      <c r="B35" s="40"/>
      <c r="C35" s="40"/>
      <c r="D35" s="40"/>
      <c r="E35" s="105" t="s">
        <v>62</v>
      </c>
      <c r="F35" s="35"/>
      <c r="G35" s="35"/>
      <c r="H35" s="42"/>
    </row>
    <row r="36" spans="1:8" s="826" customFormat="1" ht="16.5" customHeight="1">
      <c r="A36" s="1008"/>
      <c r="B36" s="1008"/>
      <c r="C36" s="1008"/>
      <c r="D36" s="1020"/>
      <c r="E36" s="1018"/>
      <c r="F36" s="1019"/>
      <c r="G36" s="1019"/>
      <c r="H36" s="1019"/>
    </row>
    <row r="37" spans="1:8" s="826" customFormat="1" ht="15" customHeight="1">
      <c r="A37" s="40" t="s">
        <v>48</v>
      </c>
      <c r="B37" s="40"/>
      <c r="C37" s="40"/>
      <c r="D37" s="40"/>
      <c r="E37" s="40"/>
      <c r="F37" s="41"/>
      <c r="G37" s="26"/>
      <c r="H37" s="26"/>
    </row>
    <row r="38" spans="1:8" s="826" customFormat="1" ht="16.5" customHeight="1" thickBot="1">
      <c r="A38" s="1021"/>
      <c r="B38" s="1021"/>
      <c r="C38" s="1021"/>
      <c r="D38" s="1021"/>
      <c r="E38" s="1021"/>
      <c r="F38" s="1021"/>
      <c r="G38" s="1021"/>
      <c r="H38" s="1021"/>
    </row>
    <row r="39" spans="1:4" s="826" customFormat="1" ht="10.5" customHeight="1" hidden="1" thickTop="1">
      <c r="A39" s="1015"/>
      <c r="B39" s="1015"/>
      <c r="C39" s="1015"/>
      <c r="D39" s="1015"/>
    </row>
    <row r="40" spans="1:8" ht="12" hidden="1">
      <c r="A40" s="403"/>
      <c r="B40" s="403"/>
      <c r="C40" s="403"/>
      <c r="D40" s="403"/>
      <c r="E40" s="403"/>
      <c r="F40" s="403"/>
      <c r="G40" s="403"/>
      <c r="H40" s="403"/>
    </row>
    <row r="41" spans="1:8" ht="12" hidden="1">
      <c r="A41" s="1"/>
      <c r="B41" s="1"/>
      <c r="C41" s="1"/>
      <c r="D41" s="1"/>
      <c r="E41" s="1"/>
      <c r="F41" s="1"/>
      <c r="G41" s="1"/>
      <c r="H41" s="1"/>
    </row>
    <row r="42" spans="1:8" ht="12.75" customHeight="1" hidden="1">
      <c r="A42" s="1025" t="s">
        <v>90</v>
      </c>
      <c r="B42" s="1025"/>
      <c r="C42" s="1025"/>
      <c r="D42" s="1025"/>
      <c r="E42" s="1025"/>
      <c r="F42" s="1025"/>
      <c r="G42" s="1025"/>
      <c r="H42" s="1025"/>
    </row>
    <row r="43" spans="1:8" ht="12" hidden="1">
      <c r="A43" s="1"/>
      <c r="B43" s="1"/>
      <c r="C43" s="1"/>
      <c r="D43" s="1"/>
      <c r="E43" s="1"/>
      <c r="F43" s="1"/>
      <c r="G43" s="1"/>
      <c r="H43" s="1"/>
    </row>
    <row r="44" spans="1:8" ht="30" customHeight="1" thickTop="1">
      <c r="A44" s="1024" t="s">
        <v>819</v>
      </c>
      <c r="B44" s="1024"/>
      <c r="C44" s="1024"/>
      <c r="D44" s="1024"/>
      <c r="E44" s="1024"/>
      <c r="F44" s="1024"/>
      <c r="G44" s="1024"/>
      <c r="H44" s="1024"/>
    </row>
    <row r="45" spans="1:8" ht="12">
      <c r="A45" s="1"/>
      <c r="H45" s="1"/>
    </row>
    <row r="46" spans="2:7" ht="16.5" customHeight="1">
      <c r="B46" s="1022"/>
      <c r="C46" s="1022"/>
      <c r="D46" s="1022"/>
      <c r="E46" s="1023"/>
      <c r="F46" s="1023"/>
      <c r="G46" s="1023"/>
    </row>
    <row r="57" spans="2:8" s="120" customFormat="1" ht="9.75">
      <c r="B57" s="121"/>
      <c r="C57" s="121"/>
      <c r="D57" s="121"/>
      <c r="E57" s="121"/>
      <c r="F57" s="121"/>
      <c r="G57" s="121"/>
      <c r="H57" s="121"/>
    </row>
  </sheetData>
  <sheetProtection password="EBD1" sheet="1"/>
  <mergeCells count="35">
    <mergeCell ref="B46:D46"/>
    <mergeCell ref="E46:G46"/>
    <mergeCell ref="A44:H44"/>
    <mergeCell ref="A31:H31"/>
    <mergeCell ref="A42:H42"/>
    <mergeCell ref="B27:F27"/>
    <mergeCell ref="C22:G22"/>
    <mergeCell ref="A39:D39"/>
    <mergeCell ref="B28:H28"/>
    <mergeCell ref="E36:H36"/>
    <mergeCell ref="C30:G30"/>
    <mergeCell ref="A36:D36"/>
    <mergeCell ref="B25:H25"/>
    <mergeCell ref="C34:G34"/>
    <mergeCell ref="A38:H38"/>
    <mergeCell ref="F1:H2"/>
    <mergeCell ref="A12:H12"/>
    <mergeCell ref="A8:H8"/>
    <mergeCell ref="A9:H9"/>
    <mergeCell ref="B26:H26"/>
    <mergeCell ref="A16:H16"/>
    <mergeCell ref="C7:G7"/>
    <mergeCell ref="C15:G15"/>
    <mergeCell ref="B24:H24"/>
    <mergeCell ref="A11:F11"/>
    <mergeCell ref="G11:H11"/>
    <mergeCell ref="A33:G33"/>
    <mergeCell ref="C17:H17"/>
    <mergeCell ref="A32:G32"/>
    <mergeCell ref="C20:H20"/>
    <mergeCell ref="C21:H21"/>
    <mergeCell ref="A23:H23"/>
    <mergeCell ref="G27:H27"/>
    <mergeCell ref="C18:H18"/>
    <mergeCell ref="B29:H29"/>
  </mergeCells>
  <conditionalFormatting sqref="G27:H27">
    <cfRule type="containsText" priority="1" dxfId="0" operator="containsText" stopIfTrue="1" text="ERROR(S) IDENTIFIED!">
      <formula>NOT(ISERROR(SEARCH("ERROR(S) IDENTIFIED!",G27)))</formula>
    </cfRule>
  </conditionalFormatting>
  <dataValidations count="1">
    <dataValidation type="list" allowBlank="1" showDropDown="1" showInputMessage="1" showErrorMessage="1" error="Insert an uppercase X for any programs the school will participate in." sqref="B13:B14 E13:E14 B17:B21">
      <formula1>"X"</formula1>
    </dataValidation>
  </dataValidations>
  <printOptions/>
  <pageMargins left="0.39" right="0.35" top="0.6" bottom="0.46" header="0.39" footer="0.38"/>
  <pageSetup fitToHeight="1" fitToWidth="1" horizontalDpi="600" verticalDpi="600" orientation="portrait"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39"/>
  <sheetViews>
    <sheetView showGridLines="0" showZeros="0" showOutlineSymbols="0" workbookViewId="0" topLeftCell="A1">
      <selection activeCell="B6" sqref="B6"/>
    </sheetView>
  </sheetViews>
  <sheetFormatPr defaultColWidth="9.140625" defaultRowHeight="12.75"/>
  <cols>
    <col min="1" max="1" width="3.57421875" style="961" customWidth="1"/>
    <col min="2" max="2" width="21.57421875" style="8" customWidth="1"/>
    <col min="3" max="4" width="12.8515625" style="8" customWidth="1"/>
    <col min="5" max="5" width="12.00390625" style="8" customWidth="1"/>
    <col min="6" max="6" width="14.00390625" style="8" customWidth="1"/>
    <col min="7" max="7" width="15.140625" style="8" customWidth="1"/>
    <col min="8" max="8" width="10.140625" style="8" customWidth="1"/>
    <col min="9" max="9" width="3.421875" style="10" bestFit="1" customWidth="1"/>
    <col min="10" max="10" width="9.8515625" style="120" bestFit="1" customWidth="1"/>
    <col min="11" max="18" width="9.140625" style="8" customWidth="1"/>
    <col min="19" max="19" width="9.421875" style="8" customWidth="1"/>
    <col min="20" max="16384" width="9.140625" style="8" customWidth="1"/>
  </cols>
  <sheetData>
    <row r="1" spans="1:8" ht="12.75" customHeight="1">
      <c r="A1" s="1035">
        <f>'Cover Page'!A9</f>
        <v>0</v>
      </c>
      <c r="B1" s="1035"/>
      <c r="C1" s="1035"/>
      <c r="D1" s="1035"/>
      <c r="E1" s="1035"/>
      <c r="F1" s="1035"/>
      <c r="G1" s="1035"/>
      <c r="H1" s="1035"/>
    </row>
    <row r="2" spans="1:8" ht="10.5">
      <c r="A2" s="1036" t="s">
        <v>119</v>
      </c>
      <c r="B2" s="1036"/>
      <c r="C2" s="1036"/>
      <c r="D2" s="1036"/>
      <c r="E2" s="1036"/>
      <c r="F2" s="1036"/>
      <c r="G2" s="1036"/>
      <c r="H2" s="1036"/>
    </row>
    <row r="3" spans="1:8" ht="10.5">
      <c r="A3" s="1035" t="str">
        <f>"Budget for the period from "&amp;"July 1, "&amp;Months!B29&amp;" to June 30, "&amp;Months!B30</f>
        <v>Budget for the period from July 1, 2022 to June 30, 2023</v>
      </c>
      <c r="B3" s="1035"/>
      <c r="C3" s="1035"/>
      <c r="D3" s="1035"/>
      <c r="E3" s="1035"/>
      <c r="F3" s="1035"/>
      <c r="G3" s="1035"/>
      <c r="H3" s="1035"/>
    </row>
    <row r="4" spans="1:8" ht="5.25" customHeight="1" thickBot="1">
      <c r="A4" s="1037"/>
      <c r="B4" s="1037"/>
      <c r="C4" s="1037"/>
      <c r="D4" s="1037"/>
      <c r="E4" s="1037"/>
      <c r="F4" s="1037"/>
      <c r="G4" s="1037"/>
      <c r="H4" s="52"/>
    </row>
    <row r="5" spans="1:8" ht="84.75" customHeight="1" thickBot="1" thickTop="1">
      <c r="A5" s="1040" t="s">
        <v>817</v>
      </c>
      <c r="B5" s="1040"/>
      <c r="C5" s="1040"/>
      <c r="D5" s="1040"/>
      <c r="E5" s="1040"/>
      <c r="F5" s="1040"/>
      <c r="G5" s="1040"/>
      <c r="H5" s="1040"/>
    </row>
    <row r="6" spans="1:8" ht="15" customHeight="1" thickTop="1">
      <c r="A6" s="957"/>
      <c r="B6" s="407"/>
      <c r="C6" s="1041" t="s">
        <v>569</v>
      </c>
      <c r="D6" s="1041"/>
      <c r="E6" s="1041"/>
      <c r="F6" s="1041"/>
      <c r="G6" s="407"/>
      <c r="H6" s="407"/>
    </row>
    <row r="7" spans="1:10" s="981" customFormat="1" ht="36" customHeight="1">
      <c r="A7" s="978" t="s">
        <v>5</v>
      </c>
      <c r="B7" s="1047" t="s">
        <v>815</v>
      </c>
      <c r="C7" s="1047"/>
      <c r="D7" s="1047"/>
      <c r="E7" s="1047"/>
      <c r="F7" s="1047"/>
      <c r="G7" s="1047"/>
      <c r="H7" s="337" t="s">
        <v>816</v>
      </c>
      <c r="I7" s="979"/>
      <c r="J7" s="980"/>
    </row>
    <row r="8" spans="1:8" ht="15.75" customHeight="1">
      <c r="A8" s="72">
        <v>1</v>
      </c>
      <c r="B8" s="1016" t="str">
        <f>IF('Cover Page'!B18="X","Balance sheet dated between February 28, 2022 and May 1, 2022 for the legal entity of the school.",IF(OR('Cover Page'!B20="X",'Cover Page'!B21="X"),"Balance sheet dated between January 1, 2022 and March 1, 2022 for the legal entity of the school.","Current balance sheet for the legal entity of the school dated no earlier than two months before the due date of the budget."))</f>
        <v>Current balance sheet for the legal entity of the school dated no earlier than two months before the due date of the budget.</v>
      </c>
      <c r="C8" s="1017"/>
      <c r="D8" s="1017"/>
      <c r="E8" s="1017"/>
      <c r="F8" s="1017"/>
      <c r="G8" s="1026"/>
      <c r="H8" s="30" t="str">
        <f>IF(AND('Cover Page'!B17="X",SUM('SCH 7-1 Net Assets'!C19,'SCH 7-1 Net Assets'!C34)=0),"NO","YES")</f>
        <v>YES</v>
      </c>
    </row>
    <row r="9" spans="1:8" ht="21.75" customHeight="1">
      <c r="A9" s="72">
        <v>2</v>
      </c>
      <c r="B9" s="1016" t="str">
        <f>IF('Cover Page'!B18="X","Income statement for the period from July 1, 2021 to February 28, 2022 for the legal entity of the school.",IF(OR('Cover Page'!B20="X",'Cover Page'!B21="X"),"Income statement for the period from July 1, 2021 to December 31, 2021 for the legal entity of the school.","Current year-to-date income statement for the legal entity of the school dated no earlier than two months before the due date of the budget."))</f>
        <v>Current year-to-date income statement for the legal entity of the school dated no earlier than two months before the due date of the budget.</v>
      </c>
      <c r="C9" s="1017"/>
      <c r="D9" s="1017"/>
      <c r="E9" s="1017"/>
      <c r="F9" s="1017"/>
      <c r="G9" s="1026"/>
      <c r="H9" s="30" t="str">
        <f>IF(H8="YES","YES","NO")</f>
        <v>YES</v>
      </c>
    </row>
    <row r="10" spans="1:8" ht="23.25" customHeight="1">
      <c r="A10" s="72">
        <v>3</v>
      </c>
      <c r="B10" s="1016" t="str">
        <f>IF('Cover Page'!B18="X","All cash and investment account bank statements for the legal entity of the school dated no earlier than February 28, 2022.",IF(OR('Cover Page'!B20="X",'Cover Page'!B21="X"),"All cash and investment account bank statements for the legal entity of the school dated no earlier than January 1, 2021.","All cash and investment account bank statements for the legal entity of the school dated no earlier than two months before the due date of the budget."))</f>
        <v>All cash and investment account bank statements for the legal entity of the school dated no earlier than two months before the due date of the budget.</v>
      </c>
      <c r="C10" s="1017"/>
      <c r="D10" s="1017"/>
      <c r="E10" s="1017"/>
      <c r="F10" s="1017"/>
      <c r="G10" s="1026"/>
      <c r="H10" s="30" t="str">
        <f>IF(AND('Cover Page'!B17="X",SUM('SCH 7-1 Net Assets'!C8,'SCH 7-1 Net Assets'!C9,'SCH 7-1 Net Assets'!C17)=0),"NO","YES")</f>
        <v>YES</v>
      </c>
    </row>
    <row r="11" spans="1:8" ht="36.75" customHeight="1">
      <c r="A11" s="72">
        <v>4</v>
      </c>
      <c r="B11" s="1016" t="str">
        <f>Months!B3&amp;" balance sheet for the legal entity of school. If the school is a current participant in the MPCP, RPCP, WPCP, or SNSP and submitted a standard "&amp;Months!C33&amp;" financial audit (not a modified financial audit) at the legal entity level by October 15, "&amp;Months!B28&amp;", this balance sheet is not required."</f>
        <v>June 30, 2021 balance sheet for the legal entity of school. If the school is a current participant in the MPCP, RPCP, WPCP, or SNSP and submitted a standard 2020-21 financial audit (not a modified financial audit) at the legal entity level by October 15, 2021, this balance sheet is not required.</v>
      </c>
      <c r="C11" s="1017"/>
      <c r="D11" s="1017"/>
      <c r="E11" s="1017"/>
      <c r="F11" s="1017"/>
      <c r="G11" s="1026"/>
      <c r="H11" s="30" t="str">
        <f>IF(H8="YES","YES","NO")</f>
        <v>YES</v>
      </c>
    </row>
    <row r="12" spans="1:8" ht="36.75" customHeight="1">
      <c r="A12" s="72">
        <v>5</v>
      </c>
      <c r="B12" s="1016" t="str">
        <f>"Income statement from "&amp;Months!B37&amp;" for the legal entity of school. If the school is a current participant in the MPCP, RPCP, WPCP, or SNSP and submitted a standard "&amp;Months!C33&amp;" financial audit (not a modified financial audit) at the legal entity level by October 15, "&amp;Months!B28&amp;", this income statement is not required."</f>
        <v>Income statement from July 1, 2020 to June 30, 2021 for the legal entity of school. If the school is a current participant in the MPCP, RPCP, WPCP, or SNSP and submitted a standard 2020-21 financial audit (not a modified financial audit) at the legal entity level by October 15, 2021, this income statement is not required.</v>
      </c>
      <c r="C12" s="1017"/>
      <c r="D12" s="1017"/>
      <c r="E12" s="1017"/>
      <c r="F12" s="1017"/>
      <c r="G12" s="1026"/>
      <c r="H12" s="30" t="str">
        <f>IF(H8="YES","YES","NO")</f>
        <v>YES</v>
      </c>
    </row>
    <row r="13" spans="1:8" ht="22.5" customHeight="1">
      <c r="A13" s="72">
        <v>6</v>
      </c>
      <c r="B13" s="1042" t="s">
        <v>337</v>
      </c>
      <c r="C13" s="1043"/>
      <c r="D13" s="1043"/>
      <c r="E13" s="1043"/>
      <c r="F13" s="1043"/>
      <c r="G13" s="1044"/>
      <c r="H13" s="30" t="str">
        <f>IF(OR('Cover Page'!B17="X",'Cover Page'!B18="X",'Cover Page'!B19="X",'Cover Page'!B20="X"),IF('SCH 3-1 Expenses'!D48&gt;25,"YES","NO"),"NO")</f>
        <v>NO</v>
      </c>
    </row>
    <row r="14" spans="1:8" ht="45" customHeight="1">
      <c r="A14" s="72">
        <v>7</v>
      </c>
      <c r="B14" s="1016" t="s">
        <v>836</v>
      </c>
      <c r="C14" s="1017"/>
      <c r="D14" s="1017"/>
      <c r="E14" s="1017"/>
      <c r="F14" s="1017"/>
      <c r="G14" s="1017"/>
      <c r="H14" s="7" t="str">
        <f>IF(OR('Cover Page'!B17="X",'Cover Page'!B18="X",'Cover Page'!B20="X"),"YES","NO")</f>
        <v>NO</v>
      </c>
    </row>
    <row r="15" spans="1:8" ht="35.25" customHeight="1">
      <c r="A15" s="958">
        <v>8</v>
      </c>
      <c r="B15" s="1049" t="s">
        <v>793</v>
      </c>
      <c r="C15" s="1050"/>
      <c r="D15" s="1050"/>
      <c r="E15" s="1050"/>
      <c r="F15" s="1050"/>
      <c r="G15" s="1051"/>
      <c r="H15" s="63" t="str">
        <f>IF('SCH 5-3 Leases'!M16&gt;0,"YES","No")</f>
        <v>No</v>
      </c>
    </row>
    <row r="16" spans="1:8" ht="15.75" customHeight="1">
      <c r="A16" s="54">
        <v>9</v>
      </c>
      <c r="B16" s="1045"/>
      <c r="C16" s="1046"/>
      <c r="D16" s="1046"/>
      <c r="E16" s="1046"/>
      <c r="F16" s="1046"/>
      <c r="G16" s="1046"/>
      <c r="H16" s="1046"/>
    </row>
    <row r="17" spans="1:8" ht="22.5" customHeight="1">
      <c r="A17" s="72">
        <v>10</v>
      </c>
      <c r="B17" s="1016" t="s">
        <v>794</v>
      </c>
      <c r="C17" s="1017"/>
      <c r="D17" s="1017"/>
      <c r="E17" s="1017"/>
      <c r="F17" s="1017"/>
      <c r="G17" s="1026"/>
      <c r="H17" s="30" t="str">
        <f>IF('SCH 5-3 Leases'!E21&gt;0,"YES","NO")</f>
        <v>NO</v>
      </c>
    </row>
    <row r="18" spans="1:8" ht="15.75" customHeight="1">
      <c r="A18" s="54">
        <v>11</v>
      </c>
      <c r="B18" s="1045"/>
      <c r="C18" s="1046"/>
      <c r="D18" s="1046"/>
      <c r="E18" s="1046"/>
      <c r="F18" s="1046"/>
      <c r="G18" s="1046"/>
      <c r="H18" s="1046"/>
    </row>
    <row r="19" spans="1:8" ht="94.5" customHeight="1">
      <c r="A19" s="958">
        <v>12</v>
      </c>
      <c r="B19" s="1012" t="s">
        <v>786</v>
      </c>
      <c r="C19" s="1013"/>
      <c r="D19" s="1013"/>
      <c r="E19" s="1013"/>
      <c r="F19" s="1013"/>
      <c r="G19" s="1052"/>
      <c r="H19" s="63" t="str">
        <f>IF('SCH 4-2 Revenue'!H27+'SCH 4-2 Revenue'!L27&gt;0,"YES","NO")</f>
        <v>NO</v>
      </c>
    </row>
    <row r="20" spans="1:16" ht="161.25" customHeight="1">
      <c r="A20" s="72">
        <v>13</v>
      </c>
      <c r="B20" s="1042" t="s">
        <v>863</v>
      </c>
      <c r="C20" s="1053"/>
      <c r="D20" s="1053"/>
      <c r="E20" s="1053"/>
      <c r="F20" s="1053"/>
      <c r="G20" s="1054"/>
      <c r="H20" s="341" t="str">
        <f>IF('Cover Page'!B21="X","NO",IF('SCH 4-3 Revenue'!F21&gt;0,"YES","NO"))</f>
        <v>NO</v>
      </c>
      <c r="K20" s="1029"/>
      <c r="L20" s="1030"/>
      <c r="M20" s="1030"/>
      <c r="N20" s="1030"/>
      <c r="O20" s="1030"/>
      <c r="P20" s="1030"/>
    </row>
    <row r="21" spans="1:8" ht="24" customHeight="1">
      <c r="A21" s="958">
        <v>14</v>
      </c>
      <c r="B21" s="1012" t="s">
        <v>598</v>
      </c>
      <c r="C21" s="1038"/>
      <c r="D21" s="1038"/>
      <c r="E21" s="1038"/>
      <c r="F21" s="1038"/>
      <c r="G21" s="1039"/>
      <c r="H21" s="63" t="str">
        <f>IF(OR('SCH 4-3 Revenue'!F7&gt;0,'SCH 7-2  Net Assets Detail'!D13&gt;0),"YES","NO")</f>
        <v>NO</v>
      </c>
    </row>
    <row r="22" spans="1:8" ht="45" customHeight="1">
      <c r="A22" s="72">
        <v>15</v>
      </c>
      <c r="B22" s="1016" t="s">
        <v>839</v>
      </c>
      <c r="C22" s="1017"/>
      <c r="D22" s="1017"/>
      <c r="E22" s="1017"/>
      <c r="F22" s="1017"/>
      <c r="G22" s="1026"/>
      <c r="H22" s="30" t="str">
        <f>IF(OR('SCH 6 Debt'!D21&gt;0,'SCH 6 Debt'!E21&gt;0,COUNTIF('SCH 6 Debt'!H7:H12,"Yes")&gt;0),"YES","NO")</f>
        <v>NO</v>
      </c>
    </row>
    <row r="23" spans="1:8" ht="46.5" customHeight="1">
      <c r="A23" s="959">
        <v>16</v>
      </c>
      <c r="B23" s="1016" t="str">
        <f>"Current statement from the lender showing the principal balance for any debt with a balance as of "&amp;Months!B4&amp;" on Schedule 6, Lines 7-12, Column C and any lines of credit that are available as of "&amp;Months!B4&amp;" that have a $0 balance. "&amp;"The statement from the lender must identify the lender name, school name, date of statement (which must be within 2 months of the due date of the budget), principal balance, and identification of the loan or loans in the statement."</f>
        <v>Current statement from the lender showing the principal balance for any debt with a balance as of June 30, 2022 on Schedule 6, Lines 7-12, Column C and any lines of credit that are available as of June 30, 2022 that have a $0 balance. The statement from the lender must identify the lender name, school name, date of statement (which must be within 2 months of the due date of the budget), principal balance, and identification of the loan or loans in the statement.</v>
      </c>
      <c r="C23" s="1017"/>
      <c r="D23" s="1017"/>
      <c r="E23" s="1017"/>
      <c r="F23" s="1017"/>
      <c r="G23" s="1026"/>
      <c r="H23" s="9" t="str">
        <f>IF(OR('SCH 6 Debt'!D21&gt;0,COUNTIF('SCH 6 Debt'!H7:H12,"Yes")&gt;0),"YES","NO")</f>
        <v>NO</v>
      </c>
    </row>
    <row r="24" spans="1:8" ht="45" customHeight="1">
      <c r="A24" s="72">
        <v>17</v>
      </c>
      <c r="B24" s="1016" t="s">
        <v>690</v>
      </c>
      <c r="C24" s="1017"/>
      <c r="D24" s="1017"/>
      <c r="E24" s="1017"/>
      <c r="F24" s="1017"/>
      <c r="G24" s="1026"/>
      <c r="H24" s="30" t="str">
        <f>IF(COUNTIF('SCH 6 Debt'!E7:E12,"Yes")&gt;0,"YES","NO")</f>
        <v>NO</v>
      </c>
    </row>
    <row r="25" spans="1:8" ht="25.5" customHeight="1">
      <c r="A25" s="72">
        <v>18</v>
      </c>
      <c r="B25" s="1016" t="s">
        <v>465</v>
      </c>
      <c r="C25" s="1017"/>
      <c r="D25" s="1017"/>
      <c r="E25" s="1017"/>
      <c r="F25" s="1017"/>
      <c r="G25" s="1026"/>
      <c r="H25" s="30" t="str">
        <f>IF(OR('Cover Page'!B17="X",'Cover Page'!B18="X",'Cover Page'!B19="X",'Cover Page'!B20="X"),IF('SCH 11-1 Budget Questions'!A7='SCH 11-1 Budget Questions'!H7,"YES","NO"),"NO")</f>
        <v>NO</v>
      </c>
    </row>
    <row r="26" spans="1:8" ht="15.75" customHeight="1">
      <c r="A26" s="72">
        <v>19</v>
      </c>
      <c r="B26" s="1016" t="str">
        <f>"A schedule of all pay dates for the "&amp;Months!B1&amp;" school year (from "&amp;Months!B35&amp;")."</f>
        <v>A schedule of all pay dates for the 2022-23 school year (from July 1, 2022 to June 30, 2023).</v>
      </c>
      <c r="C26" s="1017"/>
      <c r="D26" s="1017"/>
      <c r="E26" s="1017"/>
      <c r="F26" s="1017"/>
      <c r="G26" s="1026"/>
      <c r="H26" s="30" t="str">
        <f>IF(OR('Cover Page'!B17="X",'Cover Page'!B18="X",'Cover Page'!B19="X",'Cover Page'!B20="X"),"YES","NO")</f>
        <v>NO</v>
      </c>
    </row>
    <row r="27" spans="1:8" ht="46.5" customHeight="1">
      <c r="A27" s="72">
        <v>20</v>
      </c>
      <c r="B27" s="1016" t="str">
        <f>Months!B1&amp;" written agreements for each employee specifying the employee's compensation and the dates they will be paid."&amp;" The agreement must require the signature of the employee and school representative. If the school uses the same template for categories of employees, the school may provide an example of each template rather than providing all employee agreements."</f>
        <v>2022-23 written agreements for each employee specifying the employee's compensation and the dates they will be paid. The agreement must require the signature of the employee and school representative. If the school uses the same template for categories of employees, the school may provide an example of each template rather than providing all employee agreements.</v>
      </c>
      <c r="C27" s="1017"/>
      <c r="D27" s="1017"/>
      <c r="E27" s="1017"/>
      <c r="F27" s="1017"/>
      <c r="G27" s="1026"/>
      <c r="H27" s="30" t="str">
        <f>IF(OR('Cover Page'!B17="X",'Cover Page'!B18="X"),"YES","NO")</f>
        <v>NO</v>
      </c>
    </row>
    <row r="28" spans="1:8" ht="27" customHeight="1">
      <c r="A28" s="72">
        <v>21</v>
      </c>
      <c r="B28" s="1016" t="s">
        <v>636</v>
      </c>
      <c r="C28" s="1017"/>
      <c r="D28" s="1017"/>
      <c r="E28" s="1017"/>
      <c r="F28" s="1017"/>
      <c r="G28" s="1026"/>
      <c r="H28" s="30" t="str">
        <f>IF('SCH 4-1 Revenue'!F20&gt;0,"YES","NO")</f>
        <v>NO</v>
      </c>
    </row>
    <row r="29" spans="1:8" ht="18" customHeight="1" thickBot="1">
      <c r="A29" s="960">
        <v>22</v>
      </c>
      <c r="B29" s="1003" t="s">
        <v>663</v>
      </c>
      <c r="C29" s="1004"/>
      <c r="D29" s="1004"/>
      <c r="E29" s="1004"/>
      <c r="F29" s="1004"/>
      <c r="G29" s="1034"/>
      <c r="H29" s="889" t="str">
        <f>IF(AND(SUM('SCH 4-1 Revenue'!F16:F18)&gt;0,'SCH 11-1 Budget Questions'!C21="No"),"YES","NO")</f>
        <v>NO</v>
      </c>
    </row>
    <row r="30" spans="1:8" ht="15" customHeight="1" thickTop="1">
      <c r="A30" s="957"/>
      <c r="B30" s="407"/>
      <c r="C30" s="1031" t="s">
        <v>333</v>
      </c>
      <c r="D30" s="1031"/>
      <c r="E30" s="1031"/>
      <c r="F30" s="1031"/>
      <c r="G30" s="407"/>
      <c r="H30" s="407" t="s">
        <v>639</v>
      </c>
    </row>
    <row r="31" spans="1:8" ht="15" customHeight="1">
      <c r="A31" s="1048" t="s">
        <v>664</v>
      </c>
      <c r="B31" s="1048"/>
      <c r="C31" s="1048"/>
      <c r="D31" s="1048"/>
      <c r="E31" s="1048"/>
      <c r="F31" s="1048"/>
      <c r="G31" s="1048"/>
      <c r="H31" s="1048"/>
    </row>
    <row r="32" spans="1:8" ht="35.25" customHeight="1">
      <c r="A32" s="72">
        <v>23</v>
      </c>
      <c r="B32" s="1016" t="s">
        <v>634</v>
      </c>
      <c r="C32" s="1017"/>
      <c r="D32" s="1017"/>
      <c r="E32" s="1017"/>
      <c r="F32" s="1017"/>
      <c r="G32" s="1026"/>
      <c r="H32" s="186" t="str">
        <f>IF(OR('Cover Page'!B17="X",'Cover Page'!B18="X",'Cover Page'!B19="X"),IF(SUM('SCH 12-1 Low Budget'!R43)&gt;0,"YES","NO"),"NO")</f>
        <v>NO</v>
      </c>
    </row>
    <row r="33" spans="1:8" ht="27" customHeight="1">
      <c r="A33" s="72">
        <v>24</v>
      </c>
      <c r="B33" s="1016" t="s">
        <v>633</v>
      </c>
      <c r="C33" s="1017"/>
      <c r="D33" s="1017"/>
      <c r="E33" s="1017"/>
      <c r="F33" s="1017"/>
      <c r="G33" s="1026"/>
      <c r="H33" s="186" t="str">
        <f>IF(OR('Cover Page'!B17="X",'Cover Page'!B18="X",'Cover Page'!B19="X"),IF(SUM('SCH 12-1 Low Budget'!R45,'SCH 12-1 Low Budget'!R47)&gt;0,"YES","NO"),"NO")</f>
        <v>NO</v>
      </c>
    </row>
    <row r="34" spans="1:8" ht="36.75" customHeight="1">
      <c r="A34" s="54">
        <v>25</v>
      </c>
      <c r="B34" s="1016" t="s">
        <v>837</v>
      </c>
      <c r="C34" s="1017"/>
      <c r="D34" s="1017"/>
      <c r="E34" s="1017"/>
      <c r="F34" s="1017"/>
      <c r="G34" s="1026"/>
      <c r="H34" s="186" t="str">
        <f>IF(OR('Cover Page'!B17="X",'Cover Page'!B18="X",'Cover Page'!B19="X"),IF(SUM('SCH 12-1 Low Budget'!R43:'SCH 12-1 Low Budget'!R45)&gt;0,"YES","NO"),"NO")</f>
        <v>NO</v>
      </c>
    </row>
    <row r="35" spans="1:8" ht="36.75" customHeight="1">
      <c r="A35" s="72">
        <v>26</v>
      </c>
      <c r="B35" s="1016" t="s">
        <v>755</v>
      </c>
      <c r="C35" s="1017"/>
      <c r="D35" s="1017"/>
      <c r="E35" s="1017"/>
      <c r="F35" s="1017"/>
      <c r="G35" s="1026"/>
      <c r="H35" s="186" t="str">
        <f>IF(OR('Cover Page'!B17="X",'Cover Page'!B18="X",'Cover Page'!B19="X"),IF('SCH 12-1 Low Budget'!R46&gt;0,"YES","NO"),"NO")</f>
        <v>NO</v>
      </c>
    </row>
    <row r="36" spans="1:8" ht="45" customHeight="1">
      <c r="A36" s="72">
        <v>27</v>
      </c>
      <c r="B36" s="1016" t="s">
        <v>689</v>
      </c>
      <c r="C36" s="1017"/>
      <c r="D36" s="1017"/>
      <c r="E36" s="1017"/>
      <c r="F36" s="1017"/>
      <c r="G36" s="1026"/>
      <c r="H36" s="186" t="str">
        <f>IF(OR('Cover Page'!B17="X",'Cover Page'!B18="X",'Cover Page'!B19="X"),IF('SCH 12-1 Low Budget'!R46&gt;0,"YES","NO"),"NO")</f>
        <v>NO</v>
      </c>
    </row>
    <row r="37" spans="1:8" ht="15.75" customHeight="1" thickBot="1">
      <c r="A37" s="960">
        <v>28</v>
      </c>
      <c r="B37" s="1003" t="s">
        <v>449</v>
      </c>
      <c r="C37" s="1032"/>
      <c r="D37" s="1032"/>
      <c r="E37" s="1032"/>
      <c r="F37" s="1032"/>
      <c r="G37" s="1033"/>
      <c r="H37" s="535" t="str">
        <f>IF(OR('Cover Page'!B17="X",'Cover Page'!B18="X",'Cover Page'!B19="X"),IF('SCH 12-1 Low Budget'!R47&gt;0,"YES","NO"),"NO")</f>
        <v>NO</v>
      </c>
    </row>
    <row r="38" ht="10.5" thickTop="1"/>
    <row r="39" spans="2:7" ht="9.75">
      <c r="B39" s="1027"/>
      <c r="C39" s="1027"/>
      <c r="D39" s="1027"/>
      <c r="E39" s="1028"/>
      <c r="F39" s="1028"/>
      <c r="G39" s="1028"/>
    </row>
  </sheetData>
  <sheetProtection password="EBD1" sheet="1"/>
  <mergeCells count="40">
    <mergeCell ref="B7:G7"/>
    <mergeCell ref="B12:G12"/>
    <mergeCell ref="A31:H31"/>
    <mergeCell ref="B11:G11"/>
    <mergeCell ref="B10:G10"/>
    <mergeCell ref="B15:G15"/>
    <mergeCell ref="B16:H16"/>
    <mergeCell ref="B27:G27"/>
    <mergeCell ref="B19:G19"/>
    <mergeCell ref="B20:G20"/>
    <mergeCell ref="A5:H5"/>
    <mergeCell ref="C6:F6"/>
    <mergeCell ref="B8:G8"/>
    <mergeCell ref="B9:G9"/>
    <mergeCell ref="B13:G13"/>
    <mergeCell ref="B33:G33"/>
    <mergeCell ref="B18:H18"/>
    <mergeCell ref="B14:G14"/>
    <mergeCell ref="B28:G28"/>
    <mergeCell ref="B23:G23"/>
    <mergeCell ref="B36:G36"/>
    <mergeCell ref="B29:G29"/>
    <mergeCell ref="A1:H1"/>
    <mergeCell ref="A2:H2"/>
    <mergeCell ref="A3:H3"/>
    <mergeCell ref="A4:G4"/>
    <mergeCell ref="B26:G26"/>
    <mergeCell ref="B25:G25"/>
    <mergeCell ref="B21:G21"/>
    <mergeCell ref="B17:G17"/>
    <mergeCell ref="B39:D39"/>
    <mergeCell ref="E39:G39"/>
    <mergeCell ref="K20:P20"/>
    <mergeCell ref="B22:G22"/>
    <mergeCell ref="C30:F30"/>
    <mergeCell ref="B24:G24"/>
    <mergeCell ref="B37:G37"/>
    <mergeCell ref="B35:G35"/>
    <mergeCell ref="B34:G34"/>
    <mergeCell ref="B32:G32"/>
  </mergeCells>
  <conditionalFormatting sqref="H8 H37 H19:H27 H30 H32:H35 H17 H11 H13:H15">
    <cfRule type="containsText" priority="12" dxfId="57" operator="containsText" stopIfTrue="1" text="YES">
      <formula>NOT(ISERROR(SEARCH("YES",H8)))</formula>
    </cfRule>
  </conditionalFormatting>
  <conditionalFormatting sqref="H10">
    <cfRule type="containsText" priority="6" dxfId="57" operator="containsText" stopIfTrue="1" text="YES">
      <formula>NOT(ISERROR(SEARCH("YES",H10)))</formula>
    </cfRule>
  </conditionalFormatting>
  <conditionalFormatting sqref="H36">
    <cfRule type="containsText" priority="4" dxfId="57" operator="containsText" stopIfTrue="1" text="YES">
      <formula>NOT(ISERROR(SEARCH("YES",H36)))</formula>
    </cfRule>
  </conditionalFormatting>
  <conditionalFormatting sqref="H9">
    <cfRule type="containsText" priority="3" dxfId="57" operator="containsText" stopIfTrue="1" text="YES">
      <formula>NOT(ISERROR(SEARCH("YES",H9)))</formula>
    </cfRule>
  </conditionalFormatting>
  <conditionalFormatting sqref="H28:H29">
    <cfRule type="containsText" priority="2" dxfId="57" operator="containsText" stopIfTrue="1" text="YES">
      <formula>NOT(ISERROR(SEARCH("YES",H28)))</formula>
    </cfRule>
  </conditionalFormatting>
  <conditionalFormatting sqref="H12">
    <cfRule type="containsText" priority="1" dxfId="57" operator="containsText" stopIfTrue="1" text="YES">
      <formula>NOT(ISERROR(SEARCH("YES",H12)))</formula>
    </cfRule>
  </conditionalFormatting>
  <dataValidations count="1">
    <dataValidation errorStyle="warning" type="date" allowBlank="1" showInputMessage="1" showErrorMessage="1" errorTitle="Date of Rental Agreement" error="The anticipated date that the agreement will be completed must be entered in this cell." sqref="B16:H16 B18:H18">
      <formula1>42370</formula1>
      <formula2>44177</formula2>
    </dataValidation>
  </dataValidations>
  <printOptions/>
  <pageMargins left="0.39" right="0.35" top="0.6" bottom="0.39" header="0.39" footer="0.27"/>
  <pageSetup firstPageNumber="1" useFirstPageNumber="1" fitToHeight="2" fitToWidth="1" horizontalDpi="600" verticalDpi="600" orientation="portrait" scale="93" r:id="rId2"/>
  <headerFooter alignWithMargins="0">
    <oddHeader>&amp;LPI-PCP-14&amp;RPage 1</oddHeader>
  </headerFooter>
  <drawing r:id="rId1"/>
</worksheet>
</file>

<file path=xl/worksheets/sheet7.xml><?xml version="1.0" encoding="utf-8"?>
<worksheet xmlns="http://schemas.openxmlformats.org/spreadsheetml/2006/main" xmlns:r="http://schemas.openxmlformats.org/officeDocument/2006/relationships">
  <dimension ref="A1:K73"/>
  <sheetViews>
    <sheetView showGridLines="0" zoomScale="85" zoomScaleNormal="85" zoomScaleSheetLayoutView="100" workbookViewId="0" topLeftCell="A1">
      <selection activeCell="F22" sqref="F22"/>
    </sheetView>
  </sheetViews>
  <sheetFormatPr defaultColWidth="9.140625" defaultRowHeight="12.75"/>
  <cols>
    <col min="1" max="2" width="4.421875" style="112" customWidth="1"/>
    <col min="3" max="3" width="26.140625" style="112" customWidth="1"/>
    <col min="4" max="4" width="17.421875" style="112" customWidth="1"/>
    <col min="5" max="5" width="15.57421875" style="37" customWidth="1"/>
    <col min="6" max="6" width="17.421875" style="37" customWidth="1"/>
    <col min="7" max="7" width="17.8515625" style="37" customWidth="1"/>
    <col min="8" max="11" width="9.140625" style="37" customWidth="1"/>
    <col min="12" max="16384" width="9.140625" style="37" customWidth="1"/>
  </cols>
  <sheetData>
    <row r="1" spans="1:8" ht="12.75" customHeight="1">
      <c r="A1" s="1069">
        <f>'Cover Page'!A9</f>
        <v>0</v>
      </c>
      <c r="B1" s="1069"/>
      <c r="C1" s="1069"/>
      <c r="D1" s="1069"/>
      <c r="E1" s="1069"/>
      <c r="F1" s="1069"/>
      <c r="G1" s="1069"/>
      <c r="H1" s="113"/>
    </row>
    <row r="2" spans="1:7" ht="12.75" customHeight="1">
      <c r="A2" s="1073" t="s">
        <v>36</v>
      </c>
      <c r="B2" s="1073"/>
      <c r="C2" s="1073"/>
      <c r="D2" s="1073"/>
      <c r="E2" s="1073"/>
      <c r="F2" s="1073"/>
      <c r="G2" s="1073"/>
    </row>
    <row r="3" spans="1:7" ht="12.75" customHeight="1" thickBot="1">
      <c r="A3" s="1074" t="str">
        <f>'Required Attachments'!A3</f>
        <v>Budget for the period from July 1, 2022 to June 30, 2023</v>
      </c>
      <c r="B3" s="1074"/>
      <c r="C3" s="1074"/>
      <c r="D3" s="1074"/>
      <c r="E3" s="1074"/>
      <c r="F3" s="1074"/>
      <c r="G3" s="1074"/>
    </row>
    <row r="4" spans="1:7" ht="39.75" customHeight="1" thickBot="1" thickTop="1">
      <c r="A4" s="1075" t="s">
        <v>604</v>
      </c>
      <c r="B4" s="1075"/>
      <c r="C4" s="1075"/>
      <c r="D4" s="1075"/>
      <c r="E4" s="1075"/>
      <c r="F4" s="1075"/>
      <c r="G4" s="1075"/>
    </row>
    <row r="5" spans="1:11" ht="16.5" customHeight="1" thickTop="1">
      <c r="A5" s="90"/>
      <c r="B5" s="90"/>
      <c r="C5" s="90"/>
      <c r="D5" s="1061" t="s">
        <v>70</v>
      </c>
      <c r="E5" s="1061"/>
      <c r="F5" s="90"/>
      <c r="G5" s="90"/>
      <c r="H5" s="130"/>
      <c r="I5" s="130"/>
      <c r="K5" s="151"/>
    </row>
    <row r="6" spans="1:7" ht="15.75" customHeight="1">
      <c r="A6" s="133"/>
      <c r="B6" s="134" t="s">
        <v>5</v>
      </c>
      <c r="C6" s="1058" t="s">
        <v>55</v>
      </c>
      <c r="D6" s="1059"/>
      <c r="E6" s="1059"/>
      <c r="F6" s="1060"/>
      <c r="G6" s="132" t="s">
        <v>71</v>
      </c>
    </row>
    <row r="7" spans="1:8" ht="15.75" customHeight="1">
      <c r="A7" s="131" t="s">
        <v>37</v>
      </c>
      <c r="B7" s="134">
        <v>1</v>
      </c>
      <c r="C7" s="1055" t="s">
        <v>813</v>
      </c>
      <c r="D7" s="1056"/>
      <c r="E7" s="1056"/>
      <c r="F7" s="1057"/>
      <c r="G7" s="132" t="str">
        <f>IF(AND('Cover Page'!B13="",'Cover Page'!B14="",'Cover Page'!E13="",'Cover Page'!E14=""),"ERROR",IF(OR('Cover Page'!A9="",'Cover Page'!A11="",'Cover Page'!G11="",'Cover Page'!A33="",'Cover Page'!H33="",'Cover Page'!A36="",'Cover Page'!E36="",'Cover Page'!A38=""),"ERROR","OK"))</f>
        <v>ERROR</v>
      </c>
      <c r="H7" s="151"/>
    </row>
    <row r="8" spans="1:8" ht="15.75" customHeight="1">
      <c r="A8" s="809" t="s">
        <v>37</v>
      </c>
      <c r="B8" s="810">
        <v>2</v>
      </c>
      <c r="C8" s="1076" t="s">
        <v>550</v>
      </c>
      <c r="D8" s="1077"/>
      <c r="E8" s="1077"/>
      <c r="F8" s="1078"/>
      <c r="G8" s="811" t="str">
        <f>IF(AND('Cover Page'!B17="",'Cover Page'!B18="",'Cover Page'!B19="",'Cover Page'!B20="",'Cover Page'!B21=""),"ERROR","OK")</f>
        <v>ERROR</v>
      </c>
      <c r="H8" s="151"/>
    </row>
    <row r="9" spans="1:8" ht="15.75" customHeight="1" thickBot="1">
      <c r="A9" s="809" t="s">
        <v>37</v>
      </c>
      <c r="B9" s="810">
        <v>3</v>
      </c>
      <c r="C9" s="1062" t="s">
        <v>551</v>
      </c>
      <c r="D9" s="1063"/>
      <c r="E9" s="1063"/>
      <c r="F9" s="1064"/>
      <c r="G9" s="811" t="str">
        <f>IF('Cover Page'!B17="X",IF(OR('Cover Page'!B18="X",'Cover Page'!B19="X",'Cover Page'!B20="X",'Cover Page'!B21="X"),"ERROR","OK"),"OK")</f>
        <v>OK</v>
      </c>
      <c r="H9" s="151"/>
    </row>
    <row r="10" spans="1:11" ht="16.5" customHeight="1" thickTop="1">
      <c r="A10" s="90"/>
      <c r="B10" s="90"/>
      <c r="C10" s="90"/>
      <c r="D10" s="1061" t="s">
        <v>513</v>
      </c>
      <c r="E10" s="1061"/>
      <c r="F10" s="90"/>
      <c r="G10" s="90"/>
      <c r="H10" s="130"/>
      <c r="I10" s="130"/>
      <c r="K10" s="151"/>
    </row>
    <row r="11" spans="1:8" ht="16.5" customHeight="1">
      <c r="A11" s="131" t="s">
        <v>37</v>
      </c>
      <c r="B11" s="134">
        <v>4</v>
      </c>
      <c r="C11" s="1065" t="s">
        <v>705</v>
      </c>
      <c r="D11" s="1065"/>
      <c r="E11" s="1065"/>
      <c r="F11" s="1065"/>
      <c r="G11" s="132" t="str">
        <f>IF(SUM('SCH 2-1 All &amp; Choice Pupils'!J16:L16)&gt;0,"ERROR","OK")</f>
        <v>OK</v>
      </c>
      <c r="H11" s="151"/>
    </row>
    <row r="12" spans="1:8" ht="16.5" customHeight="1">
      <c r="A12" s="131" t="s">
        <v>37</v>
      </c>
      <c r="B12" s="134">
        <v>5</v>
      </c>
      <c r="C12" s="1065" t="s">
        <v>706</v>
      </c>
      <c r="D12" s="1065"/>
      <c r="E12" s="1065"/>
      <c r="F12" s="1065"/>
      <c r="G12" s="132" t="str">
        <f>IF(AND('SCH 2-1 All &amp; Choice Pupils'!D16&gt;0,'SCH 2-1 All &amp; Choice Pupils'!E16&gt;0,'SCH 2-1 All &amp; Choice Pupils'!F16&gt;0),"OK","ERROR")</f>
        <v>ERROR</v>
      </c>
      <c r="H12" s="151"/>
    </row>
    <row r="13" spans="1:8" ht="16.5" customHeight="1">
      <c r="A13" s="131" t="s">
        <v>37</v>
      </c>
      <c r="B13" s="134">
        <v>6</v>
      </c>
      <c r="C13" s="1065" t="s">
        <v>707</v>
      </c>
      <c r="D13" s="1065"/>
      <c r="E13" s="1065"/>
      <c r="F13" s="1065"/>
      <c r="G13" s="132" t="str">
        <f>IF(OR('Cover Page'!B17="X",'Cover Page'!B18="X",'Cover Page'!B19="X"),IF(AND('SCH 2-1 All &amp; Choice Pupils'!D28&gt;0,'SCH 2-1 All &amp; Choice Pupils'!E28&gt;0,'SCH 2-1 All &amp; Choice Pupils'!F28&gt;0),"OK","ERROR"),"OK")</f>
        <v>OK</v>
      </c>
      <c r="H13" s="151"/>
    </row>
    <row r="14" spans="1:8" ht="16.5" customHeight="1">
      <c r="A14" s="131" t="s">
        <v>37</v>
      </c>
      <c r="B14" s="134">
        <v>7</v>
      </c>
      <c r="C14" s="383" t="s">
        <v>605</v>
      </c>
      <c r="D14" s="384"/>
      <c r="E14" s="384"/>
      <c r="F14" s="385"/>
      <c r="G14" s="132" t="str">
        <f>IF(AND('SCH 2-1 All &amp; Choice Pupils'!H31=0,'SCH 2-1 All &amp; Choice Pupils'!H32=0,'SCH 2-1 All &amp; Choice Pupils'!H33=0,'SCH 2-1 All &amp; Choice Pupils'!H34=0),"OK","ERROR")</f>
        <v>OK</v>
      </c>
      <c r="H14" s="151"/>
    </row>
    <row r="15" spans="1:8" ht="16.5" customHeight="1">
      <c r="A15" s="131" t="s">
        <v>37</v>
      </c>
      <c r="B15" s="134">
        <v>8</v>
      </c>
      <c r="C15" s="1065" t="s">
        <v>708</v>
      </c>
      <c r="D15" s="1065"/>
      <c r="E15" s="1065"/>
      <c r="F15" s="1065"/>
      <c r="G15" s="132" t="str">
        <f>IF(OR('Cover Page'!B20="X",'Cover Page'!B21="X"),IF(AND('SCH 2-2 SNSP Pupils'!D29&gt;0,'SCH 2-2 SNSP Pupils'!E29&gt;0,'SCH 2-2 SNSP Pupils'!F29&gt;0),"OK","ERROR"),"OK")</f>
        <v>OK</v>
      </c>
      <c r="H15" s="151"/>
    </row>
    <row r="16" spans="1:7" ht="16.5" customHeight="1" thickBot="1">
      <c r="A16" s="131" t="s">
        <v>37</v>
      </c>
      <c r="B16" s="134">
        <v>9</v>
      </c>
      <c r="C16" s="1070" t="s">
        <v>514</v>
      </c>
      <c r="D16" s="1071"/>
      <c r="E16" s="1071"/>
      <c r="F16" s="1072"/>
      <c r="G16" s="132" t="str">
        <f>IF(AND(('SCH 2-1 All &amp; Choice Pupils'!H8+'SCH 2-1 All &amp; Choice Pupils'!H20+'SCH 2-2 SNSP Pupils'!H8+'SCH 2-2 SNSP Pupils'!H20)&gt;0,'SCH 2-3 Outreach'!E28&lt;87.5),"ERROR","OK")</f>
        <v>OK</v>
      </c>
    </row>
    <row r="17" spans="1:11" ht="16.5" customHeight="1" thickTop="1">
      <c r="A17" s="90"/>
      <c r="B17" s="90"/>
      <c r="C17" s="90"/>
      <c r="D17" s="1061" t="s">
        <v>287</v>
      </c>
      <c r="E17" s="1061"/>
      <c r="F17" s="90"/>
      <c r="G17" s="90"/>
      <c r="H17" s="130"/>
      <c r="I17" s="130"/>
      <c r="K17" s="151"/>
    </row>
    <row r="18" spans="1:7" ht="16.5" customHeight="1">
      <c r="A18" s="131" t="s">
        <v>37</v>
      </c>
      <c r="B18" s="134">
        <v>10</v>
      </c>
      <c r="C18" s="1070" t="s">
        <v>111</v>
      </c>
      <c r="D18" s="1071"/>
      <c r="E18" s="1071"/>
      <c r="F18" s="1072"/>
      <c r="G18" s="132" t="str">
        <f>IF('SCH 3-1 Expenses'!M18&gt;0,"ERROR","OK")</f>
        <v>OK</v>
      </c>
    </row>
    <row r="19" spans="1:7" ht="16.5" customHeight="1">
      <c r="A19" s="131" t="s">
        <v>37</v>
      </c>
      <c r="B19" s="134">
        <v>11</v>
      </c>
      <c r="C19" s="1070" t="s">
        <v>85</v>
      </c>
      <c r="D19" s="1071"/>
      <c r="E19" s="1071"/>
      <c r="F19" s="1072"/>
      <c r="G19" s="132" t="str">
        <f>IF(AND('SCH 3-1 Expenses'!D17&gt;0,'SCH 3-1 Expenses'!B20=""),"ERROR","OK")</f>
        <v>OK</v>
      </c>
    </row>
    <row r="20" spans="1:7" ht="16.5" customHeight="1">
      <c r="A20" s="131" t="s">
        <v>37</v>
      </c>
      <c r="B20" s="134">
        <v>12</v>
      </c>
      <c r="C20" s="1070" t="s">
        <v>274</v>
      </c>
      <c r="D20" s="1071"/>
      <c r="E20" s="1071"/>
      <c r="F20" s="1072"/>
      <c r="G20" s="132" t="str">
        <f>IF('SCH 3-2 Expenses'!I17&gt;0,"ERROR","OK")</f>
        <v>ERROR</v>
      </c>
    </row>
    <row r="21" spans="1:7" ht="16.5" customHeight="1">
      <c r="A21" s="131" t="s">
        <v>37</v>
      </c>
      <c r="B21" s="134">
        <v>13</v>
      </c>
      <c r="C21" s="1066" t="s">
        <v>275</v>
      </c>
      <c r="D21" s="1067"/>
      <c r="E21" s="1067"/>
      <c r="F21" s="1068"/>
      <c r="G21" s="132" t="str">
        <f>IF('SCH 3-3 Expenses'!H14&gt;0,"ERROR","OK")</f>
        <v>ERROR</v>
      </c>
    </row>
    <row r="22" spans="1:7" ht="16.5" customHeight="1">
      <c r="A22" s="131" t="s">
        <v>37</v>
      </c>
      <c r="B22" s="134">
        <v>14</v>
      </c>
      <c r="C22" s="642" t="s">
        <v>519</v>
      </c>
      <c r="D22" s="643"/>
      <c r="E22" s="643"/>
      <c r="F22" s="644"/>
      <c r="G22" s="132" t="str">
        <f>IF('SCH 3-3 Expenses'!C8&gt;0,"OK","ERROR")</f>
        <v>ERROR</v>
      </c>
    </row>
    <row r="23" spans="1:7" ht="16.5" customHeight="1">
      <c r="A23" s="131" t="s">
        <v>37</v>
      </c>
      <c r="B23" s="134">
        <v>15</v>
      </c>
      <c r="C23" s="642" t="s">
        <v>515</v>
      </c>
      <c r="D23" s="643"/>
      <c r="E23" s="643"/>
      <c r="F23" s="644"/>
      <c r="G23" s="132" t="str">
        <f>IF(OR('SCH 1 General Info'!D28="X",'SCH 1 General Info'!D29="X"),IF('SCH 3-3 Expenses'!C11=0,"ERROR","OK"),"OK")</f>
        <v>OK</v>
      </c>
    </row>
    <row r="24" spans="1:7" ht="16.5" customHeight="1">
      <c r="A24" s="131" t="s">
        <v>37</v>
      </c>
      <c r="B24" s="134">
        <v>16</v>
      </c>
      <c r="C24" s="521" t="s">
        <v>783</v>
      </c>
      <c r="D24" s="384"/>
      <c r="E24" s="384"/>
      <c r="F24" s="385"/>
      <c r="G24" s="132" t="str">
        <f>IF(SUM('SCH 3-1 Expenses'!D24:D26)&gt;'SCH 3-1 Expenses'!D28,"ERROR","OK")</f>
        <v>OK</v>
      </c>
    </row>
    <row r="25" spans="1:7" ht="16.5" customHeight="1">
      <c r="A25" s="131" t="s">
        <v>37</v>
      </c>
      <c r="B25" s="134">
        <v>17</v>
      </c>
      <c r="C25" s="1066" t="s">
        <v>289</v>
      </c>
      <c r="D25" s="1067"/>
      <c r="E25" s="1067"/>
      <c r="F25" s="1068"/>
      <c r="G25" s="132" t="str">
        <f>IF('Cover Page'!E14="",IF(OR(SUM('SCH 3-1 Expenses'!D26:H26)&gt;0,'SCH 3-3 Expenses'!C18&gt;0,'SCH 3-3 Expenses'!D18&gt;0),"ERROR","OK"),"OK")</f>
        <v>OK</v>
      </c>
    </row>
    <row r="26" spans="1:7" ht="16.5" customHeight="1">
      <c r="A26" s="131" t="s">
        <v>37</v>
      </c>
      <c r="B26" s="134">
        <v>18</v>
      </c>
      <c r="C26" s="1066" t="str">
        <f>"The prepaid balance on Schedule 3-3 is less than the DPI auditor fee as of "&amp;Months!B21&amp;" or "&amp;Months!B22</f>
        <v>The prepaid balance on Schedule 3-3 is less than the DPI auditor fee as of 6/30/22 or 6/30/23</v>
      </c>
      <c r="D26" s="1067"/>
      <c r="E26" s="1067"/>
      <c r="F26" s="1068"/>
      <c r="G26" s="132" t="str">
        <f>IF(OR('Cover Page'!B13="X",'Cover Page'!B14="X",'Cover Page'!E13="X"),IF(OR('SCH 3-3 Expenses'!E28&lt;Auditor_fee,'SCH 3-3 Expenses'!E44&lt;Auditor_fee),"ERROR","OK"),"OK")</f>
        <v>OK</v>
      </c>
    </row>
    <row r="27" spans="1:7" ht="16.5" customHeight="1">
      <c r="A27" s="131" t="s">
        <v>37</v>
      </c>
      <c r="B27" s="134">
        <v>19</v>
      </c>
      <c r="C27" s="1066" t="s">
        <v>580</v>
      </c>
      <c r="D27" s="1067"/>
      <c r="E27" s="1067"/>
      <c r="F27" s="1068"/>
      <c r="G27" s="132" t="str">
        <f>IF(OR('Cover Page'!B13="X",'Cover Page'!B14="X",'Cover Page'!E13="X"),IF('SCH 3-3 Expenses'!C12&gt;0,"OK","ERROR"),"OK")</f>
        <v>OK</v>
      </c>
    </row>
    <row r="28" spans="1:7" ht="16.5" customHeight="1">
      <c r="A28" s="131" t="s">
        <v>37</v>
      </c>
      <c r="B28" s="134">
        <v>20</v>
      </c>
      <c r="C28" s="842" t="s">
        <v>591</v>
      </c>
      <c r="D28" s="843"/>
      <c r="E28" s="843"/>
      <c r="F28" s="844"/>
      <c r="G28" s="132" t="str">
        <f>IF(OR('SCH 3-1 Expenses'!I44=0,SUM('SCH 3-2 Expenses'!C44:F44)=0,SUM('SCH 3-3 Expenses'!C43:E43)=0),"ERROR","OK")</f>
        <v>ERROR</v>
      </c>
    </row>
    <row r="29" spans="1:7" ht="16.5" customHeight="1">
      <c r="A29" s="131" t="s">
        <v>37</v>
      </c>
      <c r="B29" s="134">
        <v>21</v>
      </c>
      <c r="C29" s="842" t="s">
        <v>590</v>
      </c>
      <c r="D29" s="843"/>
      <c r="E29" s="843"/>
      <c r="F29" s="844"/>
      <c r="G29" s="132" t="str">
        <f>IF(OR('SCH 3-1 Expenses'!I24=0,SUM('SCH 3-2 Expenses'!C26:F26)=0,SUM('SCH 3-3 Expenses'!C25:E25)=0),"ERROR","OK")</f>
        <v>ERROR</v>
      </c>
    </row>
    <row r="30" spans="1:7" ht="16.5" customHeight="1" thickBot="1">
      <c r="A30" s="131" t="s">
        <v>37</v>
      </c>
      <c r="B30" s="134">
        <v>22</v>
      </c>
      <c r="C30" s="862" t="s">
        <v>628</v>
      </c>
      <c r="D30" s="863"/>
      <c r="E30" s="863"/>
      <c r="F30" s="864"/>
      <c r="G30" s="132" t="str">
        <f>IF(OR('SCH 3-1 Expenses'!D46&lt;0,'SCH 3-1 Expenses'!F46&lt;0,'SCH 3-1 Expenses'!G46&lt;0,'SCH 3-1 Expenses'!H46&lt;0,'SCH 3-2 Expenses'!C46&lt;0,'SCH 3-2 Expenses'!D46&lt;0,'SCH 3-2 Expenses'!E46&lt;0,'SCH 3-2 Expenses'!F46&lt;0,'SCH 3-3 Expenses'!C45&lt;0,'SCH 3-3 Expenses'!D45&lt;0,'SCH 3-3 Expenses'!E45&lt;0),"ERROR","OK")</f>
        <v>OK</v>
      </c>
    </row>
    <row r="31" spans="1:11" ht="16.5" customHeight="1" thickTop="1">
      <c r="A31" s="90"/>
      <c r="B31" s="90"/>
      <c r="C31" s="90"/>
      <c r="D31" s="1061" t="s">
        <v>286</v>
      </c>
      <c r="E31" s="1061"/>
      <c r="F31" s="90"/>
      <c r="G31" s="90"/>
      <c r="H31" s="130"/>
      <c r="I31" s="130"/>
      <c r="K31" s="151"/>
    </row>
    <row r="32" spans="1:7" ht="16.5" customHeight="1">
      <c r="A32" s="131" t="s">
        <v>37</v>
      </c>
      <c r="B32" s="134">
        <v>23</v>
      </c>
      <c r="C32" s="1066" t="s">
        <v>747</v>
      </c>
      <c r="D32" s="1067"/>
      <c r="E32" s="1067"/>
      <c r="F32" s="1068"/>
      <c r="G32" s="132" t="str">
        <f>IF('SCH 4-1 Revenue'!I23&gt;0,"ERROR","OK")</f>
        <v>OK</v>
      </c>
    </row>
    <row r="33" spans="1:7" ht="16.5" customHeight="1">
      <c r="A33" s="131" t="s">
        <v>37</v>
      </c>
      <c r="B33" s="134">
        <v>24</v>
      </c>
      <c r="C33" s="982" t="s">
        <v>834</v>
      </c>
      <c r="D33" s="983"/>
      <c r="E33" s="983"/>
      <c r="F33" s="984"/>
      <c r="G33" s="986" t="str">
        <f>IF('SCH 4-1 Revenue'!D7&gt;MAX('SCH 2-1 All &amp; Choice Pupils'!D16:F16)-MAX('SCH 2-1 All &amp; Choice Pupils'!D28:F28),"ERROR","OK")</f>
        <v>OK</v>
      </c>
    </row>
    <row r="34" spans="1:7" ht="16.5" customHeight="1">
      <c r="A34" s="131" t="s">
        <v>37</v>
      </c>
      <c r="B34" s="134">
        <v>25</v>
      </c>
      <c r="C34" s="982" t="s">
        <v>828</v>
      </c>
      <c r="D34" s="983"/>
      <c r="E34" s="983"/>
      <c r="F34" s="984"/>
      <c r="G34" s="986" t="str">
        <f>IF('SCH 4-1 Revenue'!D8&gt;MAX('SCH 2-1 All &amp; Choice Pupils'!D27:F27),"ERROR","OK")</f>
        <v>OK</v>
      </c>
    </row>
    <row r="35" spans="1:7" ht="16.5" customHeight="1">
      <c r="A35" s="131" t="s">
        <v>37</v>
      </c>
      <c r="B35" s="134">
        <v>26</v>
      </c>
      <c r="C35" s="985" t="s">
        <v>835</v>
      </c>
      <c r="D35" s="983"/>
      <c r="E35" s="983"/>
      <c r="F35" s="984"/>
      <c r="G35" s="986" t="str">
        <f>IF('SCH 4-1 Revenue'!D11&gt;MAX('SCH 2-1 All &amp; Choice Pupils'!D16:F16)-MAX('SCH 2-1 All &amp; Choice Pupils'!D28:F28),"ERROR","OK")</f>
        <v>OK</v>
      </c>
    </row>
    <row r="36" spans="1:7" ht="16.5" customHeight="1">
      <c r="A36" s="131" t="s">
        <v>37</v>
      </c>
      <c r="B36" s="134">
        <v>27</v>
      </c>
      <c r="C36" s="982" t="s">
        <v>829</v>
      </c>
      <c r="D36" s="983"/>
      <c r="E36" s="983"/>
      <c r="F36" s="984"/>
      <c r="G36" s="132" t="str">
        <f>IF('SCH 4-1 Revenue'!D12&gt;MAX('SCH 2-1 All &amp; Choice Pupils'!D28:F28),"ERROR","OK")</f>
        <v>OK</v>
      </c>
    </row>
    <row r="37" spans="1:7" ht="16.5" customHeight="1">
      <c r="A37" s="131" t="s">
        <v>37</v>
      </c>
      <c r="B37" s="134">
        <v>28</v>
      </c>
      <c r="C37" s="1066" t="s">
        <v>748</v>
      </c>
      <c r="D37" s="1067"/>
      <c r="E37" s="1067"/>
      <c r="F37" s="1068"/>
      <c r="G37" s="132" t="str">
        <f>IF('SCH 4-4 Revenue'!K12&gt;0,"ERROR","OK")</f>
        <v>OK</v>
      </c>
    </row>
    <row r="38" spans="1:7" ht="16.5" customHeight="1">
      <c r="A38" s="131" t="s">
        <v>37</v>
      </c>
      <c r="B38" s="134">
        <v>29</v>
      </c>
      <c r="C38" s="1066" t="s">
        <v>749</v>
      </c>
      <c r="D38" s="1067"/>
      <c r="E38" s="1067"/>
      <c r="F38" s="1068"/>
      <c r="G38" s="132" t="str">
        <f>IF('SCH 4-2 Revenue'!K27&gt;0,"ERROR","OK")</f>
        <v>OK</v>
      </c>
    </row>
    <row r="39" spans="1:7" ht="16.5" customHeight="1">
      <c r="A39" s="131" t="s">
        <v>37</v>
      </c>
      <c r="B39" s="134">
        <v>30</v>
      </c>
      <c r="C39" s="842" t="s">
        <v>592</v>
      </c>
      <c r="D39" s="843"/>
      <c r="E39" s="843"/>
      <c r="F39" s="844"/>
      <c r="G39" s="132" t="str">
        <f>IF(SUM('SCH 8-2 Jan - Jun Cash Flows'!J8:J15)=0,"ERROR","OK")</f>
        <v>ERROR</v>
      </c>
    </row>
    <row r="40" spans="1:7" ht="16.5" customHeight="1" thickBot="1">
      <c r="A40" s="131" t="s">
        <v>37</v>
      </c>
      <c r="B40" s="134">
        <v>31</v>
      </c>
      <c r="C40" s="862" t="s">
        <v>677</v>
      </c>
      <c r="D40" s="863"/>
      <c r="E40" s="863"/>
      <c r="F40" s="864"/>
      <c r="G40" s="132" t="str">
        <f>IF(OR('SCH 4-1 Revenue'!C45&lt;0,'SCH 4-1 Revenue'!D45&lt;0,'SCH 4-2 Revenue'!D49&lt;0,'SCH 4-2 Revenue'!E49&lt;0,'SCH 4-3 Revenue'!C43&lt;0,'SCH 4-3 Revenue'!D43&lt;0,'SCH 4-3 Revenue'!E43&lt;0,'SCH 4-4 Revenue'!C34&lt;0,'SCH 4-4 Revenue'!D34&lt;0,'SCH 4-4 Revenue'!E34&lt;0,'SCH 4-4 Revenue'!F34&lt;0,'SCH 4-4 Revenue'!G34&lt;0),"ERROR","OK")</f>
        <v>OK</v>
      </c>
    </row>
    <row r="41" spans="1:11" ht="16.5" customHeight="1" thickTop="1">
      <c r="A41" s="90"/>
      <c r="B41" s="90"/>
      <c r="C41" s="90"/>
      <c r="D41" s="1061" t="s">
        <v>293</v>
      </c>
      <c r="E41" s="1061"/>
      <c r="F41" s="90"/>
      <c r="G41" s="90"/>
      <c r="H41" s="130"/>
      <c r="I41" s="130"/>
      <c r="K41" s="151"/>
    </row>
    <row r="42" spans="1:7" ht="21.75" customHeight="1">
      <c r="A42" s="131" t="s">
        <v>37</v>
      </c>
      <c r="B42" s="134">
        <v>32</v>
      </c>
      <c r="C42" s="1055" t="s">
        <v>745</v>
      </c>
      <c r="D42" s="1056"/>
      <c r="E42" s="1056"/>
      <c r="F42" s="1057"/>
      <c r="G42" s="132" t="str">
        <f>IF('SCH 5-1 Fixed Assets'!I23&gt;0,"ERROR","OK")</f>
        <v>OK</v>
      </c>
    </row>
    <row r="43" spans="1:7" ht="16.5" customHeight="1">
      <c r="A43" s="131" t="s">
        <v>37</v>
      </c>
      <c r="B43" s="134">
        <v>33</v>
      </c>
      <c r="C43" s="1066" t="s">
        <v>295</v>
      </c>
      <c r="D43" s="1067"/>
      <c r="E43" s="1067"/>
      <c r="F43" s="1068"/>
      <c r="G43" s="132" t="str">
        <f>IF(OR('SCH 5-2 Fixed Asset Detail'!B8="",'SCH 5-2 Fixed Asset Detail'!C8="",'SCH 5-2 Fixed Asset Detail'!D8="",'SCH 5-2 Fixed Asset Detail'!E8="",'SCH 5-2 Fixed Asset Detail'!G8=""),"ERROR","OK")</f>
        <v>ERROR</v>
      </c>
    </row>
    <row r="44" spans="1:7" ht="16.5" customHeight="1">
      <c r="A44" s="131" t="s">
        <v>37</v>
      </c>
      <c r="B44" s="134">
        <v>34</v>
      </c>
      <c r="C44" s="521" t="s">
        <v>384</v>
      </c>
      <c r="D44" s="384"/>
      <c r="E44" s="384"/>
      <c r="F44" s="385"/>
      <c r="G44" s="132" t="str">
        <f>IF(OR('SCH 5-2 Fixed Asset Detail'!I20="ERROR",'SCH 5-2 Fixed Asset Detail'!I22="ERROR"),"ERROR","OK")</f>
        <v>ERROR</v>
      </c>
    </row>
    <row r="45" spans="1:7" ht="16.5" customHeight="1" thickBot="1">
      <c r="A45" s="131" t="s">
        <v>37</v>
      </c>
      <c r="B45" s="134">
        <v>35</v>
      </c>
      <c r="C45" s="383" t="s">
        <v>746</v>
      </c>
      <c r="D45" s="384"/>
      <c r="E45" s="384"/>
      <c r="F45" s="385"/>
      <c r="G45" s="132" t="str">
        <f>IF(SUM('SCH 5-3 Leases'!I16:L16)&gt;0,"ERROR","OK")</f>
        <v>OK</v>
      </c>
    </row>
    <row r="46" spans="1:11" ht="16.5" customHeight="1" thickTop="1">
      <c r="A46" s="90"/>
      <c r="B46" s="90"/>
      <c r="C46" s="90"/>
      <c r="D46" s="1061" t="s">
        <v>285</v>
      </c>
      <c r="E46" s="1061"/>
      <c r="F46" s="90"/>
      <c r="G46" s="90"/>
      <c r="H46" s="130"/>
      <c r="I46" s="130"/>
      <c r="K46" s="151"/>
    </row>
    <row r="47" spans="1:7" ht="16.5" customHeight="1">
      <c r="A47" s="131" t="s">
        <v>37</v>
      </c>
      <c r="B47" s="134">
        <v>36</v>
      </c>
      <c r="C47" s="1066" t="s">
        <v>385</v>
      </c>
      <c r="D47" s="1067"/>
      <c r="E47" s="1067"/>
      <c r="F47" s="1068"/>
      <c r="G47" s="132" t="str">
        <f>IF('SCH 6 Debt'!J13&gt;0,"ERROR","OK")</f>
        <v>OK</v>
      </c>
    </row>
    <row r="48" spans="1:7" ht="16.5" customHeight="1">
      <c r="A48" s="131" t="s">
        <v>37</v>
      </c>
      <c r="B48" s="134">
        <v>37</v>
      </c>
      <c r="C48" s="1066" t="s">
        <v>414</v>
      </c>
      <c r="D48" s="1067"/>
      <c r="E48" s="1067"/>
      <c r="F48" s="1068"/>
      <c r="G48" s="132" t="str">
        <f>IF('SCH 6 Debt'!D49="OK","OK","ERROR")</f>
        <v>OK</v>
      </c>
    </row>
    <row r="49" spans="1:7" ht="16.5" customHeight="1">
      <c r="A49" s="131" t="s">
        <v>37</v>
      </c>
      <c r="B49" s="134">
        <v>38</v>
      </c>
      <c r="C49" s="1066" t="s">
        <v>416</v>
      </c>
      <c r="D49" s="1067"/>
      <c r="E49" s="1067"/>
      <c r="F49" s="1068"/>
      <c r="G49" s="132" t="str">
        <f>IF('SCH 6 Debt'!J21&gt;0,"ERROR","OK")</f>
        <v>OK</v>
      </c>
    </row>
    <row r="50" spans="1:7" ht="16.5" customHeight="1" thickBot="1">
      <c r="A50" s="131" t="s">
        <v>37</v>
      </c>
      <c r="B50" s="134">
        <v>39</v>
      </c>
      <c r="C50" s="1066" t="s">
        <v>415</v>
      </c>
      <c r="D50" s="1067"/>
      <c r="E50" s="1067"/>
      <c r="F50" s="1068"/>
      <c r="G50" s="132" t="str">
        <f>IF(AND('SCH 6 Debt'!F49="OK",'SCH 6 Debt'!E49="OK"),"OK","ERROR")</f>
        <v>OK</v>
      </c>
    </row>
    <row r="51" spans="1:11" ht="16.5" customHeight="1" thickTop="1">
      <c r="A51" s="90"/>
      <c r="B51" s="90"/>
      <c r="C51" s="90"/>
      <c r="D51" s="1061" t="s">
        <v>297</v>
      </c>
      <c r="E51" s="1061"/>
      <c r="F51" s="90"/>
      <c r="G51" s="90"/>
      <c r="H51" s="130"/>
      <c r="I51" s="130"/>
      <c r="K51" s="151"/>
    </row>
    <row r="52" spans="1:7" ht="16.5" customHeight="1">
      <c r="A52" s="131" t="s">
        <v>37</v>
      </c>
      <c r="B52" s="134">
        <v>40</v>
      </c>
      <c r="C52" s="1066" t="s">
        <v>830</v>
      </c>
      <c r="D52" s="1067"/>
      <c r="E52" s="1067"/>
      <c r="F52" s="1068"/>
      <c r="G52" s="132" t="str">
        <f>IF(OR(COUNTIF('SCH 7-1 Net Assets'!C9:C11,"&lt;0"),COUNTIF('SCH 7-1 Net Assets'!C13:F13,"&lt;0"),COUNTIF('SCH 7-1 Net Assets'!C15:C18,"&lt;0"),COUNTIF('SCH 7-1 Net Assets'!C23:C34,"&lt;0"),COUNTIF('SCH 7-1 Net Assets'!F9:F11,"&lt;0"),COUNTIF('SCH 7-1 Net Assets'!F15:F18,"&lt;0"),COUNTIF('SCH 7-1 Net Assets'!F23:F34,"&lt;0")),"ERROR","OK")</f>
        <v>OK</v>
      </c>
    </row>
    <row r="53" spans="1:7" ht="16.5" customHeight="1">
      <c r="A53" s="131" t="s">
        <v>37</v>
      </c>
      <c r="B53" s="134">
        <v>41</v>
      </c>
      <c r="C53" s="1066" t="s">
        <v>296</v>
      </c>
      <c r="D53" s="1067"/>
      <c r="E53" s="1067"/>
      <c r="F53" s="1068"/>
      <c r="G53" s="132" t="str">
        <f>IF(AND('SCH 7-1 Net Assets'!G40="REQUIRED",'SCH 7-1 Net Assets'!B40=""),"ERROR","OK")</f>
        <v>ERROR</v>
      </c>
    </row>
    <row r="54" spans="1:7" ht="16.5" customHeight="1">
      <c r="A54" s="131" t="s">
        <v>37</v>
      </c>
      <c r="B54" s="134">
        <v>42</v>
      </c>
      <c r="C54" s="1066" t="s">
        <v>360</v>
      </c>
      <c r="D54" s="1067"/>
      <c r="E54" s="1067"/>
      <c r="F54" s="1068"/>
      <c r="G54" s="132" t="str">
        <f>IF('SCH 7-1 Net Assets'!E35=0,"OK","ERROR")</f>
        <v>OK</v>
      </c>
    </row>
    <row r="55" spans="1:7" ht="16.5" customHeight="1">
      <c r="A55" s="131" t="s">
        <v>37</v>
      </c>
      <c r="B55" s="134">
        <v>43</v>
      </c>
      <c r="C55" s="1066" t="s">
        <v>469</v>
      </c>
      <c r="D55" s="1067"/>
      <c r="E55" s="1067"/>
      <c r="F55" s="1068"/>
      <c r="G55" s="132" t="str">
        <f>IF('SCH 3-2 Expenses'!C19='SCH 7-1 Net Assets'!D19,"OK","ERROR")</f>
        <v>OK</v>
      </c>
    </row>
    <row r="56" spans="1:7" ht="16.5" customHeight="1">
      <c r="A56" s="131" t="s">
        <v>37</v>
      </c>
      <c r="B56" s="134">
        <v>44</v>
      </c>
      <c r="C56" s="517" t="s">
        <v>373</v>
      </c>
      <c r="D56" s="517"/>
      <c r="E56" s="517"/>
      <c r="F56" s="522"/>
      <c r="G56" s="518" t="str">
        <f>IF('SCH 10 Reserves'!C27&gt;SUM('SCH 7-1 Net Assets'!F8:F9,'SCH 7-1 Net Assets'!F17),"ERROR","OK")</f>
        <v>OK</v>
      </c>
    </row>
    <row r="57" spans="1:7" ht="16.5" customHeight="1">
      <c r="A57" s="131" t="s">
        <v>37</v>
      </c>
      <c r="B57" s="134">
        <v>45</v>
      </c>
      <c r="C57" s="517" t="s">
        <v>377</v>
      </c>
      <c r="D57" s="517"/>
      <c r="E57" s="517"/>
      <c r="F57" s="517"/>
      <c r="G57" s="132" t="str">
        <f>IF(('SCH 7-2  Net Assets Detail'!I40+'SCH 7-2  Net Assets Detail'!J40)=0,"OK","ERROR")</f>
        <v>OK</v>
      </c>
    </row>
    <row r="58" spans="1:7" ht="16.5" customHeight="1" thickBot="1">
      <c r="A58" s="131" t="s">
        <v>37</v>
      </c>
      <c r="B58" s="134">
        <v>46</v>
      </c>
      <c r="C58" s="1066" t="s">
        <v>801</v>
      </c>
      <c r="D58" s="1067"/>
      <c r="E58" s="1067"/>
      <c r="F58" s="1068"/>
      <c r="G58" s="132" t="str">
        <f>IF(AND('SCH 7-1 Net Assets'!C29=0,'SCH 7-1 Net Assets'!F29=0),"OK",IF(OR('SCH 7-1 Net Assets'!C29&lt;0,'SCH 7-1 Net Assets'!C32="",'SCH 7-1 Net Assets'!F29&lt;0,'SCH 7-1 Net Assets'!F32=""),"ERROR","OK"))</f>
        <v>OK</v>
      </c>
    </row>
    <row r="59" spans="1:11" ht="16.5" customHeight="1" thickTop="1">
      <c r="A59" s="90"/>
      <c r="B59" s="90"/>
      <c r="C59" s="90"/>
      <c r="D59" s="1061" t="s">
        <v>609</v>
      </c>
      <c r="E59" s="1061"/>
      <c r="F59" s="90"/>
      <c r="G59" s="90"/>
      <c r="H59" s="130"/>
      <c r="I59" s="130"/>
      <c r="K59" s="151"/>
    </row>
    <row r="60" spans="1:7" ht="16.5" customHeight="1" thickBot="1">
      <c r="A60" s="131" t="s">
        <v>37</v>
      </c>
      <c r="B60" s="134">
        <v>47</v>
      </c>
      <c r="C60" s="1066" t="s">
        <v>593</v>
      </c>
      <c r="D60" s="1067"/>
      <c r="E60" s="1067"/>
      <c r="F60" s="1068"/>
      <c r="G60" s="132" t="str">
        <f>IF(OR('Cover Page'!B17="X",'Cover Page'!B18="X",'Cover Page'!B19="X"),IF('SCH 12-1 Low Budget'!L17&gt;0,"ERROR","OK"),"OK")</f>
        <v>OK</v>
      </c>
    </row>
    <row r="61" spans="1:11" ht="16.5" customHeight="1" thickTop="1">
      <c r="A61" s="90"/>
      <c r="B61" s="90"/>
      <c r="C61" s="90"/>
      <c r="D61" s="1061" t="s">
        <v>552</v>
      </c>
      <c r="E61" s="1061"/>
      <c r="F61" s="90"/>
      <c r="G61" s="90"/>
      <c r="H61" s="130"/>
      <c r="I61" s="130"/>
      <c r="K61" s="151"/>
    </row>
    <row r="62" spans="1:7" ht="16.5" customHeight="1" thickBot="1">
      <c r="A62" s="131" t="s">
        <v>37</v>
      </c>
      <c r="B62" s="134">
        <v>48</v>
      </c>
      <c r="C62" s="1066" t="s">
        <v>613</v>
      </c>
      <c r="D62" s="1067"/>
      <c r="E62" s="1067"/>
      <c r="F62" s="1068"/>
      <c r="G62" s="132" t="str">
        <f>IF(OR('Cover Page'!B17="X",'Cover Page'!B18="X",'Cover Page'!B19="X"),IF(OR('SCH 12-2 Low Budget'!D20="",'SCH 12-2 Low Budget'!D21=""),"ERROR","OK"),"OK")</f>
        <v>OK</v>
      </c>
    </row>
    <row r="63" spans="1:11" ht="16.5" customHeight="1" thickTop="1">
      <c r="A63" s="90"/>
      <c r="B63" s="90"/>
      <c r="C63" s="90"/>
      <c r="D63" s="1061" t="s">
        <v>637</v>
      </c>
      <c r="E63" s="1061"/>
      <c r="F63" s="90"/>
      <c r="G63" s="90"/>
      <c r="H63" s="381"/>
      <c r="I63" s="130"/>
      <c r="K63" s="151"/>
    </row>
    <row r="64" spans="1:7" ht="27" customHeight="1">
      <c r="A64" s="131" t="s">
        <v>37</v>
      </c>
      <c r="B64" s="134">
        <v>49</v>
      </c>
      <c r="C64" s="1055" t="s">
        <v>638</v>
      </c>
      <c r="D64" s="1056"/>
      <c r="E64" s="1056"/>
      <c r="F64" s="1057"/>
      <c r="G64" s="132" t="str">
        <f>IF('SCH 1 General Info'!G9="Yes",IF(AND('SCH 3-1 Expenses'!D15&gt;0,'SCH 3-1 Expenses'!G15&gt;0,'SCH 3-2 Expenses'!C20&gt;0,'SCH 4-2 Revenue'!E31&gt;0),"OK","ERROR"),"OK")</f>
        <v>OK</v>
      </c>
    </row>
    <row r="65" spans="1:7" ht="33" customHeight="1" thickBot="1">
      <c r="A65" s="131" t="s">
        <v>37</v>
      </c>
      <c r="B65" s="134">
        <v>50</v>
      </c>
      <c r="C65" s="1055" t="s">
        <v>640</v>
      </c>
      <c r="D65" s="1056"/>
      <c r="E65" s="1056"/>
      <c r="F65" s="1057"/>
      <c r="G65" s="132" t="str">
        <f>IF('SCH 1 General Info'!G12="Yes",IF(AND('SCH 3-1 Expenses'!D16&gt;0,'SCH 3-1 Expenses'!G16&gt;0,'SCH 3-2 Expenses'!C21&gt;0,'SCH 4-1 Revenue'!F13&gt;0),"OK","ERROR"),"OK")</f>
        <v>OK</v>
      </c>
    </row>
    <row r="66" spans="1:11" ht="16.5" customHeight="1" thickTop="1">
      <c r="A66" s="90"/>
      <c r="B66" s="90"/>
      <c r="C66" s="90"/>
      <c r="D66" s="1061" t="s">
        <v>110</v>
      </c>
      <c r="E66" s="1061"/>
      <c r="F66" s="90"/>
      <c r="G66" s="90"/>
      <c r="H66" s="381"/>
      <c r="I66" s="130"/>
      <c r="K66" s="151"/>
    </row>
    <row r="67" spans="1:11" ht="16.5" customHeight="1">
      <c r="A67" s="540"/>
      <c r="B67" s="134">
        <v>51</v>
      </c>
      <c r="C67" s="1066" t="s">
        <v>332</v>
      </c>
      <c r="D67" s="1067"/>
      <c r="E67" s="1067"/>
      <c r="F67" s="1068"/>
      <c r="G67" s="132" t="str">
        <f>IF('SCH 1 General Info'!J48&gt;0,"ERROR","OK")</f>
        <v>ERROR</v>
      </c>
      <c r="H67" s="130"/>
      <c r="I67" s="130"/>
      <c r="K67" s="151"/>
    </row>
    <row r="68" spans="1:11" ht="16.5" customHeight="1">
      <c r="A68" s="540"/>
      <c r="B68" s="134">
        <v>52</v>
      </c>
      <c r="C68" s="1066" t="s">
        <v>367</v>
      </c>
      <c r="D68" s="1067"/>
      <c r="E68" s="1067"/>
      <c r="F68" s="1068"/>
      <c r="G68" s="132" t="str">
        <f>IF('SCH 11-1 Budget Questions'!E26&gt;0,"ERROR","OK")</f>
        <v>ERROR</v>
      </c>
      <c r="H68" s="130"/>
      <c r="I68" s="130"/>
      <c r="K68" s="151"/>
    </row>
    <row r="69" spans="1:11" ht="16.5" customHeight="1">
      <c r="A69" s="540"/>
      <c r="B69" s="134">
        <v>53</v>
      </c>
      <c r="C69" s="1066" t="s">
        <v>488</v>
      </c>
      <c r="D69" s="1067"/>
      <c r="E69" s="1067"/>
      <c r="F69" s="1068"/>
      <c r="G69" s="132" t="str">
        <f>IF('SCH 11-2 Pupil Questions'!A24="","ERROR",IF(AND('SCH 11-2 Pupil Questions'!A27="",'SCH 11-2 Pupil Questions'!H27="REQUIRED"),"ERROR","OK"))</f>
        <v>ERROR</v>
      </c>
      <c r="H69" s="130"/>
      <c r="I69" s="130"/>
      <c r="K69" s="151"/>
    </row>
    <row r="70" spans="1:11" ht="16.5" customHeight="1" thickBot="1">
      <c r="A70" s="869"/>
      <c r="B70" s="870">
        <v>54</v>
      </c>
      <c r="C70" s="1080" t="s">
        <v>368</v>
      </c>
      <c r="D70" s="1081"/>
      <c r="E70" s="1081"/>
      <c r="F70" s="1082"/>
      <c r="G70" s="871" t="str">
        <f>IF(OR('Cover Page'!B17="X",'Cover Page'!B18="X",'Cover Page'!B19="X"),IF(('SCH 12-1 Low Budget'!K38+'SCH 12-2 Low Budget'!H31)&gt;0,"ERROR","OK"),"OK")</f>
        <v>OK</v>
      </c>
      <c r="H70" s="130"/>
      <c r="I70" s="130"/>
      <c r="K70" s="151"/>
    </row>
    <row r="71" spans="1:11" ht="16.5" customHeight="1" thickTop="1">
      <c r="A71" s="90"/>
      <c r="B71" s="90"/>
      <c r="C71" s="90"/>
      <c r="D71" s="1061" t="s">
        <v>703</v>
      </c>
      <c r="E71" s="1061"/>
      <c r="F71" s="90"/>
      <c r="G71" s="90"/>
      <c r="H71" s="381"/>
      <c r="I71" s="130"/>
      <c r="K71" s="151"/>
    </row>
    <row r="72" spans="1:7" ht="15.75" customHeight="1">
      <c r="A72" s="131" t="s">
        <v>37</v>
      </c>
      <c r="B72" s="134">
        <v>55</v>
      </c>
      <c r="C72" s="1079" t="s">
        <v>784</v>
      </c>
      <c r="D72" s="1079"/>
      <c r="E72" s="1079"/>
      <c r="F72" s="1079"/>
      <c r="G72" s="132" t="str">
        <f>IF(AND('SCH 10 Reserves'!D19="",'SCH 10 Reserves'!D15&gt;0),"ERROR","OK")</f>
        <v>OK</v>
      </c>
    </row>
    <row r="73" spans="1:7" ht="15.75" customHeight="1" thickBot="1">
      <c r="A73" s="911" t="s">
        <v>37</v>
      </c>
      <c r="B73" s="910">
        <v>56</v>
      </c>
      <c r="C73" s="909" t="s">
        <v>780</v>
      </c>
      <c r="D73" s="908"/>
      <c r="E73" s="896"/>
      <c r="F73" s="896"/>
      <c r="G73" s="871" t="str">
        <f>IF('SCH 10 Reserves'!D19&gt;'SCH 10 Reserves'!D15,"ERROR","OK")</f>
        <v>OK</v>
      </c>
    </row>
    <row r="74" ht="12" thickTop="1"/>
    <row r="75" ht="11.25"/>
    <row r="76" ht="11.25"/>
    <row r="77" ht="11.25"/>
    <row r="78" ht="11.25"/>
    <row r="79" ht="11.25"/>
    <row r="80" ht="11.25"/>
    <row r="81" ht="11.25"/>
    <row r="82" ht="11.25"/>
  </sheetData>
  <sheetProtection password="EBD1" sheet="1"/>
  <mergeCells count="55">
    <mergeCell ref="C72:F72"/>
    <mergeCell ref="D71:E71"/>
    <mergeCell ref="C52:F52"/>
    <mergeCell ref="C50:F50"/>
    <mergeCell ref="C70:F70"/>
    <mergeCell ref="D61:E61"/>
    <mergeCell ref="C55:F55"/>
    <mergeCell ref="C62:F62"/>
    <mergeCell ref="C58:F58"/>
    <mergeCell ref="D66:E66"/>
    <mergeCell ref="C68:F68"/>
    <mergeCell ref="C69:F69"/>
    <mergeCell ref="D31:E31"/>
    <mergeCell ref="C38:F38"/>
    <mergeCell ref="C37:F37"/>
    <mergeCell ref="C47:F47"/>
    <mergeCell ref="D46:E46"/>
    <mergeCell ref="C42:F42"/>
    <mergeCell ref="C32:F32"/>
    <mergeCell ref="C67:F67"/>
    <mergeCell ref="C54:F54"/>
    <mergeCell ref="D51:E51"/>
    <mergeCell ref="C49:F49"/>
    <mergeCell ref="C43:F43"/>
    <mergeCell ref="D59:E59"/>
    <mergeCell ref="C60:F60"/>
    <mergeCell ref="C53:F53"/>
    <mergeCell ref="C48:F48"/>
    <mergeCell ref="C27:F27"/>
    <mergeCell ref="D10:E10"/>
    <mergeCell ref="C21:F21"/>
    <mergeCell ref="C20:F20"/>
    <mergeCell ref="C25:F25"/>
    <mergeCell ref="C19:F19"/>
    <mergeCell ref="C15:F15"/>
    <mergeCell ref="A1:G1"/>
    <mergeCell ref="C16:F16"/>
    <mergeCell ref="C7:F7"/>
    <mergeCell ref="C18:F18"/>
    <mergeCell ref="A2:G2"/>
    <mergeCell ref="A3:G3"/>
    <mergeCell ref="A4:G4"/>
    <mergeCell ref="C13:F13"/>
    <mergeCell ref="D17:E17"/>
    <mergeCell ref="C8:F8"/>
    <mergeCell ref="C64:F64"/>
    <mergeCell ref="C65:F65"/>
    <mergeCell ref="C6:F6"/>
    <mergeCell ref="D5:E5"/>
    <mergeCell ref="D41:E41"/>
    <mergeCell ref="C9:F9"/>
    <mergeCell ref="C12:F12"/>
    <mergeCell ref="C11:F11"/>
    <mergeCell ref="D63:E63"/>
    <mergeCell ref="C26:F26"/>
  </mergeCells>
  <conditionalFormatting sqref="G61:G62 G7:G26 G28 G31:G38 G66:G70 G41:G57">
    <cfRule type="cellIs" priority="13" dxfId="0" operator="equal" stopIfTrue="1">
      <formula>"ERROR"</formula>
    </cfRule>
  </conditionalFormatting>
  <conditionalFormatting sqref="G27">
    <cfRule type="cellIs" priority="12" dxfId="0" operator="equal" stopIfTrue="1">
      <formula>"ERROR"</formula>
    </cfRule>
  </conditionalFormatting>
  <conditionalFormatting sqref="G58">
    <cfRule type="cellIs" priority="11" dxfId="0" operator="equal" stopIfTrue="1">
      <formula>"ERROR"</formula>
    </cfRule>
  </conditionalFormatting>
  <conditionalFormatting sqref="G29">
    <cfRule type="cellIs" priority="10" dxfId="0" operator="equal" stopIfTrue="1">
      <formula>"ERROR"</formula>
    </cfRule>
  </conditionalFormatting>
  <conditionalFormatting sqref="G39">
    <cfRule type="cellIs" priority="8" dxfId="0" operator="equal" stopIfTrue="1">
      <formula>"ERROR"</formula>
    </cfRule>
  </conditionalFormatting>
  <conditionalFormatting sqref="G59:G60">
    <cfRule type="cellIs" priority="7" dxfId="0" operator="equal" stopIfTrue="1">
      <formula>"ERROR"</formula>
    </cfRule>
  </conditionalFormatting>
  <conditionalFormatting sqref="G30">
    <cfRule type="cellIs" priority="6" dxfId="0" operator="equal" stopIfTrue="1">
      <formula>"ERROR"</formula>
    </cfRule>
  </conditionalFormatting>
  <conditionalFormatting sqref="G40">
    <cfRule type="cellIs" priority="5" dxfId="0" operator="equal" stopIfTrue="1">
      <formula>"ERROR"</formula>
    </cfRule>
  </conditionalFormatting>
  <conditionalFormatting sqref="G63">
    <cfRule type="cellIs" priority="4" dxfId="0" operator="equal" stopIfTrue="1">
      <formula>"ERROR"</formula>
    </cfRule>
  </conditionalFormatting>
  <conditionalFormatting sqref="G64:G65">
    <cfRule type="cellIs" priority="3" dxfId="0" operator="equal" stopIfTrue="1">
      <formula>"ERROR"</formula>
    </cfRule>
  </conditionalFormatting>
  <conditionalFormatting sqref="G71">
    <cfRule type="cellIs" priority="2" dxfId="0" operator="equal" stopIfTrue="1">
      <formula>"ERROR"</formula>
    </cfRule>
  </conditionalFormatting>
  <conditionalFormatting sqref="G72:G73">
    <cfRule type="cellIs" priority="1" dxfId="0" operator="equal" stopIfTrue="1">
      <formula>"ERROR"</formula>
    </cfRule>
  </conditionalFormatting>
  <printOptions/>
  <pageMargins left="0.45" right="0.45" top="0.54" bottom="0.44" header="0.31" footer="0.3"/>
  <pageSetup fitToHeight="2" horizontalDpi="600" verticalDpi="600" orientation="portrait" scale="95" r:id="rId3"/>
  <headerFooter>
    <oddHeader>&amp;LPI-PCP-14&amp;RPage 2</oddHeader>
  </headerFooter>
  <rowBreaks count="1" manualBreakCount="1">
    <brk id="45" max="6" man="1"/>
  </rowBreaks>
  <legacyDrawing r:id="rId2"/>
</worksheet>
</file>

<file path=xl/worksheets/sheet8.xml><?xml version="1.0" encoding="utf-8"?>
<worksheet xmlns="http://schemas.openxmlformats.org/spreadsheetml/2006/main" xmlns:r="http://schemas.openxmlformats.org/officeDocument/2006/relationships">
  <sheetPr>
    <tabColor rgb="FF7030A0"/>
    <pageSetUpPr fitToPage="1"/>
  </sheetPr>
  <dimension ref="A1:P49"/>
  <sheetViews>
    <sheetView showGridLines="0" showOutlineSymbols="0" workbookViewId="0" topLeftCell="A1">
      <selection activeCell="A2" sqref="A2:G2"/>
    </sheetView>
  </sheetViews>
  <sheetFormatPr defaultColWidth="9.140625" defaultRowHeight="12.75"/>
  <cols>
    <col min="1" max="1" width="5.421875" style="10" customWidth="1"/>
    <col min="2" max="3" width="14.57421875" style="8" customWidth="1"/>
    <col min="4" max="4" width="5.421875" style="8" customWidth="1"/>
    <col min="5" max="5" width="23.00390625" style="8" customWidth="1"/>
    <col min="6" max="6" width="5.421875" style="8" customWidth="1"/>
    <col min="7" max="7" width="29.57421875" style="8" customWidth="1"/>
    <col min="8" max="8" width="4.140625" style="8" customWidth="1"/>
    <col min="9" max="9" width="23.57421875" style="8" customWidth="1"/>
    <col min="10" max="10" width="9.421875" style="20" customWidth="1"/>
    <col min="11" max="11" width="9.140625" style="8" customWidth="1"/>
    <col min="12" max="13" width="9.140625" style="8" hidden="1" customWidth="1"/>
    <col min="14" max="15" width="9.140625" style="8" customWidth="1"/>
    <col min="16" max="16" width="9.140625" style="8" hidden="1" customWidth="1"/>
    <col min="17" max="24" width="9.140625" style="8" customWidth="1"/>
    <col min="25" max="16384" width="9.140625" style="8" customWidth="1"/>
  </cols>
  <sheetData>
    <row r="1" spans="1:7" ht="16.5" customHeight="1">
      <c r="A1" s="1035">
        <f>'Cover Page'!A9</f>
        <v>0</v>
      </c>
      <c r="B1" s="1035"/>
      <c r="C1" s="1035"/>
      <c r="D1" s="1035"/>
      <c r="E1" s="1035"/>
      <c r="F1" s="1035"/>
      <c r="G1" s="1035"/>
    </row>
    <row r="2" spans="1:7" ht="16.5" customHeight="1">
      <c r="A2" s="1035" t="s">
        <v>840</v>
      </c>
      <c r="B2" s="1035"/>
      <c r="C2" s="1035"/>
      <c r="D2" s="1035"/>
      <c r="E2" s="1035"/>
      <c r="F2" s="1035"/>
      <c r="G2" s="1035"/>
    </row>
    <row r="3" spans="1:7" ht="16.5" customHeight="1" thickBot="1">
      <c r="A3" s="1109" t="str">
        <f>'Required Attachments'!A3</f>
        <v>Budget for the period from July 1, 2022 to June 30, 2023</v>
      </c>
      <c r="B3" s="1109"/>
      <c r="C3" s="1109"/>
      <c r="D3" s="1109"/>
      <c r="E3" s="1109"/>
      <c r="F3" s="1109"/>
      <c r="G3" s="1109"/>
    </row>
    <row r="4" spans="1:7" ht="24" customHeight="1" thickBot="1" thickTop="1">
      <c r="A4" s="1110" t="s">
        <v>394</v>
      </c>
      <c r="B4" s="1111"/>
      <c r="C4" s="1111"/>
      <c r="D4" s="1111"/>
      <c r="E4" s="1111"/>
      <c r="F4" s="1111"/>
      <c r="G4" s="1111"/>
    </row>
    <row r="5" spans="1:10" s="11" customFormat="1" ht="15" customHeight="1" thickTop="1">
      <c r="A5" s="135"/>
      <c r="B5" s="135"/>
      <c r="C5" s="135"/>
      <c r="D5" s="1083" t="s">
        <v>63</v>
      </c>
      <c r="E5" s="1083"/>
      <c r="F5" s="135"/>
      <c r="G5" s="135"/>
      <c r="I5" s="1102" t="s">
        <v>361</v>
      </c>
      <c r="J5" s="1103"/>
    </row>
    <row r="6" spans="1:10" ht="16.5" customHeight="1">
      <c r="A6" s="374" t="s">
        <v>641</v>
      </c>
      <c r="B6" s="271"/>
      <c r="C6" s="271"/>
      <c r="D6" s="271"/>
      <c r="E6" s="448"/>
      <c r="F6" s="448"/>
      <c r="G6" s="631"/>
      <c r="I6" s="790" t="s">
        <v>535</v>
      </c>
      <c r="J6" s="654" t="str">
        <f>IF(G6="","ERROR","OK")</f>
        <v>ERROR</v>
      </c>
    </row>
    <row r="7" spans="1:10" ht="16.5" customHeight="1">
      <c r="A7" s="374" t="s">
        <v>445</v>
      </c>
      <c r="B7" s="271"/>
      <c r="C7" s="271"/>
      <c r="D7" s="271"/>
      <c r="E7" s="448"/>
      <c r="F7" s="448"/>
      <c r="G7" s="396"/>
      <c r="I7" s="800" t="s">
        <v>536</v>
      </c>
      <c r="J7" s="799" t="str">
        <f>IF(G7="","ERROR","OK")</f>
        <v>ERROR</v>
      </c>
    </row>
    <row r="8" spans="1:10" ht="16.5" customHeight="1">
      <c r="A8" s="374" t="s">
        <v>362</v>
      </c>
      <c r="B8" s="271"/>
      <c r="C8" s="271"/>
      <c r="D8" s="271"/>
      <c r="E8" s="1112"/>
      <c r="F8" s="1112"/>
      <c r="G8" s="1112"/>
      <c r="I8" s="790" t="s">
        <v>537</v>
      </c>
      <c r="J8" s="791" t="str">
        <f>IF(AND($G$7="Yes",E8=""),"ERROR","OK")</f>
        <v>OK</v>
      </c>
    </row>
    <row r="9" spans="1:10" ht="16.5" customHeight="1">
      <c r="A9" s="374" t="s">
        <v>466</v>
      </c>
      <c r="B9" s="271"/>
      <c r="C9" s="271"/>
      <c r="D9" s="271"/>
      <c r="E9" s="448"/>
      <c r="F9" s="448"/>
      <c r="G9" s="279"/>
      <c r="I9" s="800" t="s">
        <v>538</v>
      </c>
      <c r="J9" s="799" t="str">
        <f>IF(AND($G$7="Yes",G9=""),"ERROR","OK")</f>
        <v>OK</v>
      </c>
    </row>
    <row r="10" spans="1:10" ht="16.5" customHeight="1">
      <c r="A10" s="374" t="s">
        <v>363</v>
      </c>
      <c r="B10" s="271"/>
      <c r="C10" s="271"/>
      <c r="D10" s="271"/>
      <c r="E10" s="448"/>
      <c r="F10" s="448"/>
      <c r="G10" s="279"/>
      <c r="I10" s="790" t="s">
        <v>539</v>
      </c>
      <c r="J10" s="654" t="str">
        <f>IF(G10="","ERROR","OK")</f>
        <v>ERROR</v>
      </c>
    </row>
    <row r="11" spans="1:10" ht="16.5" customHeight="1">
      <c r="A11" s="374" t="s">
        <v>364</v>
      </c>
      <c r="B11" s="271"/>
      <c r="C11" s="271"/>
      <c r="D11" s="271"/>
      <c r="E11" s="1112"/>
      <c r="F11" s="1112"/>
      <c r="G11" s="1112"/>
      <c r="I11" s="800" t="s">
        <v>539</v>
      </c>
      <c r="J11" s="799" t="str">
        <f>IF(AND(G10="Yes",E11=""),"ERROR","OK")</f>
        <v>OK</v>
      </c>
    </row>
    <row r="12" spans="1:10" ht="33" customHeight="1">
      <c r="A12" s="1017" t="s">
        <v>642</v>
      </c>
      <c r="B12" s="1017"/>
      <c r="C12" s="1017"/>
      <c r="D12" s="1017"/>
      <c r="E12" s="1017"/>
      <c r="F12" s="1017"/>
      <c r="G12" s="631"/>
      <c r="I12" s="790" t="s">
        <v>540</v>
      </c>
      <c r="J12" s="654" t="str">
        <f>IF(G12="","ERROR","OK")</f>
        <v>ERROR</v>
      </c>
    </row>
    <row r="13" spans="1:16" ht="21.75" customHeight="1">
      <c r="A13" s="1106" t="s">
        <v>643</v>
      </c>
      <c r="B13" s="1106"/>
      <c r="C13" s="1106"/>
      <c r="D13" s="1106"/>
      <c r="E13" s="1106"/>
      <c r="F13" s="1106"/>
      <c r="G13" s="1106"/>
      <c r="I13" s="790"/>
      <c r="J13" s="654"/>
      <c r="P13" s="8" t="s">
        <v>257</v>
      </c>
    </row>
    <row r="14" spans="1:16" ht="36" customHeight="1">
      <c r="A14" s="1097"/>
      <c r="B14" s="1097"/>
      <c r="C14" s="1097"/>
      <c r="D14" s="1097"/>
      <c r="E14" s="1097"/>
      <c r="F14" s="1097"/>
      <c r="G14" s="1097"/>
      <c r="I14" s="800" t="s">
        <v>541</v>
      </c>
      <c r="J14" s="799" t="str">
        <f>IF(A14="","ERROR","OK")</f>
        <v>ERROR</v>
      </c>
      <c r="P14" s="8" t="s">
        <v>419</v>
      </c>
    </row>
    <row r="15" spans="1:16" ht="16.5" customHeight="1">
      <c r="A15" s="374" t="s">
        <v>444</v>
      </c>
      <c r="B15" s="271"/>
      <c r="C15" s="271"/>
      <c r="D15" s="271"/>
      <c r="F15" s="1097"/>
      <c r="G15" s="1097"/>
      <c r="I15" s="790" t="s">
        <v>542</v>
      </c>
      <c r="J15" s="654" t="str">
        <f>IF(F15="","ERROR","OK")</f>
        <v>ERROR</v>
      </c>
      <c r="P15" s="8" t="s">
        <v>258</v>
      </c>
    </row>
    <row r="16" spans="1:10" ht="16.5" customHeight="1" thickBot="1">
      <c r="A16" s="616" t="str">
        <f>IF(F15=P15,"5b) What is the name of the operating organization?","5b) No additional information required.")</f>
        <v>5b) No additional information required.</v>
      </c>
      <c r="B16" s="617"/>
      <c r="C16" s="617"/>
      <c r="D16" s="617"/>
      <c r="E16" s="1105"/>
      <c r="F16" s="1105"/>
      <c r="G16" s="1105"/>
      <c r="I16" s="800" t="s">
        <v>543</v>
      </c>
      <c r="J16" s="799" t="str">
        <f>IF(AND(A16="5b) What is the name of the operating organization?",E16=""),"ERROR","OK")</f>
        <v>OK</v>
      </c>
    </row>
    <row r="17" spans="1:10" s="11" customFormat="1" ht="15" customHeight="1" thickTop="1">
      <c r="A17" s="135"/>
      <c r="B17" s="135"/>
      <c r="C17" s="135"/>
      <c r="D17" s="1083" t="s">
        <v>64</v>
      </c>
      <c r="E17" s="1083"/>
      <c r="F17" s="135"/>
      <c r="G17" s="135"/>
      <c r="I17" s="252"/>
      <c r="J17" s="792"/>
    </row>
    <row r="18" spans="1:10" ht="36" customHeight="1">
      <c r="A18" s="1017" t="s">
        <v>665</v>
      </c>
      <c r="B18" s="1017"/>
      <c r="C18" s="1017"/>
      <c r="D18" s="1017"/>
      <c r="E18" s="1017"/>
      <c r="F18" s="1017"/>
      <c r="G18" s="620"/>
      <c r="H18" s="24"/>
      <c r="I18" s="790" t="s">
        <v>533</v>
      </c>
      <c r="J18" s="654" t="str">
        <f>IF(G18="","ERROR","OK")</f>
        <v>ERROR</v>
      </c>
    </row>
    <row r="19" spans="1:10" ht="20.25" customHeight="1">
      <c r="A19" s="1017" t="s">
        <v>398</v>
      </c>
      <c r="B19" s="1017"/>
      <c r="C19" s="1017"/>
      <c r="D19" s="1017"/>
      <c r="E19" s="1017"/>
      <c r="F19" s="1017"/>
      <c r="G19" s="1017"/>
      <c r="I19" s="790"/>
      <c r="J19" s="654"/>
    </row>
    <row r="20" spans="1:10" ht="30" customHeight="1" thickBot="1">
      <c r="A20" s="1107"/>
      <c r="B20" s="1107"/>
      <c r="C20" s="1107"/>
      <c r="D20" s="1107"/>
      <c r="E20" s="1107"/>
      <c r="F20" s="1107"/>
      <c r="G20" s="1107"/>
      <c r="H20" s="1108"/>
      <c r="I20" s="800" t="s">
        <v>534</v>
      </c>
      <c r="J20" s="799" t="str">
        <f>IF(AND(G18="Yes",A20=""),"ERROR","OK")</f>
        <v>OK</v>
      </c>
    </row>
    <row r="21" spans="1:10" s="11" customFormat="1" ht="15" customHeight="1" thickTop="1">
      <c r="A21" s="135"/>
      <c r="B21" s="135"/>
      <c r="C21" s="135"/>
      <c r="D21" s="1083" t="s">
        <v>253</v>
      </c>
      <c r="E21" s="1083"/>
      <c r="F21" s="135"/>
      <c r="G21" s="135"/>
      <c r="H21" s="1108"/>
      <c r="I21" s="793"/>
      <c r="J21" s="792"/>
    </row>
    <row r="22" spans="1:10" ht="12.75" customHeight="1">
      <c r="A22" s="10" t="s">
        <v>666</v>
      </c>
      <c r="I22" s="790"/>
      <c r="J22" s="654"/>
    </row>
    <row r="23" spans="1:10" ht="12.75">
      <c r="A23" s="398"/>
      <c r="B23" s="449" t="s">
        <v>185</v>
      </c>
      <c r="C23" s="449"/>
      <c r="D23" s="398"/>
      <c r="E23" s="8" t="s">
        <v>255</v>
      </c>
      <c r="F23" s="398"/>
      <c r="G23" s="8" t="s">
        <v>192</v>
      </c>
      <c r="I23" s="790" t="s">
        <v>532</v>
      </c>
      <c r="J23" s="654" t="str">
        <f>IF(AND(A23="",A24="",D23="",D24="",F23="",F24=""),"ERROR","OK")</f>
        <v>ERROR</v>
      </c>
    </row>
    <row r="24" spans="1:10" ht="12.75">
      <c r="A24" s="398"/>
      <c r="B24" s="8" t="s">
        <v>191</v>
      </c>
      <c r="D24" s="398"/>
      <c r="E24" s="8" t="s">
        <v>186</v>
      </c>
      <c r="F24" s="398"/>
      <c r="G24" s="816" t="s">
        <v>256</v>
      </c>
      <c r="I24" s="790"/>
      <c r="J24" s="654"/>
    </row>
    <row r="25" spans="1:10" ht="12.75">
      <c r="A25" s="815"/>
      <c r="B25" s="15"/>
      <c r="C25" s="15"/>
      <c r="D25" s="815"/>
      <c r="F25" s="1098"/>
      <c r="G25" s="1099"/>
      <c r="I25" s="790"/>
      <c r="J25" s="654"/>
    </row>
    <row r="26" spans="1:10" ht="12.75" customHeight="1">
      <c r="A26" s="45"/>
      <c r="B26" s="45"/>
      <c r="C26" s="45"/>
      <c r="D26" s="45"/>
      <c r="E26" s="45"/>
      <c r="F26" s="1100"/>
      <c r="G26" s="1101"/>
      <c r="I26" s="790"/>
      <c r="J26" s="654"/>
    </row>
    <row r="27" spans="1:10" ht="10.5">
      <c r="A27" s="10" t="s">
        <v>667</v>
      </c>
      <c r="I27" s="790"/>
      <c r="J27" s="654"/>
    </row>
    <row r="28" spans="1:10" ht="12.75">
      <c r="A28" s="398"/>
      <c r="B28" s="14" t="s">
        <v>187</v>
      </c>
      <c r="C28" s="14"/>
      <c r="D28" s="398"/>
      <c r="E28" s="14" t="s">
        <v>483</v>
      </c>
      <c r="I28" s="800" t="s">
        <v>531</v>
      </c>
      <c r="J28" s="799" t="str">
        <f>IF(OR(A23="X",D23="X",D24="X"),IF(AND(A28="",A29="",D28="",D29=""),"ERROR","OK"),"OK")</f>
        <v>OK</v>
      </c>
    </row>
    <row r="29" spans="1:10" ht="13.5" thickBot="1">
      <c r="A29" s="399"/>
      <c r="B29" s="300" t="s">
        <v>188</v>
      </c>
      <c r="C29" s="300"/>
      <c r="D29" s="399"/>
      <c r="E29" s="300" t="s">
        <v>189</v>
      </c>
      <c r="F29" s="52"/>
      <c r="G29" s="52"/>
      <c r="I29" s="790"/>
      <c r="J29" s="654"/>
    </row>
    <row r="30" spans="1:10" s="11" customFormat="1" ht="15" customHeight="1" thickTop="1">
      <c r="A30" s="135"/>
      <c r="B30" s="135"/>
      <c r="C30" s="135"/>
      <c r="D30" s="1083" t="s">
        <v>254</v>
      </c>
      <c r="E30" s="1083"/>
      <c r="F30" s="135"/>
      <c r="G30" s="135"/>
      <c r="I30" s="252"/>
      <c r="J30" s="792"/>
    </row>
    <row r="31" spans="1:10" ht="12.75" customHeight="1">
      <c r="A31" s="10" t="s">
        <v>678</v>
      </c>
      <c r="I31" s="790"/>
      <c r="J31" s="654"/>
    </row>
    <row r="32" spans="1:10" ht="12.75">
      <c r="A32" s="400"/>
      <c r="B32" s="449" t="s">
        <v>441</v>
      </c>
      <c r="C32" s="449"/>
      <c r="D32" s="400"/>
      <c r="E32" s="14" t="s">
        <v>190</v>
      </c>
      <c r="F32" s="400"/>
      <c r="G32" s="8" t="s">
        <v>256</v>
      </c>
      <c r="I32" s="800" t="s">
        <v>530</v>
      </c>
      <c r="J32" s="799" t="str">
        <f>IF(AND(A32="",A33="",D32="",D33="",F32=""),"ERROR","OK")</f>
        <v>ERROR</v>
      </c>
    </row>
    <row r="33" spans="1:10" ht="12.75">
      <c r="A33" s="400"/>
      <c r="B33" s="449" t="s">
        <v>334</v>
      </c>
      <c r="C33" s="10"/>
      <c r="D33" s="400"/>
      <c r="E33" s="10" t="s">
        <v>446</v>
      </c>
      <c r="F33" s="1089"/>
      <c r="G33" s="1090"/>
      <c r="I33" s="790"/>
      <c r="J33" s="654"/>
    </row>
    <row r="34" spans="1:10" ht="12.75">
      <c r="A34" s="818"/>
      <c r="B34" s="819"/>
      <c r="C34" s="817"/>
      <c r="D34" s="818"/>
      <c r="E34" s="817"/>
      <c r="F34" s="1091"/>
      <c r="G34" s="1092"/>
      <c r="I34" s="790"/>
      <c r="J34" s="654"/>
    </row>
    <row r="35" spans="1:10" s="15" customFormat="1" ht="10.5">
      <c r="A35" s="10" t="s">
        <v>467</v>
      </c>
      <c r="B35" s="8"/>
      <c r="C35" s="8"/>
      <c r="D35" s="8"/>
      <c r="E35" s="8"/>
      <c r="F35" s="8"/>
      <c r="G35" s="8"/>
      <c r="I35" s="794"/>
      <c r="J35" s="795"/>
    </row>
    <row r="36" spans="1:10" ht="12.75">
      <c r="A36" s="400"/>
      <c r="B36" s="449" t="s">
        <v>188</v>
      </c>
      <c r="C36" s="449"/>
      <c r="D36" s="400"/>
      <c r="E36" s="8" t="s">
        <v>525</v>
      </c>
      <c r="F36" s="400"/>
      <c r="G36" s="449" t="s">
        <v>193</v>
      </c>
      <c r="I36" s="790" t="s">
        <v>529</v>
      </c>
      <c r="J36" s="654" t="str">
        <f>IF(A32="X",IF(AND(A36="",A37="",D36="",D37="",F36=""),"ERROR","OK"),"OK")</f>
        <v>OK</v>
      </c>
    </row>
    <row r="37" spans="1:10" ht="12.75">
      <c r="A37" s="400"/>
      <c r="B37" s="45" t="s">
        <v>527</v>
      </c>
      <c r="C37" s="45"/>
      <c r="D37" s="400"/>
      <c r="E37" s="45" t="s">
        <v>526</v>
      </c>
      <c r="F37" s="45"/>
      <c r="G37" s="45"/>
      <c r="I37" s="790"/>
      <c r="J37" s="654"/>
    </row>
    <row r="38" spans="1:10" s="15" customFormat="1" ht="35.25" customHeight="1">
      <c r="A38" s="1088" t="s">
        <v>866</v>
      </c>
      <c r="B38" s="1088"/>
      <c r="C38" s="1088"/>
      <c r="D38" s="1088"/>
      <c r="E38" s="1088"/>
      <c r="F38" s="1088"/>
      <c r="G38" s="1088"/>
      <c r="I38" s="794"/>
      <c r="J38" s="795"/>
    </row>
    <row r="39" spans="1:10" s="15" customFormat="1" ht="23.25" customHeight="1">
      <c r="A39" s="420"/>
      <c r="B39" s="117" t="s">
        <v>454</v>
      </c>
      <c r="C39" s="1085" t="s">
        <v>455</v>
      </c>
      <c r="D39" s="1086"/>
      <c r="E39" s="1085" t="s">
        <v>876</v>
      </c>
      <c r="F39" s="1086"/>
      <c r="G39" s="149" t="s">
        <v>468</v>
      </c>
      <c r="H39" s="178"/>
      <c r="I39" s="794"/>
      <c r="J39" s="795"/>
    </row>
    <row r="40" spans="1:10" ht="12.75" customHeight="1">
      <c r="A40" s="75" t="s">
        <v>395</v>
      </c>
      <c r="B40" s="229" t="s">
        <v>20</v>
      </c>
      <c r="C40" s="1093"/>
      <c r="D40" s="1094"/>
      <c r="E40" s="1093"/>
      <c r="F40" s="1094"/>
      <c r="G40" s="838"/>
      <c r="H40" s="10"/>
      <c r="I40" s="1104" t="s">
        <v>544</v>
      </c>
      <c r="J40" s="798"/>
    </row>
    <row r="41" spans="1:10" ht="12.75">
      <c r="A41" s="75" t="s">
        <v>396</v>
      </c>
      <c r="B41" s="229" t="s">
        <v>21</v>
      </c>
      <c r="C41" s="1093"/>
      <c r="D41" s="1094"/>
      <c r="E41" s="1093"/>
      <c r="F41" s="1094"/>
      <c r="G41" s="838"/>
      <c r="H41" s="10"/>
      <c r="I41" s="1104"/>
      <c r="J41" s="799" t="str">
        <f>IF(A32="X",IF(OR(C40="",C41="",C42="",E40="",E41="",E42=""),"ERROR","OK"),"OK")</f>
        <v>OK</v>
      </c>
    </row>
    <row r="42" spans="1:10" ht="12.75">
      <c r="A42" s="618" t="s">
        <v>397</v>
      </c>
      <c r="B42" s="619" t="s">
        <v>22</v>
      </c>
      <c r="C42" s="1093"/>
      <c r="D42" s="1094"/>
      <c r="E42" s="1093"/>
      <c r="F42" s="1094"/>
      <c r="G42" s="838"/>
      <c r="H42" s="10"/>
      <c r="I42" s="1104"/>
      <c r="J42" s="798"/>
    </row>
    <row r="43" spans="1:10" ht="12.75" customHeight="1">
      <c r="A43" s="1087" t="s">
        <v>874</v>
      </c>
      <c r="B43" s="1087"/>
      <c r="C43" s="1087"/>
      <c r="D43" s="1087"/>
      <c r="E43" s="1087"/>
      <c r="F43" s="1087"/>
      <c r="G43" s="1087"/>
      <c r="H43" s="10"/>
      <c r="I43" s="1084" t="s">
        <v>545</v>
      </c>
      <c r="J43" s="801"/>
    </row>
    <row r="44" spans="1:10" ht="27.75" customHeight="1">
      <c r="A44" s="1013"/>
      <c r="B44" s="1013"/>
      <c r="C44" s="1013"/>
      <c r="D44" s="1013"/>
      <c r="E44" s="1013"/>
      <c r="F44" s="1013"/>
      <c r="G44" s="1013"/>
      <c r="H44" s="10"/>
      <c r="I44" s="1084"/>
      <c r="J44" s="791" t="str">
        <f>IF(OR(D36="X",A37="X"),IF(OR(G40="",G41="",G42="",E46="",G46=""),"ERROR","OK"),"OK")</f>
        <v>OK</v>
      </c>
    </row>
    <row r="45" spans="1:10" ht="21" customHeight="1">
      <c r="A45" s="420"/>
      <c r="B45" s="1085" t="s">
        <v>454</v>
      </c>
      <c r="C45" s="1113"/>
      <c r="D45" s="28"/>
      <c r="E45" s="1085" t="s">
        <v>177</v>
      </c>
      <c r="F45" s="1086"/>
      <c r="G45" s="149" t="s">
        <v>456</v>
      </c>
      <c r="H45" s="10"/>
      <c r="I45" s="1084"/>
      <c r="J45" s="801"/>
    </row>
    <row r="46" spans="1:10" ht="12.75">
      <c r="A46" s="75" t="s">
        <v>435</v>
      </c>
      <c r="B46" s="1114" t="s">
        <v>437</v>
      </c>
      <c r="C46" s="1115"/>
      <c r="D46" s="593"/>
      <c r="E46" s="1093"/>
      <c r="F46" s="1094"/>
      <c r="G46" s="118"/>
      <c r="I46" s="790"/>
      <c r="J46" s="796"/>
    </row>
    <row r="47" spans="1:10" ht="13.5" thickBot="1">
      <c r="A47" s="592" t="s">
        <v>436</v>
      </c>
      <c r="B47" s="1116" t="s">
        <v>873</v>
      </c>
      <c r="C47" s="1117"/>
      <c r="D47" s="594"/>
      <c r="E47" s="1095"/>
      <c r="F47" s="1096"/>
      <c r="G47" s="324"/>
      <c r="I47" s="797" t="s">
        <v>528</v>
      </c>
      <c r="J47" s="655" t="str">
        <f>IF(OR(F36="X",A37="X",D36="X"),IF(OR(E47="",G47=""),"ERROR","OK"),"OK")</f>
        <v>OK</v>
      </c>
    </row>
    <row r="48" spans="10:11" ht="10.5" thickBot="1" thickTop="1">
      <c r="J48" s="789">
        <f>COUNTIF(J6:J47,"ERROR")</f>
        <v>9</v>
      </c>
      <c r="K48" s="8" t="s">
        <v>365</v>
      </c>
    </row>
    <row r="49" spans="2:7" ht="9.75">
      <c r="B49" s="1027"/>
      <c r="C49" s="1027"/>
      <c r="D49" s="1027"/>
      <c r="E49" s="1028"/>
      <c r="F49" s="1028"/>
      <c r="G49" s="1028"/>
    </row>
  </sheetData>
  <sheetProtection password="EBD1" sheet="1"/>
  <mergeCells count="42">
    <mergeCell ref="C42:D42"/>
    <mergeCell ref="E39:F39"/>
    <mergeCell ref="E45:F45"/>
    <mergeCell ref="B45:C45"/>
    <mergeCell ref="B46:C46"/>
    <mergeCell ref="B47:C47"/>
    <mergeCell ref="C40:D40"/>
    <mergeCell ref="E46:F46"/>
    <mergeCell ref="E40:F40"/>
    <mergeCell ref="A1:G1"/>
    <mergeCell ref="A2:G2"/>
    <mergeCell ref="A3:G3"/>
    <mergeCell ref="D5:E5"/>
    <mergeCell ref="A4:G4"/>
    <mergeCell ref="E11:G11"/>
    <mergeCell ref="E8:G8"/>
    <mergeCell ref="I5:J5"/>
    <mergeCell ref="I40:I42"/>
    <mergeCell ref="C41:D41"/>
    <mergeCell ref="E16:G16"/>
    <mergeCell ref="D17:E17"/>
    <mergeCell ref="A13:G13"/>
    <mergeCell ref="E41:F41"/>
    <mergeCell ref="A12:F12"/>
    <mergeCell ref="A20:G20"/>
    <mergeCell ref="H20:H21"/>
    <mergeCell ref="A14:G14"/>
    <mergeCell ref="A18:F18"/>
    <mergeCell ref="F25:G26"/>
    <mergeCell ref="F15:G15"/>
    <mergeCell ref="D21:E21"/>
    <mergeCell ref="A19:G19"/>
    <mergeCell ref="D30:E30"/>
    <mergeCell ref="B49:D49"/>
    <mergeCell ref="E49:G49"/>
    <mergeCell ref="I43:I45"/>
    <mergeCell ref="C39:D39"/>
    <mergeCell ref="A43:G44"/>
    <mergeCell ref="A38:G38"/>
    <mergeCell ref="F33:G34"/>
    <mergeCell ref="E42:F42"/>
    <mergeCell ref="E47:F47"/>
  </mergeCells>
  <conditionalFormatting sqref="J6:J11 J13:J47">
    <cfRule type="containsText" priority="4" dxfId="0" operator="containsText" stopIfTrue="1" text="ERROR">
      <formula>NOT(ISERROR(SEARCH("ERROR",J6)))</formula>
    </cfRule>
  </conditionalFormatting>
  <conditionalFormatting sqref="J12">
    <cfRule type="containsText" priority="1" dxfId="0" operator="containsText" stopIfTrue="1" text="ERROR">
      <formula>NOT(ISERROR(SEARCH("ERROR",J12)))</formula>
    </cfRule>
  </conditionalFormatting>
  <dataValidations count="10">
    <dataValidation type="list" allowBlank="1" showInputMessage="1" showErrorMessage="1" sqref="G18 G7 G9:G10">
      <formula1>"Yes,No"</formula1>
    </dataValidation>
    <dataValidation type="list" allowBlank="1" showDropDown="1" showInputMessage="1" showErrorMessage="1" prompt="Insert X if applicable.  The X must be uppercase." sqref="A23:A25 A28:A29 D23:D25 D28:D29 D36:D37 A32:A34 A36:A37 D32:D34 F23:F24">
      <formula1>"X"</formula1>
    </dataValidation>
    <dataValidation type="list" allowBlank="1" showDropDown="1" showInputMessage="1" showErrorMessage="1" prompt="Insert X if applicable.  The X must be uppercase." error="Insert X if applicable.  The X must be uppercase." sqref="F32 F36">
      <formula1>"X"</formula1>
    </dataValidation>
    <dataValidation type="whole" allowBlank="1" showInputMessage="1" showErrorMessage="1" sqref="E40:F42">
      <formula1>0</formula1>
      <formula2>365</formula2>
    </dataValidation>
    <dataValidation type="whole" allowBlank="1" showInputMessage="1" showErrorMessage="1" error="Enter the year that the school began operating.  Do not include the month or day." sqref="G6">
      <formula1>1200</formula1>
      <formula2>2050</formula2>
    </dataValidation>
    <dataValidation type="list" allowBlank="1" showInputMessage="1" showErrorMessage="1" sqref="F15:G15">
      <formula1>$P$13:$P$15</formula1>
    </dataValidation>
    <dataValidation type="whole" allowBlank="1" showInputMessage="1" showErrorMessage="1" sqref="C40:D42">
      <formula1>0</formula1>
      <formula2>3000</formula2>
    </dataValidation>
    <dataValidation type="decimal" allowBlank="1" showInputMessage="1" showErrorMessage="1" sqref="G40:G42">
      <formula1>0</formula1>
      <formula2>20</formula2>
    </dataValidation>
    <dataValidation type="whole" allowBlank="1" showInputMessage="1" showErrorMessage="1" sqref="E46:G47">
      <formula1>0</formula1>
      <formula2>50000000</formula2>
    </dataValidation>
    <dataValidation type="list" allowBlank="1" showInputMessage="1" showErrorMessage="1" error="Enter the year that the school began operating.  Do not include the month or day." sqref="G12">
      <formula1>"Yes,No"</formula1>
    </dataValidation>
  </dataValidations>
  <printOptions/>
  <pageMargins left="0.39" right="0.35" top="0.6" bottom="0.39" header="0.39" footer="0.27"/>
  <pageSetup fitToHeight="1" fitToWidth="1" horizontalDpi="600" verticalDpi="600" orientation="portrait" scale="89" r:id="rId1"/>
  <headerFooter alignWithMargins="0">
    <oddHeader>&amp;LPI-PCP-14&amp;RPage 3</oddHeader>
  </headerFooter>
</worksheet>
</file>

<file path=xl/worksheets/sheet9.xml><?xml version="1.0" encoding="utf-8"?>
<worksheet xmlns="http://schemas.openxmlformats.org/spreadsheetml/2006/main" xmlns:r="http://schemas.openxmlformats.org/officeDocument/2006/relationships">
  <sheetPr>
    <tabColor rgb="FFFFFF00"/>
    <pageSetUpPr fitToPage="1"/>
  </sheetPr>
  <dimension ref="A1:O40"/>
  <sheetViews>
    <sheetView showGridLines="0" showOutlineSymbols="0" workbookViewId="0" topLeftCell="A1">
      <selection activeCell="K2" sqref="K2"/>
    </sheetView>
  </sheetViews>
  <sheetFormatPr defaultColWidth="9.140625" defaultRowHeight="12.75"/>
  <cols>
    <col min="1" max="1" width="5.00390625" style="8" customWidth="1"/>
    <col min="2" max="2" width="12.421875" style="8" customWidth="1"/>
    <col min="3" max="3" width="20.140625" style="8" customWidth="1"/>
    <col min="4" max="8" width="11.57421875" style="8" customWidth="1"/>
    <col min="9" max="9" width="3.421875" style="8" bestFit="1" customWidth="1"/>
    <col min="10" max="10" width="9.8515625" style="8" bestFit="1" customWidth="1"/>
    <col min="11" max="16384" width="9.140625" style="8" customWidth="1"/>
  </cols>
  <sheetData>
    <row r="1" spans="1:8" ht="12.75" customHeight="1">
      <c r="A1" s="1035">
        <f>'Cover Page'!A9</f>
        <v>0</v>
      </c>
      <c r="B1" s="1035"/>
      <c r="C1" s="1035"/>
      <c r="D1" s="1035"/>
      <c r="E1" s="1035"/>
      <c r="F1" s="1035"/>
      <c r="G1" s="1035"/>
      <c r="H1" s="1035"/>
    </row>
    <row r="2" spans="1:8" ht="10.5">
      <c r="A2" s="1036" t="s">
        <v>572</v>
      </c>
      <c r="B2" s="1036"/>
      <c r="C2" s="1036"/>
      <c r="D2" s="1036"/>
      <c r="E2" s="1036"/>
      <c r="F2" s="1036"/>
      <c r="G2" s="1036"/>
      <c r="H2" s="1036"/>
    </row>
    <row r="3" spans="1:8" ht="10.5" thickBot="1">
      <c r="A3" s="1035" t="str">
        <f>'Required Attachments'!A3</f>
        <v>Budget for the period from July 1, 2022 to June 30, 2023</v>
      </c>
      <c r="B3" s="1035"/>
      <c r="C3" s="1035"/>
      <c r="D3" s="1035"/>
      <c r="E3" s="1035"/>
      <c r="F3" s="1035"/>
      <c r="G3" s="1035"/>
      <c r="H3" s="1035"/>
    </row>
    <row r="4" spans="1:10" ht="150" customHeight="1" thickBot="1" thickTop="1">
      <c r="A4" s="1127" t="s">
        <v>756</v>
      </c>
      <c r="B4" s="1128"/>
      <c r="C4" s="1128"/>
      <c r="D4" s="1128"/>
      <c r="E4" s="1128"/>
      <c r="F4" s="1128"/>
      <c r="G4" s="1128"/>
      <c r="H4" s="1128"/>
      <c r="I4" s="146"/>
      <c r="J4" s="146"/>
    </row>
    <row r="5" spans="1:11" ht="15" customHeight="1" thickBot="1" thickTop="1">
      <c r="A5" s="50"/>
      <c r="B5" s="404"/>
      <c r="C5" s="1041" t="s">
        <v>171</v>
      </c>
      <c r="D5" s="1041"/>
      <c r="E5" s="1041"/>
      <c r="F5" s="1041"/>
      <c r="G5" s="1041"/>
      <c r="H5" s="404"/>
      <c r="I5" s="10"/>
      <c r="J5" s="10"/>
      <c r="K5" s="547" t="s">
        <v>510</v>
      </c>
    </row>
    <row r="6" spans="1:12" s="546" customFormat="1" ht="33.75" customHeight="1">
      <c r="A6" s="28" t="s">
        <v>5</v>
      </c>
      <c r="B6" s="1085" t="s">
        <v>173</v>
      </c>
      <c r="C6" s="1126"/>
      <c r="D6" s="137" t="s">
        <v>701</v>
      </c>
      <c r="E6" s="117" t="s">
        <v>369</v>
      </c>
      <c r="F6" s="117" t="s">
        <v>174</v>
      </c>
      <c r="G6" s="117" t="s">
        <v>175</v>
      </c>
      <c r="H6" s="191" t="s">
        <v>176</v>
      </c>
      <c r="I6" s="545"/>
      <c r="J6" s="650" t="s">
        <v>710</v>
      </c>
      <c r="K6" s="651" t="s">
        <v>511</v>
      </c>
      <c r="L6" s="652" t="s">
        <v>512</v>
      </c>
    </row>
    <row r="7" spans="1:12" ht="15" customHeight="1">
      <c r="A7" s="54">
        <v>1</v>
      </c>
      <c r="B7" s="1118" t="s">
        <v>0</v>
      </c>
      <c r="C7" s="1119"/>
      <c r="D7" s="69"/>
      <c r="E7" s="69"/>
      <c r="F7" s="69"/>
      <c r="G7" s="106">
        <v>0.5</v>
      </c>
      <c r="H7" s="661">
        <f aca="true" t="shared" si="0" ref="H7:H13">ROUND((E7+F7)/2*G7,2)</f>
        <v>0</v>
      </c>
      <c r="I7" s="10"/>
      <c r="J7" s="653" t="str">
        <f>IF(D7&lt;(D19+'SCH 2-2 SNSP Pupils'!D7+'SCH 2-2 SNSP Pupils'!D19),"ERROR","OK")</f>
        <v>OK</v>
      </c>
      <c r="K7" s="9" t="str">
        <f>IF(E7&lt;(E19+'SCH 2-2 SNSP Pupils'!E7+'SCH 2-2 SNSP Pupils'!E19),"ERROR","OK")</f>
        <v>OK</v>
      </c>
      <c r="L7" s="654" t="str">
        <f>IF(F7&lt;(F19+'SCH 2-2 SNSP Pupils'!F7+'SCH 2-2 SNSP Pupils'!F19),"ERROR","OK")</f>
        <v>OK</v>
      </c>
    </row>
    <row r="8" spans="1:12" ht="15" customHeight="1">
      <c r="A8" s="54">
        <v>2</v>
      </c>
      <c r="B8" s="1118" t="s">
        <v>101</v>
      </c>
      <c r="C8" s="1119"/>
      <c r="D8" s="69"/>
      <c r="E8" s="69"/>
      <c r="F8" s="69"/>
      <c r="G8" s="106">
        <v>0.6</v>
      </c>
      <c r="H8" s="661">
        <f t="shared" si="0"/>
        <v>0</v>
      </c>
      <c r="I8" s="46"/>
      <c r="J8" s="653" t="str">
        <f>IF(D8&lt;(D20+'SCH 2-2 SNSP Pupils'!D8+'SCH 2-2 SNSP Pupils'!D20),"ERROR","OK")</f>
        <v>OK</v>
      </c>
      <c r="K8" s="9" t="str">
        <f>IF(E8&lt;(E20+'SCH 2-2 SNSP Pupils'!E8+'SCH 2-2 SNSP Pupils'!E20),"ERROR","OK")</f>
        <v>OK</v>
      </c>
      <c r="L8" s="654" t="str">
        <f>IF(F8&lt;(F20+'SCH 2-2 SNSP Pupils'!F8+'SCH 2-2 SNSP Pupils'!F20),"ERROR","OK")</f>
        <v>OK</v>
      </c>
    </row>
    <row r="9" spans="1:12" ht="15" customHeight="1">
      <c r="A9" s="54">
        <v>3</v>
      </c>
      <c r="B9" s="1118" t="s">
        <v>1</v>
      </c>
      <c r="C9" s="1119"/>
      <c r="D9" s="69"/>
      <c r="E9" s="69"/>
      <c r="F9" s="69"/>
      <c r="G9" s="106">
        <v>0.5</v>
      </c>
      <c r="H9" s="661">
        <f t="shared" si="0"/>
        <v>0</v>
      </c>
      <c r="I9" s="10"/>
      <c r="J9" s="653" t="str">
        <f>IF(D9&lt;(D21+'SCH 2-2 SNSP Pupils'!D9+'SCH 2-2 SNSP Pupils'!D21),"ERROR","OK")</f>
        <v>OK</v>
      </c>
      <c r="K9" s="9" t="str">
        <f>IF(E9&lt;(E21+'SCH 2-2 SNSP Pupils'!E9+'SCH 2-2 SNSP Pupils'!E21),"ERROR","OK")</f>
        <v>OK</v>
      </c>
      <c r="L9" s="654" t="str">
        <f>IF(F9&lt;(F21+'SCH 2-2 SNSP Pupils'!F9+'SCH 2-2 SNSP Pupils'!F21),"ERROR","OK")</f>
        <v>OK</v>
      </c>
    </row>
    <row r="10" spans="1:12" ht="15" customHeight="1">
      <c r="A10" s="54">
        <v>4</v>
      </c>
      <c r="B10" s="1118" t="s">
        <v>2</v>
      </c>
      <c r="C10" s="1119"/>
      <c r="D10" s="69"/>
      <c r="E10" s="69"/>
      <c r="F10" s="69"/>
      <c r="G10" s="106">
        <v>0.6</v>
      </c>
      <c r="H10" s="661">
        <f t="shared" si="0"/>
        <v>0</v>
      </c>
      <c r="I10" s="10"/>
      <c r="J10" s="653" t="str">
        <f>IF(D10&lt;(D22+'SCH 2-2 SNSP Pupils'!D10+'SCH 2-2 SNSP Pupils'!D22),"ERROR","OK")</f>
        <v>OK</v>
      </c>
      <c r="K10" s="9" t="str">
        <f>IF(E10&lt;(E22+'SCH 2-2 SNSP Pupils'!E10+'SCH 2-2 SNSP Pupils'!E22),"ERROR","OK")</f>
        <v>OK</v>
      </c>
      <c r="L10" s="654" t="str">
        <f>IF(F10&lt;(F22+'SCH 2-2 SNSP Pupils'!F10+'SCH 2-2 SNSP Pupils'!F22),"ERROR","OK")</f>
        <v>OK</v>
      </c>
    </row>
    <row r="11" spans="1:12" ht="15" customHeight="1">
      <c r="A11" s="54">
        <v>5</v>
      </c>
      <c r="B11" s="1118" t="s">
        <v>3</v>
      </c>
      <c r="C11" s="1119"/>
      <c r="D11" s="69"/>
      <c r="E11" s="69"/>
      <c r="F11" s="69"/>
      <c r="G11" s="106">
        <v>0.8</v>
      </c>
      <c r="H11" s="661">
        <f t="shared" si="0"/>
        <v>0</v>
      </c>
      <c r="I11" s="10"/>
      <c r="J11" s="653" t="str">
        <f>IF(D11&lt;(D23+'SCH 2-2 SNSP Pupils'!D11+'SCH 2-2 SNSP Pupils'!D23),"ERROR","OK")</f>
        <v>OK</v>
      </c>
      <c r="K11" s="9" t="str">
        <f>IF(E11&lt;(E23+'SCH 2-2 SNSP Pupils'!E11+'SCH 2-2 SNSP Pupils'!E23),"ERROR","OK")</f>
        <v>OK</v>
      </c>
      <c r="L11" s="654" t="str">
        <f>IF(F11&lt;(F23+'SCH 2-2 SNSP Pupils'!F11+'SCH 2-2 SNSP Pupils'!F23),"ERROR","OK")</f>
        <v>OK</v>
      </c>
    </row>
    <row r="12" spans="1:12" ht="15" customHeight="1">
      <c r="A12" s="54">
        <v>6</v>
      </c>
      <c r="B12" s="1118" t="s">
        <v>4</v>
      </c>
      <c r="C12" s="1119"/>
      <c r="D12" s="69"/>
      <c r="E12" s="69"/>
      <c r="F12" s="69"/>
      <c r="G12" s="106">
        <v>1</v>
      </c>
      <c r="H12" s="661">
        <f t="shared" si="0"/>
        <v>0</v>
      </c>
      <c r="I12" s="10"/>
      <c r="J12" s="653" t="str">
        <f>IF(D12&lt;(D24+'SCH 2-2 SNSP Pupils'!D12+'SCH 2-2 SNSP Pupils'!D24),"ERROR","OK")</f>
        <v>OK</v>
      </c>
      <c r="K12" s="9" t="str">
        <f>IF(E12&lt;(E24+'SCH 2-2 SNSP Pupils'!E12+'SCH 2-2 SNSP Pupils'!E24),"ERROR","OK")</f>
        <v>OK</v>
      </c>
      <c r="L12" s="654" t="str">
        <f>IF(F12&lt;(F24+'SCH 2-2 SNSP Pupils'!F12+'SCH 2-2 SNSP Pupils'!F24),"ERROR","OK")</f>
        <v>OK</v>
      </c>
    </row>
    <row r="13" spans="1:12" ht="15" customHeight="1" thickBot="1">
      <c r="A13" s="55">
        <v>7</v>
      </c>
      <c r="B13" s="124" t="s">
        <v>65</v>
      </c>
      <c r="C13" s="125"/>
      <c r="D13" s="70"/>
      <c r="E13" s="70"/>
      <c r="F13" s="70"/>
      <c r="G13" s="107">
        <v>1</v>
      </c>
      <c r="H13" s="662">
        <f t="shared" si="0"/>
        <v>0</v>
      </c>
      <c r="I13" s="10"/>
      <c r="J13" s="653" t="str">
        <f>IF(D13&lt;(D25+'SCH 2-2 SNSP Pupils'!D13+'SCH 2-2 SNSP Pupils'!D25),"ERROR","OK")</f>
        <v>OK</v>
      </c>
      <c r="K13" s="9" t="str">
        <f>IF(E13&lt;(E25+'SCH 2-2 SNSP Pupils'!E13+'SCH 2-2 SNSP Pupils'!E25),"ERROR","OK")</f>
        <v>OK</v>
      </c>
      <c r="L13" s="654" t="str">
        <f>IF(F13&lt;(F25+'SCH 2-2 SNSP Pupils'!F13+'SCH 2-2 SNSP Pupils'!F25),"ERROR","OK")</f>
        <v>OK</v>
      </c>
    </row>
    <row r="14" spans="1:12" ht="15" customHeight="1" thickBot="1">
      <c r="A14" s="76">
        <v>8</v>
      </c>
      <c r="B14" s="1120" t="s">
        <v>67</v>
      </c>
      <c r="C14" s="1121"/>
      <c r="D14" s="416">
        <f>SUM(D7:D13)</f>
        <v>0</v>
      </c>
      <c r="E14" s="416">
        <f>SUM(E7:E13)</f>
        <v>0</v>
      </c>
      <c r="F14" s="416">
        <f>SUM(F7:F13)</f>
        <v>0</v>
      </c>
      <c r="G14" s="128"/>
      <c r="H14" s="663">
        <f>SUM(H7:H13)</f>
        <v>0</v>
      </c>
      <c r="I14" s="10"/>
      <c r="J14" s="653"/>
      <c r="K14" s="9"/>
      <c r="L14" s="654"/>
    </row>
    <row r="15" spans="1:12" ht="15" customHeight="1" thickBot="1">
      <c r="A15" s="76">
        <v>9</v>
      </c>
      <c r="B15" s="1122" t="s">
        <v>66</v>
      </c>
      <c r="C15" s="1123"/>
      <c r="D15" s="679"/>
      <c r="E15" s="679"/>
      <c r="F15" s="679"/>
      <c r="G15" s="574">
        <v>1</v>
      </c>
      <c r="H15" s="663">
        <f>ROUND((E15+F15)/2*G15,2)</f>
        <v>0</v>
      </c>
      <c r="I15" s="10"/>
      <c r="J15" s="813" t="str">
        <f>IF(D15&lt;(D27+'SCH 2-2 SNSP Pupils'!D15+'SCH 2-2 SNSP Pupils'!D27),"ERROR","OK")</f>
        <v>OK</v>
      </c>
      <c r="K15" s="814" t="str">
        <f>IF(E15&lt;(E27+'SCH 2-2 SNSP Pupils'!E15+'SCH 2-2 SNSP Pupils'!E27),"ERROR","OK")</f>
        <v>OK</v>
      </c>
      <c r="L15" s="655" t="str">
        <f>IF(F15&lt;(F27+'SCH 2-2 SNSP Pupils'!F15+'SCH 2-2 SNSP Pupils'!F27),"ERROR","OK")</f>
        <v>OK</v>
      </c>
    </row>
    <row r="16" spans="1:12" ht="15" customHeight="1" thickBot="1">
      <c r="A16" s="56">
        <v>10</v>
      </c>
      <c r="B16" s="1124" t="s">
        <v>58</v>
      </c>
      <c r="C16" s="1125"/>
      <c r="D16" s="680">
        <f>SUM(D14:D15)</f>
        <v>0</v>
      </c>
      <c r="E16" s="680">
        <f>SUM(E14:E15)</f>
        <v>0</v>
      </c>
      <c r="F16" s="680">
        <f>SUM(F14:F15)</f>
        <v>0</v>
      </c>
      <c r="G16" s="575"/>
      <c r="H16" s="681">
        <f>SUM(H14:H15)</f>
        <v>0</v>
      </c>
      <c r="I16" s="10"/>
      <c r="J16" s="813">
        <f>COUNTIF(J7:J15,"ERROR")</f>
        <v>0</v>
      </c>
      <c r="K16" s="814">
        <f>COUNTIF(K7:K15,"ERROR")</f>
        <v>0</v>
      </c>
      <c r="L16" s="655">
        <f>COUNTIF(L7:L15,"ERROR")</f>
        <v>0</v>
      </c>
    </row>
    <row r="17" spans="1:15" ht="15" customHeight="1" thickTop="1">
      <c r="A17" s="50"/>
      <c r="B17" s="404"/>
      <c r="C17" s="1041" t="s">
        <v>172</v>
      </c>
      <c r="D17" s="1041"/>
      <c r="E17" s="1041"/>
      <c r="F17" s="1041"/>
      <c r="G17" s="1041"/>
      <c r="H17" s="404"/>
      <c r="I17" s="10"/>
      <c r="M17" s="10"/>
      <c r="N17" s="63" t="s">
        <v>509</v>
      </c>
      <c r="O17" s="10"/>
    </row>
    <row r="18" spans="1:15" ht="34.5" customHeight="1">
      <c r="A18" s="28" t="s">
        <v>5</v>
      </c>
      <c r="B18" s="1085" t="s">
        <v>173</v>
      </c>
      <c r="C18" s="1126"/>
      <c r="D18" s="137" t="s">
        <v>701</v>
      </c>
      <c r="E18" s="117" t="s">
        <v>369</v>
      </c>
      <c r="F18" s="117" t="s">
        <v>174</v>
      </c>
      <c r="G18" s="117" t="s">
        <v>175</v>
      </c>
      <c r="H18" s="191" t="s">
        <v>176</v>
      </c>
      <c r="I18" s="10"/>
      <c r="M18" s="913" t="s">
        <v>709</v>
      </c>
      <c r="N18" s="637" t="s">
        <v>35</v>
      </c>
      <c r="O18" s="638" t="s">
        <v>34</v>
      </c>
    </row>
    <row r="19" spans="1:15" ht="15" customHeight="1">
      <c r="A19" s="54">
        <v>11</v>
      </c>
      <c r="B19" s="1118" t="s">
        <v>0</v>
      </c>
      <c r="C19" s="1119"/>
      <c r="D19" s="69"/>
      <c r="E19" s="69"/>
      <c r="F19" s="69"/>
      <c r="G19" s="106">
        <v>0.5</v>
      </c>
      <c r="H19" s="661">
        <f aca="true" t="shared" si="1" ref="H19:H25">ROUND((E19+F19)/2*G19,2)</f>
        <v>0</v>
      </c>
      <c r="I19" s="109"/>
      <c r="M19" s="665">
        <f aca="true" t="shared" si="2" ref="M19:O25">D19*$G19</f>
        <v>0</v>
      </c>
      <c r="N19" s="666">
        <f t="shared" si="2"/>
        <v>0</v>
      </c>
      <c r="O19" s="667">
        <f t="shared" si="2"/>
        <v>0</v>
      </c>
    </row>
    <row r="20" spans="1:15" ht="15" customHeight="1">
      <c r="A20" s="54">
        <v>12</v>
      </c>
      <c r="B20" s="1118" t="s">
        <v>101</v>
      </c>
      <c r="C20" s="1119"/>
      <c r="D20" s="69"/>
      <c r="E20" s="69"/>
      <c r="F20" s="69"/>
      <c r="G20" s="106">
        <v>0.6</v>
      </c>
      <c r="H20" s="661">
        <f t="shared" si="1"/>
        <v>0</v>
      </c>
      <c r="I20" s="109"/>
      <c r="M20" s="665">
        <f t="shared" si="2"/>
        <v>0</v>
      </c>
      <c r="N20" s="666">
        <f t="shared" si="2"/>
        <v>0</v>
      </c>
      <c r="O20" s="667">
        <f t="shared" si="2"/>
        <v>0</v>
      </c>
    </row>
    <row r="21" spans="1:15" ht="15" customHeight="1">
      <c r="A21" s="54">
        <v>13</v>
      </c>
      <c r="B21" s="1118" t="s">
        <v>1</v>
      </c>
      <c r="C21" s="1119"/>
      <c r="D21" s="69"/>
      <c r="E21" s="69"/>
      <c r="F21" s="69"/>
      <c r="G21" s="106">
        <v>0.5</v>
      </c>
      <c r="H21" s="661">
        <f t="shared" si="1"/>
        <v>0</v>
      </c>
      <c r="I21" s="109"/>
      <c r="M21" s="665">
        <f t="shared" si="2"/>
        <v>0</v>
      </c>
      <c r="N21" s="666">
        <f t="shared" si="2"/>
        <v>0</v>
      </c>
      <c r="O21" s="667">
        <f t="shared" si="2"/>
        <v>0</v>
      </c>
    </row>
    <row r="22" spans="1:15" ht="15" customHeight="1">
      <c r="A22" s="54">
        <v>14</v>
      </c>
      <c r="B22" s="1118" t="s">
        <v>2</v>
      </c>
      <c r="C22" s="1119"/>
      <c r="D22" s="69"/>
      <c r="E22" s="69"/>
      <c r="F22" s="69"/>
      <c r="G22" s="106">
        <v>0.6</v>
      </c>
      <c r="H22" s="661">
        <f t="shared" si="1"/>
        <v>0</v>
      </c>
      <c r="I22" s="109"/>
      <c r="M22" s="665">
        <f t="shared" si="2"/>
        <v>0</v>
      </c>
      <c r="N22" s="666">
        <f t="shared" si="2"/>
        <v>0</v>
      </c>
      <c r="O22" s="667">
        <f t="shared" si="2"/>
        <v>0</v>
      </c>
    </row>
    <row r="23" spans="1:15" ht="15" customHeight="1">
      <c r="A23" s="54">
        <v>15</v>
      </c>
      <c r="B23" s="1118" t="s">
        <v>3</v>
      </c>
      <c r="C23" s="1119"/>
      <c r="D23" s="69"/>
      <c r="E23" s="69"/>
      <c r="F23" s="69"/>
      <c r="G23" s="106">
        <v>0.8</v>
      </c>
      <c r="H23" s="661">
        <f t="shared" si="1"/>
        <v>0</v>
      </c>
      <c r="I23" s="109"/>
      <c r="M23" s="665">
        <f t="shared" si="2"/>
        <v>0</v>
      </c>
      <c r="N23" s="666">
        <f t="shared" si="2"/>
        <v>0</v>
      </c>
      <c r="O23" s="667">
        <f t="shared" si="2"/>
        <v>0</v>
      </c>
    </row>
    <row r="24" spans="1:15" ht="15" customHeight="1">
      <c r="A24" s="54">
        <v>16</v>
      </c>
      <c r="B24" s="1118" t="s">
        <v>4</v>
      </c>
      <c r="C24" s="1119"/>
      <c r="D24" s="69"/>
      <c r="E24" s="69"/>
      <c r="F24" s="69"/>
      <c r="G24" s="106">
        <v>1</v>
      </c>
      <c r="H24" s="661">
        <f t="shared" si="1"/>
        <v>0</v>
      </c>
      <c r="I24" s="109"/>
      <c r="M24" s="665">
        <f t="shared" si="2"/>
        <v>0</v>
      </c>
      <c r="N24" s="666">
        <f t="shared" si="2"/>
        <v>0</v>
      </c>
      <c r="O24" s="667">
        <f t="shared" si="2"/>
        <v>0</v>
      </c>
    </row>
    <row r="25" spans="1:15" ht="15" customHeight="1" thickBot="1">
      <c r="A25" s="55">
        <v>17</v>
      </c>
      <c r="B25" s="124" t="s">
        <v>65</v>
      </c>
      <c r="C25" s="125"/>
      <c r="D25" s="70"/>
      <c r="E25" s="70"/>
      <c r="F25" s="70"/>
      <c r="G25" s="107">
        <v>1</v>
      </c>
      <c r="H25" s="662">
        <f t="shared" si="1"/>
        <v>0</v>
      </c>
      <c r="I25" s="109"/>
      <c r="M25" s="668">
        <f t="shared" si="2"/>
        <v>0</v>
      </c>
      <c r="N25" s="669">
        <f t="shared" si="2"/>
        <v>0</v>
      </c>
      <c r="O25" s="670">
        <f t="shared" si="2"/>
        <v>0</v>
      </c>
    </row>
    <row r="26" spans="1:15" ht="15" customHeight="1" thickBot="1">
      <c r="A26" s="76">
        <v>18</v>
      </c>
      <c r="B26" s="1120" t="s">
        <v>68</v>
      </c>
      <c r="C26" s="1121"/>
      <c r="D26" s="416">
        <f>SUM(D19:D25)</f>
        <v>0</v>
      </c>
      <c r="E26" s="416">
        <f>SUM(E19:E25)</f>
        <v>0</v>
      </c>
      <c r="F26" s="416">
        <f>SUM(F19:F25)</f>
        <v>0</v>
      </c>
      <c r="G26" s="128"/>
      <c r="H26" s="663">
        <f>SUM(H19:H25)</f>
        <v>0</v>
      </c>
      <c r="I26" s="109"/>
      <c r="M26" s="671">
        <f>SUM(M19:M25)</f>
        <v>0</v>
      </c>
      <c r="N26" s="672">
        <f>SUM(N19:N25)</f>
        <v>0</v>
      </c>
      <c r="O26" s="671">
        <f>SUM(O19:O25)</f>
        <v>0</v>
      </c>
    </row>
    <row r="27" spans="1:15" ht="15" customHeight="1" thickBot="1">
      <c r="A27" s="55">
        <v>19</v>
      </c>
      <c r="B27" s="1129" t="s">
        <v>66</v>
      </c>
      <c r="C27" s="1130"/>
      <c r="D27" s="70"/>
      <c r="E27" s="70"/>
      <c r="F27" s="70"/>
      <c r="G27" s="107">
        <v>1</v>
      </c>
      <c r="H27" s="662">
        <f>ROUND((E27+F27)/2*G27,2)</f>
        <v>0</v>
      </c>
      <c r="I27" s="109"/>
      <c r="M27" s="673">
        <f>D27*$G27</f>
        <v>0</v>
      </c>
      <c r="N27" s="674">
        <f>E27*$G27</f>
        <v>0</v>
      </c>
      <c r="O27" s="675">
        <f>F27*$G27</f>
        <v>0</v>
      </c>
    </row>
    <row r="28" spans="1:15" ht="15" customHeight="1" thickBot="1">
      <c r="A28" s="59">
        <v>20</v>
      </c>
      <c r="B28" s="1124" t="s">
        <v>59</v>
      </c>
      <c r="C28" s="1125"/>
      <c r="D28" s="657">
        <f>SUM(D26:D27)</f>
        <v>0</v>
      </c>
      <c r="E28" s="657">
        <f>SUM(E26:E27)</f>
        <v>0</v>
      </c>
      <c r="F28" s="657">
        <f>SUM(F26:F27)</f>
        <v>0</v>
      </c>
      <c r="G28" s="110"/>
      <c r="H28" s="664">
        <f>SUM(H26:H27)</f>
        <v>0</v>
      </c>
      <c r="I28" s="109"/>
      <c r="J28" s="10"/>
      <c r="K28" s="10"/>
      <c r="L28" s="10"/>
      <c r="M28" s="676">
        <f>SUM(M26:M27)</f>
        <v>0</v>
      </c>
      <c r="N28" s="677">
        <f>SUM(N26:N27)</f>
        <v>0</v>
      </c>
      <c r="O28" s="678">
        <f>SUM(O26:O27)</f>
        <v>0</v>
      </c>
    </row>
    <row r="29" spans="1:12" ht="15" customHeight="1" thickTop="1">
      <c r="A29" s="50"/>
      <c r="B29" s="404"/>
      <c r="C29" s="1041" t="s">
        <v>282</v>
      </c>
      <c r="D29" s="1041"/>
      <c r="E29" s="1041"/>
      <c r="F29" s="1041"/>
      <c r="G29" s="1041"/>
      <c r="H29" s="404"/>
      <c r="I29" s="10"/>
      <c r="J29" s="649"/>
      <c r="K29" s="649"/>
      <c r="L29" s="649"/>
    </row>
    <row r="30" spans="1:11" s="546" customFormat="1" ht="26.25" customHeight="1">
      <c r="A30" s="28" t="s">
        <v>5</v>
      </c>
      <c r="B30" s="1085" t="s">
        <v>173</v>
      </c>
      <c r="C30" s="1126"/>
      <c r="D30" s="137" t="s">
        <v>276</v>
      </c>
      <c r="E30" s="117" t="s">
        <v>277</v>
      </c>
      <c r="F30" s="117" t="s">
        <v>278</v>
      </c>
      <c r="G30" s="117" t="s">
        <v>284</v>
      </c>
      <c r="H30" s="191" t="s">
        <v>281</v>
      </c>
      <c r="I30" s="545"/>
      <c r="J30" s="547"/>
      <c r="K30" s="547"/>
    </row>
    <row r="31" spans="1:11" ht="15" customHeight="1">
      <c r="A31" s="54">
        <v>21</v>
      </c>
      <c r="B31" s="1118" t="s">
        <v>280</v>
      </c>
      <c r="C31" s="1119"/>
      <c r="D31" s="69"/>
      <c r="E31" s="69"/>
      <c r="F31" s="69"/>
      <c r="G31" s="313">
        <f>MAX(D19:F19)+MAX(D20:F20)</f>
        <v>0</v>
      </c>
      <c r="H31" s="661">
        <f>G31-SUM(D31:F31)</f>
        <v>0</v>
      </c>
      <c r="I31" s="10"/>
      <c r="J31" s="10"/>
      <c r="K31" s="10"/>
    </row>
    <row r="32" spans="1:11" ht="15" customHeight="1">
      <c r="A32" s="54">
        <v>22</v>
      </c>
      <c r="B32" s="1118" t="s">
        <v>279</v>
      </c>
      <c r="C32" s="1119"/>
      <c r="D32" s="69"/>
      <c r="E32" s="69"/>
      <c r="F32" s="69"/>
      <c r="G32" s="313">
        <f>MAX(D21:F21)+MAX(D22:F22)+MAX(D23:F23)+MAX(D24:F24)</f>
        <v>0</v>
      </c>
      <c r="H32" s="661">
        <f>G32-SUM(D32:F32)</f>
        <v>0</v>
      </c>
      <c r="I32" s="10"/>
      <c r="J32" s="10"/>
      <c r="K32" s="10"/>
    </row>
    <row r="33" spans="1:11" ht="15" customHeight="1">
      <c r="A33" s="54">
        <v>23</v>
      </c>
      <c r="B33" s="116" t="s">
        <v>65</v>
      </c>
      <c r="C33" s="189"/>
      <c r="D33" s="69"/>
      <c r="E33" s="69"/>
      <c r="F33" s="69"/>
      <c r="G33" s="313">
        <f>MAX(D25:F25)</f>
        <v>0</v>
      </c>
      <c r="H33" s="661">
        <f>G33-SUM(D33:F33)</f>
        <v>0</v>
      </c>
      <c r="I33" s="10"/>
      <c r="J33" s="10"/>
      <c r="K33" s="10"/>
    </row>
    <row r="34" spans="1:11" ht="15" customHeight="1" thickBot="1">
      <c r="A34" s="76">
        <v>24</v>
      </c>
      <c r="B34" s="1122" t="s">
        <v>66</v>
      </c>
      <c r="C34" s="1123"/>
      <c r="D34" s="679"/>
      <c r="E34" s="679"/>
      <c r="F34" s="679"/>
      <c r="G34" s="314">
        <f>MAX(D27:F27)</f>
        <v>0</v>
      </c>
      <c r="H34" s="662">
        <f>G34-SUM(D34:F34)</f>
        <v>0</v>
      </c>
      <c r="I34" s="10"/>
      <c r="J34" s="10"/>
      <c r="K34" s="10"/>
    </row>
    <row r="35" spans="1:11" ht="15" customHeight="1" thickBot="1">
      <c r="A35" s="56">
        <v>25</v>
      </c>
      <c r="B35" s="1124" t="s">
        <v>59</v>
      </c>
      <c r="C35" s="1125"/>
      <c r="D35" s="680">
        <f>SUM(D31:D34)</f>
        <v>0</v>
      </c>
      <c r="E35" s="680">
        <f>SUM(E31:E34)</f>
        <v>0</v>
      </c>
      <c r="F35" s="680">
        <f>SUM(F31:F34)</f>
        <v>0</v>
      </c>
      <c r="G35" s="108">
        <f>SUM(G31:G34)</f>
        <v>0</v>
      </c>
      <c r="H35" s="681">
        <f>SUM(H31:H34)</f>
        <v>0</v>
      </c>
      <c r="I35" s="10"/>
      <c r="K35" s="9"/>
    </row>
    <row r="36" spans="1:13" ht="15" customHeight="1" thickTop="1">
      <c r="A36" s="50"/>
      <c r="B36" s="50"/>
      <c r="C36" s="1041" t="str">
        <f>"CHOICE "&amp;Months!B29&amp;" SUMMER SCHOOL PUPILS"</f>
        <v>CHOICE 2022 SUMMER SCHOOL PUPILS</v>
      </c>
      <c r="D36" s="1041"/>
      <c r="E36" s="1041"/>
      <c r="F36" s="404"/>
      <c r="G36" s="404"/>
      <c r="H36" s="10"/>
      <c r="I36" s="10"/>
      <c r="J36" s="9"/>
      <c r="K36" s="10"/>
      <c r="L36" s="10"/>
      <c r="M36" s="10"/>
    </row>
    <row r="37" spans="1:12" s="546" customFormat="1" ht="26.25" customHeight="1">
      <c r="A37" s="28" t="s">
        <v>5</v>
      </c>
      <c r="B37" s="1085" t="s">
        <v>199</v>
      </c>
      <c r="C37" s="1126"/>
      <c r="D37" s="137" t="s">
        <v>247</v>
      </c>
      <c r="E37" s="149" t="s">
        <v>248</v>
      </c>
      <c r="F37" s="1133" t="s">
        <v>249</v>
      </c>
      <c r="G37" s="1134"/>
      <c r="H37" s="138"/>
      <c r="I37" s="545"/>
      <c r="J37" s="545"/>
      <c r="K37" s="9"/>
      <c r="L37" s="545"/>
    </row>
    <row r="38" spans="1:12" ht="15" customHeight="1" thickBot="1">
      <c r="A38" s="174">
        <v>26</v>
      </c>
      <c r="B38" s="1131" t="s">
        <v>170</v>
      </c>
      <c r="C38" s="1132"/>
      <c r="D38" s="286"/>
      <c r="E38" s="288"/>
      <c r="F38" s="1135">
        <f>(D38*PY_Choice_K8_Pmt*0.05)+(E38*PY_Choice_912_Pmt*0.05)</f>
        <v>0</v>
      </c>
      <c r="G38" s="1136"/>
      <c r="H38" s="405"/>
      <c r="I38" s="10"/>
      <c r="J38" s="10"/>
      <c r="K38" s="10"/>
      <c r="L38" s="10"/>
    </row>
    <row r="39" ht="10.5" thickTop="1"/>
    <row r="40" spans="2:6" ht="18" customHeight="1">
      <c r="B40" s="48"/>
      <c r="C40" s="48"/>
      <c r="D40" s="48"/>
      <c r="E40" s="13"/>
      <c r="F40" s="13"/>
    </row>
  </sheetData>
  <sheetProtection password="EBD1" sheet="1"/>
  <mergeCells count="37">
    <mergeCell ref="B38:C38"/>
    <mergeCell ref="B37:C37"/>
    <mergeCell ref="F37:G37"/>
    <mergeCell ref="B18:C18"/>
    <mergeCell ref="B35:C35"/>
    <mergeCell ref="C29:G29"/>
    <mergeCell ref="B19:C19"/>
    <mergeCell ref="F38:G38"/>
    <mergeCell ref="C17:G17"/>
    <mergeCell ref="B27:C27"/>
    <mergeCell ref="C36:E36"/>
    <mergeCell ref="B32:C32"/>
    <mergeCell ref="B34:C34"/>
    <mergeCell ref="B30:C30"/>
    <mergeCell ref="B31:C31"/>
    <mergeCell ref="B28:C28"/>
    <mergeCell ref="B26:C26"/>
    <mergeCell ref="A1:H1"/>
    <mergeCell ref="A3:H3"/>
    <mergeCell ref="A2:H2"/>
    <mergeCell ref="B15:C15"/>
    <mergeCell ref="B16:C16"/>
    <mergeCell ref="B6:C6"/>
    <mergeCell ref="C5:G5"/>
    <mergeCell ref="A4:H4"/>
    <mergeCell ref="B7:C7"/>
    <mergeCell ref="B8:C8"/>
    <mergeCell ref="B9:C9"/>
    <mergeCell ref="B10:C10"/>
    <mergeCell ref="B11:C11"/>
    <mergeCell ref="B12:C12"/>
    <mergeCell ref="B14:C14"/>
    <mergeCell ref="B24:C24"/>
    <mergeCell ref="B20:C20"/>
    <mergeCell ref="B21:C21"/>
    <mergeCell ref="B22:C22"/>
    <mergeCell ref="B23:C23"/>
  </mergeCells>
  <conditionalFormatting sqref="H31:H35">
    <cfRule type="cellIs" priority="2" dxfId="0" operator="greaterThan" stopIfTrue="1">
      <formula>0</formula>
    </cfRule>
  </conditionalFormatting>
  <conditionalFormatting sqref="J7:L15">
    <cfRule type="containsText" priority="1" dxfId="0" operator="containsText" stopIfTrue="1" text="ERROR">
      <formula>NOT(ISERROR(SEARCH("ERROR",J7)))</formula>
    </cfRule>
  </conditionalFormatting>
  <dataValidations count="2">
    <dataValidation allowBlank="1" showInputMessage="1" showErrorMessage="1" prompt="Insert the total number of MPCP, RPCP, and WPCP pupils for each count date.  See the top of the schedule for an explanation of which students should be included in each column." sqref="D19:F25 D27:F27"/>
    <dataValidation allowBlank="1" showInputMessage="1" showErrorMessage="1" prompt="The total count for MPCP, WPCP, and RPCP must equal the high count in Column E." sqref="D31:F34"/>
  </dataValidations>
  <printOptions/>
  <pageMargins left="0.39" right="0.35" top="0.6" bottom="0.39" header="0.39" footer="0.27"/>
  <pageSetup firstPageNumber="1" useFirstPageNumber="1" fitToHeight="1" fitToWidth="1" horizontalDpi="600" verticalDpi="600" orientation="portrait" r:id="rId2"/>
  <headerFooter alignWithMargins="0">
    <oddHeader>&amp;LPI-PCP-14&amp;RPage 4</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2008-09 MPCP Budget Blank Form</dc:title>
  <dc:subject>2008-09 MPCP Budget Blank Form</dc:subject>
  <dc:creator>DPI</dc:creator>
  <cp:keywords>MPCP Budget</cp:keywords>
  <dc:description/>
  <cp:lastModifiedBy>Kratz, Andrea M.   DPI</cp:lastModifiedBy>
  <cp:lastPrinted>2022-01-28T01:34:30Z</cp:lastPrinted>
  <dcterms:created xsi:type="dcterms:W3CDTF">1999-04-22T14:17:43Z</dcterms:created>
  <dcterms:modified xsi:type="dcterms:W3CDTF">2022-02-28T15:46:47Z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-712045355</vt:i4>
  </property>
  <property fmtid="{D5CDD505-2E9C-101B-9397-08002B2CF9AE}" pid="3" name="_EmailSubject">
    <vt:lpwstr>Revised Choice New School Budget &amp; Cash Flow Report</vt:lpwstr>
  </property>
  <property fmtid="{D5CDD505-2E9C-101B-9397-08002B2CF9AE}" pid="4" name="_AuthorEmail">
    <vt:lpwstr>Andrea.Kratz@dpi.wi.gov</vt:lpwstr>
  </property>
  <property fmtid="{D5CDD505-2E9C-101B-9397-08002B2CF9AE}" pid="5" name="_AuthorEmailDisplayName">
    <vt:lpwstr>Kratz, Andrea M.   DPI</vt:lpwstr>
  </property>
  <property fmtid="{D5CDD505-2E9C-101B-9397-08002B2CF9AE}" pid="6" name="_PreviousAdHocReviewCycleID">
    <vt:i4>704299159</vt:i4>
  </property>
  <property fmtid="{D5CDD505-2E9C-101B-9397-08002B2CF9AE}" pid="7" name="_NewReviewCycle">
    <vt:lpwstr/>
  </property>
  <property fmtid="{D5CDD505-2E9C-101B-9397-08002B2CF9AE}" pid="8" name="_ReviewingToolsShownOnce">
    <vt:lpwstr/>
  </property>
</Properties>
</file>