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70" windowHeight="8670" tabRatio="731" activeTab="2"/>
  </bookViews>
  <sheets>
    <sheet name="Signature Page " sheetId="1" r:id="rId1"/>
    <sheet name="Directions" sheetId="2" r:id="rId2"/>
    <sheet name="Revenues" sheetId="3" r:id="rId3"/>
    <sheet name="rev wksht" sheetId="4" r:id="rId4"/>
    <sheet name="Expenses" sheetId="5" r:id="rId5"/>
    <sheet name="EXP wksht" sheetId="6" r:id="rId6"/>
    <sheet name="notes" sheetId="7" r:id="rId7"/>
    <sheet name="Employee Benefit Trust Fund" sheetId="8" r:id="rId8"/>
    <sheet name="Explanations" sheetId="9" r:id="rId9"/>
    <sheet name="Indirect cost instructions" sheetId="10" r:id="rId10"/>
    <sheet name="Indirect cost worksheet" sheetId="11" r:id="rId11"/>
    <sheet name="Indirect cost fund worksheet" sheetId="12" r:id="rId12"/>
    <sheet name="Sheet5" sheetId="13" r:id="rId13"/>
  </sheets>
  <definedNames>
    <definedName name="Administrative_allocation" localSheetId="0">#REF!</definedName>
    <definedName name="Administrative_allocation">#REF!</definedName>
    <definedName name="_xlnm.Print_Titles" localSheetId="10">'Indirect cost worksheet'!$4:$9</definedName>
  </definedNames>
  <calcPr fullCalcOnLoad="1"/>
</workbook>
</file>

<file path=xl/comments11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<sst xmlns="http://schemas.openxmlformats.org/spreadsheetml/2006/main" count="723" uniqueCount="397">
  <si>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</si>
  <si>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</si>
  <si>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</si>
  <si>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</si>
  <si>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</si>
  <si>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</si>
  <si>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</si>
  <si>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</si>
  <si>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</si>
  <si>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</si>
  <si>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</si>
  <si>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</si>
  <si>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</si>
  <si>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</si>
  <si>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</si>
  <si>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</si>
  <si>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</si>
  <si>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</si>
  <si>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</si>
  <si>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</si>
  <si>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</si>
  <si>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</si>
  <si>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</si>
  <si>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</si>
  <si>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</si>
  <si>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</si>
  <si>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</si>
  <si>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</si>
  <si>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</si>
  <si>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</si>
  <si>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</si>
  <si>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</si>
  <si>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</si>
  <si>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</si>
  <si>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</si>
  <si>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</si>
  <si>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</si>
  <si>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</si>
  <si>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</si>
  <si>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</si>
  <si>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</si>
  <si>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</si>
  <si>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</si>
  <si>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</si>
  <si>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</si>
  <si>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</si>
  <si>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</si>
  <si>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</si>
  <si>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</si>
  <si>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</si>
  <si>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</si>
  <si>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</si>
  <si>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</si>
  <si>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</si>
  <si>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</si>
  <si>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</si>
  <si>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</si>
  <si>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</si>
  <si>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</si>
  <si>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</si>
  <si>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</si>
  <si>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</si>
  <si>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</si>
  <si>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</si>
  <si>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</si>
  <si>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</si>
  <si>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</si>
  <si>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</si>
  <si>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</si>
  <si>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</si>
  <si>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</si>
  <si>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</si>
  <si>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</si>
  <si>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</si>
  <si>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</si>
  <si>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</si>
  <si>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</si>
  <si>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</si>
  <si>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</si>
  <si>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</si>
  <si>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</si>
  <si>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</si>
  <si>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</si>
  <si>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</si>
  <si>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</si>
  <si>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</si>
  <si>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</si>
  <si>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</si>
  <si>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</si>
  <si>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</si>
  <si>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</si>
  <si>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</si>
  <si>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</si>
  <si>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</si>
  <si>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</si>
  <si>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</si>
  <si>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</si>
  <si>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</si>
  <si>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</si>
  <si>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</si>
  <si>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</si>
  <si>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</si>
  <si>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</si>
  <si>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</si>
  <si>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</si>
  <si>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</si>
  <si>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</si>
  <si>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</si>
  <si>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</si>
  <si>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</si>
  <si>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</si>
  <si>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</si>
  <si>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</si>
  <si>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</si>
  <si>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</si>
  <si>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</si>
  <si>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</si>
  <si>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</si>
  <si>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</si>
  <si>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</si>
  <si>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</si>
  <si>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</si>
  <si>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</si>
  <si>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</si>
  <si>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</si>
  <si>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</si>
  <si>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</si>
  <si>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</si>
  <si>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</si>
  <si>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</si>
  <si>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</si>
  <si>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</si>
  <si>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</si>
  <si>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</si>
  <si>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</si>
  <si>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</si>
  <si>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</si>
  <si>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</si>
  <si>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</si>
  <si>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</si>
  <si>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</si>
  <si>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</si>
  <si>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</si>
  <si>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</si>
  <si>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</si>
  <si>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</si>
  <si>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</si>
  <si>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</si>
  <si>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</si>
  <si>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</si>
  <si>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</si>
  <si>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</si>
  <si>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</si>
  <si>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</si>
  <si>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</si>
  <si>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</si>
  <si>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</si>
  <si>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</si>
  <si>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</si>
  <si>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</si>
  <si>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</si>
  <si>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</si>
  <si>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</si>
  <si>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</si>
  <si>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</si>
  <si>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</si>
  <si>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</si>
  <si>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</si>
  <si>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</si>
  <si>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</si>
  <si>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</si>
  <si>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</si>
  <si>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</si>
  <si>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</si>
  <si>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</si>
  <si>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</si>
  <si>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</si>
  <si>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</si>
  <si>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</si>
  <si>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</si>
  <si>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</si>
  <si>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</si>
  <si>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</si>
  <si>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</si>
  <si>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</si>
  <si>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</si>
  <si>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</si>
  <si>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</si>
  <si>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</si>
  <si>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</si>
  <si>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</si>
  <si>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</si>
  <si>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</si>
  <si>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</si>
  <si>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</si>
  <si>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</si>
  <si>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</si>
  <si>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</si>
  <si>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</si>
  <si>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</si>
  <si>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</si>
  <si>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</si>
  <si>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</si>
  <si>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</si>
  <si>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</si>
  <si>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</si>
  <si>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</si>
  <si>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</si>
  <si>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</si>
  <si>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</si>
  <si>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</si>
  <si>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</si>
  <si>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</si>
  <si>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</si>
  <si>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</si>
  <si>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</si>
  <si>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</si>
  <si>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</si>
  <si>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</si>
  <si>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</si>
  <si>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</si>
  <si>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</si>
  <si>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</si>
  <si>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</si>
  <si>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</si>
  <si>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</si>
  <si>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</si>
  <si>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</si>
  <si>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</si>
  <si>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</si>
  <si>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</si>
  <si>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</si>
  <si>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</si>
  <si>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</si>
  <si>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</si>
  <si>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</si>
  <si>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</si>
  <si>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</si>
  <si>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</si>
  <si>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</si>
  <si>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</si>
  <si>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</si>
  <si>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</si>
  <si>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</si>
  <si>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</si>
  <si>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</si>
  <si>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</si>
  <si>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</si>
  <si>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</si>
  <si>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</si>
  <si>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</si>
  <si>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</si>
  <si>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</si>
  <si>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</si>
  <si>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</si>
  <si>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</si>
  <si>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</si>
  <si>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</si>
  <si>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</si>
  <si>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</si>
  <si>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</si>
  <si>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</si>
  <si>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</si>
  <si>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</si>
  <si>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</si>
  <si>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</si>
  <si>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</si>
  <si>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</si>
  <si>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</si>
  <si>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</si>
  <si>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</si>
  <si>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</si>
  <si>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</si>
  <si>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</si>
  <si>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</si>
  <si>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</si>
  <si>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</si>
  <si>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</si>
  <si>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PI-1523 (Rev. 6-10)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</si>
  <si>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2010 Annual Report</t>
    </r>
  </si>
  <si>
    <t>2009-10</t>
  </si>
  <si>
    <t>2011-12</t>
  </si>
  <si>
    <t>fund transfers</t>
  </si>
  <si>
    <t>230/239</t>
  </si>
  <si>
    <t>payments from other CESA 7 projects</t>
  </si>
  <si>
    <t>from 501(c)(3)s</t>
  </si>
  <si>
    <t>revenue codes other than 230's</t>
  </si>
  <si>
    <t>balance sheet entries should have been 960's</t>
  </si>
  <si>
    <t>coded as 230's</t>
  </si>
  <si>
    <t>payments from districts for services</t>
  </si>
  <si>
    <t>Collaborative Workshop</t>
  </si>
  <si>
    <t>payments from districts (paid to another district)</t>
  </si>
  <si>
    <t>royaltees/commisions</t>
  </si>
  <si>
    <t>tuition fees</t>
  </si>
  <si>
    <t>custom reports</t>
  </si>
  <si>
    <t>license fees</t>
  </si>
  <si>
    <t>sales</t>
  </si>
  <si>
    <t>student fees</t>
  </si>
  <si>
    <t>leased space</t>
  </si>
  <si>
    <t>297/298</t>
  </si>
  <si>
    <t>workshop registrations</t>
  </si>
  <si>
    <t>fixed asset loss/sales</t>
  </si>
  <si>
    <t>misc local revenues</t>
  </si>
  <si>
    <t>payments from others for services</t>
  </si>
  <si>
    <t>donations</t>
  </si>
  <si>
    <t>insurance refunds</t>
  </si>
  <si>
    <t>exp on books</t>
  </si>
  <si>
    <t>difference</t>
  </si>
  <si>
    <t>total</t>
  </si>
  <si>
    <t>390"s</t>
  </si>
  <si>
    <t>non 390 transfers</t>
  </si>
  <si>
    <t>390's to 501(c)(3)'s</t>
  </si>
  <si>
    <t>Adjusted Total</t>
  </si>
  <si>
    <t>SB = Rev Adm</t>
  </si>
  <si>
    <t>800 fund transfers</t>
  </si>
  <si>
    <t>390's/transfers</t>
  </si>
  <si>
    <t>indirect</t>
  </si>
  <si>
    <t>insurance trans</t>
  </si>
  <si>
    <t>adjusted in 2009-10</t>
  </si>
  <si>
    <t>cat aid revenues</t>
  </si>
  <si>
    <t>categorical aide exp</t>
  </si>
  <si>
    <t>instructional</t>
  </si>
  <si>
    <t>pupil support</t>
  </si>
  <si>
    <t>staff support</t>
  </si>
  <si>
    <t>transportation</t>
  </si>
  <si>
    <t>uc - operations</t>
  </si>
  <si>
    <t>Student Trans</t>
  </si>
  <si>
    <t>trans bal sht to 230</t>
  </si>
  <si>
    <t>CESA 7 notes</t>
  </si>
  <si>
    <t>CESA 7 is the fiscal agent for three 501(c)(3)s.  Those accounts are not included in this document.</t>
  </si>
  <si>
    <t>fund 66 Wisconsin Academic Decathlon (WIAD)</t>
  </si>
  <si>
    <t>fund 92 Educational Television Productions of North East Wisconsin (ETP-NEW)</t>
  </si>
  <si>
    <t>fund 95 Associates for Collaborative Education (ACE)</t>
  </si>
  <si>
    <t>project</t>
  </si>
  <si>
    <t>G&amp;T</t>
  </si>
  <si>
    <t>HeadStart</t>
  </si>
  <si>
    <t>AODA</t>
  </si>
  <si>
    <t>Mentoring</t>
  </si>
  <si>
    <t>LRSC</t>
  </si>
  <si>
    <t>website - SIG</t>
  </si>
  <si>
    <t>IDEA grants from CESAs</t>
  </si>
  <si>
    <t>Transit of Cat. Aide</t>
  </si>
  <si>
    <t>Head Start</t>
  </si>
  <si>
    <t>EDTECH</t>
  </si>
  <si>
    <t>Carl Perkins</t>
  </si>
  <si>
    <t>Ell Consortium</t>
  </si>
  <si>
    <t>all direct</t>
  </si>
  <si>
    <t>all indirect</t>
  </si>
  <si>
    <t>all direct   project 638 &amp; 970 &amp; 414</t>
  </si>
  <si>
    <t>all indirect   project 770</t>
  </si>
  <si>
    <t>500's</t>
  </si>
  <si>
    <t>PAC</t>
  </si>
  <si>
    <t>WSISP</t>
  </si>
  <si>
    <t>Kohl</t>
  </si>
  <si>
    <t>spelling bee</t>
  </si>
  <si>
    <t>pro</t>
  </si>
  <si>
    <t>Grant Writer</t>
  </si>
  <si>
    <t>misc workshops</t>
  </si>
  <si>
    <t>9**</t>
  </si>
  <si>
    <t>Misc</t>
  </si>
  <si>
    <t xml:space="preserve">Need to look at 1505 and enter </t>
  </si>
  <si>
    <t>this figure.</t>
  </si>
  <si>
    <t>Need to check ETP &amp; WIAD &amp; ACE</t>
  </si>
  <si>
    <t xml:space="preserve">overpayment of revenues in 2008-09 </t>
  </si>
  <si>
    <t>New Holstein (3941)</t>
  </si>
  <si>
    <t>Chilton (1085)</t>
  </si>
  <si>
    <t>Brillion (0658)</t>
  </si>
  <si>
    <t>Brwon County (6905)</t>
  </si>
  <si>
    <t>620-623</t>
  </si>
  <si>
    <t>Title I</t>
  </si>
  <si>
    <t>Alternative High School</t>
  </si>
  <si>
    <t>SIS balance</t>
  </si>
  <si>
    <t>SHS balance</t>
  </si>
  <si>
    <t>RSN balance</t>
  </si>
  <si>
    <t>TDC balance</t>
  </si>
  <si>
    <t xml:space="preserve">General </t>
  </si>
  <si>
    <t>HS balance</t>
  </si>
  <si>
    <t>Am History</t>
  </si>
  <si>
    <t>891-892</t>
  </si>
  <si>
    <t>Advanced Placement - Online School</t>
  </si>
  <si>
    <t>Local Spec Ed</t>
  </si>
  <si>
    <t>online school</t>
  </si>
  <si>
    <t>Direct to Excluded (object1 = 5 or 8 in fd 21, 27-65,67-79,91,93-94,96-99)</t>
  </si>
  <si>
    <t>800's</t>
  </si>
  <si>
    <t>391 or 394</t>
  </si>
  <si>
    <t>Excluded to indirect (fd 82-85, except 500's thru 800's)</t>
  </si>
  <si>
    <t>Patsy Ann Darnick, Dir of Business Srvcs, CESA 7</t>
  </si>
  <si>
    <t>265/267/268/269</t>
  </si>
  <si>
    <t>CESA 07</t>
  </si>
  <si>
    <t>596 Baeten Road</t>
  </si>
  <si>
    <t>Green Bay</t>
  </si>
  <si>
    <t>WI</t>
  </si>
  <si>
    <t>Treasurer for the year ending June 30, 2009</t>
  </si>
  <si>
    <t>Emil Schleis</t>
  </si>
  <si>
    <t>714 S Main Street, Mishicot, WI  54228</t>
  </si>
  <si>
    <t>American Insurance Marketing Solutions</t>
  </si>
  <si>
    <t>position and operations on and for the period ending June 30,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</si>
</sst>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dashed"/>
      <top/>
      <bottom/>
    </border>
    <border>
      <left/>
      <right style="dashed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37" fontId="16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11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58" applyAlignment="1">
      <alignment horizontal="left" indent="1"/>
      <protection/>
    </xf>
    <xf numFmtId="43" fontId="0" fillId="0" borderId="0" xfId="58" applyNumberFormat="1">
      <alignment/>
      <protection/>
    </xf>
    <xf numFmtId="0" fontId="0" fillId="0" borderId="0" xfId="58" applyAlignment="1">
      <alignment horizontal="right" indent="1"/>
      <protection/>
    </xf>
    <xf numFmtId="43" fontId="0" fillId="35" borderId="0" xfId="44" applyFont="1" applyFill="1" applyAlignment="1">
      <alignment/>
    </xf>
    <xf numFmtId="0" fontId="0" fillId="35" borderId="0" xfId="58" applyFill="1" applyAlignment="1">
      <alignment horizontal="left" indent="1"/>
      <protection/>
    </xf>
    <xf numFmtId="0" fontId="0" fillId="35" borderId="0" xfId="58" applyFill="1">
      <alignment/>
      <protection/>
    </xf>
    <xf numFmtId="0" fontId="0" fillId="35" borderId="0" xfId="58" applyFill="1" applyAlignment="1">
      <alignment horizontal="right" indent="1"/>
      <protection/>
    </xf>
    <xf numFmtId="0" fontId="0" fillId="36" borderId="0" xfId="58" applyFill="1" applyAlignment="1">
      <alignment horizontal="left" indent="1"/>
      <protection/>
    </xf>
    <xf numFmtId="0" fontId="0" fillId="36" borderId="0" xfId="58" applyFill="1">
      <alignment/>
      <protection/>
    </xf>
    <xf numFmtId="43" fontId="0" fillId="36" borderId="0" xfId="44" applyFont="1" applyFill="1" applyAlignment="1">
      <alignment/>
    </xf>
    <xf numFmtId="0" fontId="0" fillId="36" borderId="0" xfId="58" applyFill="1" applyAlignment="1">
      <alignment horizontal="right" indent="1"/>
      <protection/>
    </xf>
    <xf numFmtId="0" fontId="0" fillId="13" borderId="0" xfId="58" applyFill="1" applyAlignment="1">
      <alignment horizontal="left" indent="1"/>
      <protection/>
    </xf>
    <xf numFmtId="0" fontId="0" fillId="13" borderId="0" xfId="58" applyFill="1">
      <alignment/>
      <protection/>
    </xf>
    <xf numFmtId="43" fontId="0" fillId="13" borderId="0" xfId="44" applyFont="1" applyFill="1" applyAlignment="1">
      <alignment/>
    </xf>
    <xf numFmtId="0" fontId="0" fillId="13" borderId="0" xfId="58" applyFill="1" applyAlignment="1">
      <alignment horizontal="right" indent="1"/>
      <protection/>
    </xf>
    <xf numFmtId="0" fontId="0" fillId="15" borderId="0" xfId="58" applyFill="1" applyAlignment="1">
      <alignment horizontal="left" indent="1"/>
      <protection/>
    </xf>
    <xf numFmtId="0" fontId="0" fillId="15" borderId="0" xfId="58" applyFill="1">
      <alignment/>
      <protection/>
    </xf>
    <xf numFmtId="43" fontId="0" fillId="15" borderId="0" xfId="44" applyFont="1" applyFill="1" applyAlignment="1">
      <alignment/>
    </xf>
    <xf numFmtId="0" fontId="0" fillId="15" borderId="0" xfId="58" applyFill="1" applyAlignment="1">
      <alignment horizontal="right" indent="1"/>
      <protection/>
    </xf>
    <xf numFmtId="0" fontId="0" fillId="37" borderId="0" xfId="58" applyFill="1" applyAlignment="1">
      <alignment horizontal="left" indent="1"/>
      <protection/>
    </xf>
    <xf numFmtId="0" fontId="0" fillId="37" borderId="0" xfId="58" applyFill="1">
      <alignment/>
      <protection/>
    </xf>
    <xf numFmtId="43" fontId="0" fillId="37" borderId="0" xfId="44" applyFont="1" applyFill="1" applyAlignment="1">
      <alignment/>
    </xf>
    <xf numFmtId="0" fontId="0" fillId="37" borderId="0" xfId="58" applyFill="1" applyAlignment="1">
      <alignment horizontal="right" indent="1"/>
      <protection/>
    </xf>
    <xf numFmtId="0" fontId="0" fillId="18" borderId="0" xfId="58" applyFill="1" applyAlignment="1">
      <alignment horizontal="left" indent="1"/>
      <protection/>
    </xf>
    <xf numFmtId="0" fontId="0" fillId="18" borderId="0" xfId="58" applyFill="1">
      <alignment/>
      <protection/>
    </xf>
    <xf numFmtId="43" fontId="0" fillId="18" borderId="0" xfId="44" applyFont="1" applyFill="1" applyAlignment="1">
      <alignment/>
    </xf>
    <xf numFmtId="0" fontId="0" fillId="18" borderId="0" xfId="58" applyFill="1" applyAlignment="1">
      <alignment horizontal="right" indent="1"/>
      <protection/>
    </xf>
    <xf numFmtId="2" fontId="9" fillId="35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58" applyAlignment="1">
      <alignment horizontal="left" indent="1"/>
      <protection/>
    </xf>
    <xf numFmtId="0" fontId="0" fillId="0" borderId="0" xfId="58">
      <alignment/>
      <protection/>
    </xf>
    <xf numFmtId="43" fontId="0" fillId="0" borderId="0" xfId="44" applyFont="1" applyAlignment="1">
      <alignment/>
    </xf>
    <xf numFmtId="0" fontId="22" fillId="0" borderId="0" xfId="58" applyFont="1">
      <alignment/>
      <protection/>
    </xf>
    <xf numFmtId="43" fontId="0" fillId="0" borderId="0" xfId="44" applyFont="1" applyAlignment="1">
      <alignment horizontal="center"/>
    </xf>
    <xf numFmtId="43" fontId="0" fillId="0" borderId="0" xfId="44" applyFont="1" applyBorder="1" applyAlignment="1">
      <alignment horizontal="center"/>
    </xf>
    <xf numFmtId="43" fontId="0" fillId="0" borderId="0" xfId="44" applyFont="1" applyBorder="1" applyAlignment="1">
      <alignment/>
    </xf>
    <xf numFmtId="43" fontId="4" fillId="0" borderId="0" xfId="44" applyFont="1" applyAlignment="1">
      <alignment/>
    </xf>
    <xf numFmtId="43" fontId="0" fillId="0" borderId="12" xfId="44" applyFont="1" applyBorder="1" applyAlignment="1">
      <alignment/>
    </xf>
    <xf numFmtId="0" fontId="4" fillId="0" borderId="0" xfId="58" applyFont="1" applyAlignment="1">
      <alignment horizontal="left" indent="1"/>
      <protection/>
    </xf>
    <xf numFmtId="0" fontId="4" fillId="0" borderId="12" xfId="58" applyFont="1" applyBorder="1">
      <alignment/>
      <protection/>
    </xf>
    <xf numFmtId="43" fontId="4" fillId="0" borderId="12" xfId="44" applyFont="1" applyBorder="1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 horizontal="left" indent="2"/>
      <protection/>
    </xf>
    <xf numFmtId="43" fontId="0" fillId="35" borderId="0" xfId="44" applyFont="1" applyFill="1" applyAlignment="1">
      <alignment/>
    </xf>
    <xf numFmtId="43" fontId="0" fillId="0" borderId="0" xfId="44" applyFont="1" applyAlignment="1">
      <alignment/>
    </xf>
    <xf numFmtId="43" fontId="0" fillId="0" borderId="0" xfId="44" applyFont="1" applyAlignment="1">
      <alignment horizontal="right"/>
    </xf>
    <xf numFmtId="43" fontId="0" fillId="0" borderId="13" xfId="44" applyFont="1" applyBorder="1" applyAlignment="1">
      <alignment/>
    </xf>
    <xf numFmtId="43" fontId="0" fillId="35" borderId="0" xfId="44" applyFont="1" applyFill="1" applyAlignment="1">
      <alignment/>
    </xf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6" fillId="0" borderId="0" xfId="0" applyNumberFormat="1" applyFon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43" fontId="0" fillId="0" borderId="0" xfId="42" applyFont="1" applyAlignment="1">
      <alignment/>
    </xf>
    <xf numFmtId="37" fontId="0" fillId="38" borderId="0" xfId="0" applyNumberFormat="1" applyFill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0" fillId="38" borderId="0" xfId="0" applyFill="1" applyAlignment="1" applyProtection="1">
      <alignment horizontal="left"/>
      <protection/>
    </xf>
    <xf numFmtId="43" fontId="0" fillId="0" borderId="0" xfId="44" applyFont="1" applyAlignment="1">
      <alignment/>
    </xf>
    <xf numFmtId="43" fontId="4" fillId="0" borderId="12" xfId="44" applyFont="1" applyBorder="1" applyAlignment="1">
      <alignment/>
    </xf>
    <xf numFmtId="0" fontId="0" fillId="36" borderId="0" xfId="58" applyFill="1">
      <alignment/>
      <protection/>
    </xf>
    <xf numFmtId="0" fontId="0" fillId="36" borderId="0" xfId="58" applyFill="1" applyAlignment="1">
      <alignment horizontal="right" indent="1"/>
      <protection/>
    </xf>
    <xf numFmtId="0" fontId="0" fillId="36" borderId="0" xfId="0" applyFill="1" applyAlignment="1">
      <alignment horizontal="left" indent="1"/>
    </xf>
    <xf numFmtId="0" fontId="0" fillId="15" borderId="0" xfId="0" applyFill="1" applyAlignment="1">
      <alignment horizontal="left" indent="1"/>
    </xf>
    <xf numFmtId="0" fontId="0" fillId="37" borderId="0" xfId="0" applyFill="1" applyAlignment="1">
      <alignment horizontal="left" indent="1"/>
    </xf>
    <xf numFmtId="0" fontId="0" fillId="18" borderId="0" xfId="0" applyFill="1" applyAlignment="1">
      <alignment horizontal="left" indent="1"/>
    </xf>
    <xf numFmtId="0" fontId="0" fillId="35" borderId="0" xfId="0" applyFill="1" applyAlignment="1">
      <alignment horizontal="left" indent="1"/>
    </xf>
    <xf numFmtId="2" fontId="9" fillId="36" borderId="0" xfId="0" applyNumberFormat="1" applyFont="1" applyFill="1" applyAlignment="1">
      <alignment/>
    </xf>
    <xf numFmtId="0" fontId="0" fillId="7" borderId="0" xfId="0" applyFill="1" applyAlignment="1">
      <alignment horizontal="left" indent="1"/>
    </xf>
    <xf numFmtId="2" fontId="9" fillId="7" borderId="0" xfId="0" applyNumberFormat="1" applyFont="1" applyFill="1" applyAlignment="1">
      <alignment/>
    </xf>
    <xf numFmtId="2" fontId="9" fillId="37" borderId="0" xfId="0" applyNumberFormat="1" applyFont="1" applyFill="1" applyAlignment="1">
      <alignment/>
    </xf>
    <xf numFmtId="2" fontId="9" fillId="15" borderId="0" xfId="0" applyNumberFormat="1" applyFont="1" applyFill="1" applyAlignment="1">
      <alignment/>
    </xf>
    <xf numFmtId="2" fontId="9" fillId="18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43" fontId="0" fillId="0" borderId="0" xfId="42" applyFont="1" applyAlignment="1">
      <alignment horizontal="center"/>
    </xf>
    <xf numFmtId="43" fontId="9" fillId="0" borderId="10" xfId="42" applyFont="1" applyBorder="1" applyAlignment="1">
      <alignment/>
    </xf>
    <xf numFmtId="43" fontId="10" fillId="0" borderId="0" xfId="42" applyFont="1" applyAlignment="1">
      <alignment horizontal="center"/>
    </xf>
    <xf numFmtId="43" fontId="14" fillId="0" borderId="0" xfId="42" applyFont="1" applyAlignment="1">
      <alignment horizontal="center"/>
    </xf>
    <xf numFmtId="43" fontId="2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7" borderId="0" xfId="58" applyFont="1" applyFill="1" applyAlignment="1">
      <alignment horizontal="right" indent="1"/>
      <protection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Continuous"/>
    </xf>
    <xf numFmtId="0" fontId="23" fillId="0" borderId="0" xfId="54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" fontId="13" fillId="0" borderId="0" xfId="0" applyNumberFormat="1" applyFont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4" fontId="14" fillId="0" borderId="0" xfId="0" applyNumberFormat="1" applyFont="1" applyAlignment="1">
      <alignment/>
    </xf>
    <xf numFmtId="0" fontId="14" fillId="0" borderId="22" xfId="0" applyFont="1" applyBorder="1" applyAlignment="1">
      <alignment/>
    </xf>
    <xf numFmtId="0" fontId="13" fillId="0" borderId="23" xfId="0" applyFont="1" applyBorder="1" applyAlignment="1">
      <alignment/>
    </xf>
    <xf numFmtId="6" fontId="14" fillId="0" borderId="0" xfId="0" applyNumberFormat="1" applyFont="1" applyBorder="1" applyAlignment="1">
      <alignment horizontal="center"/>
    </xf>
    <xf numFmtId="6" fontId="14" fillId="0" borderId="2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5.421875" style="143" customWidth="1"/>
    <col min="2" max="2" width="7.57421875" style="143" customWidth="1"/>
    <col min="3" max="3" width="9.00390625" style="143" customWidth="1"/>
    <col min="4" max="4" width="11.421875" style="143" bestFit="1" customWidth="1"/>
    <col min="5" max="5" width="5.421875" style="143" customWidth="1"/>
    <col min="6" max="6" width="7.7109375" style="143" customWidth="1"/>
    <col min="7" max="7" width="2.28125" style="143" customWidth="1"/>
    <col min="8" max="8" width="3.00390625" style="143" customWidth="1"/>
    <col min="9" max="16384" width="9.140625" style="143" customWidth="1"/>
  </cols>
  <sheetData>
    <row r="1" spans="3:11" ht="12.75">
      <c r="C1" s="200" t="s">
        <v>241</v>
      </c>
      <c r="D1" s="200"/>
      <c r="H1" s="61" t="s">
        <v>277</v>
      </c>
      <c r="I1" s="62"/>
      <c r="J1" s="62"/>
      <c r="K1" s="62"/>
    </row>
    <row r="2" spans="3:15" ht="12.75">
      <c r="C2" s="201" t="s">
        <v>242</v>
      </c>
      <c r="D2" s="200"/>
      <c r="H2" s="202" t="s">
        <v>261</v>
      </c>
      <c r="I2" s="224" t="s">
        <v>276</v>
      </c>
      <c r="J2" s="225"/>
      <c r="K2" s="225"/>
      <c r="L2" s="225"/>
      <c r="M2" s="225"/>
      <c r="N2" s="62"/>
      <c r="O2" s="62"/>
    </row>
    <row r="3" spans="3:15" ht="12.75">
      <c r="C3" s="62" t="s">
        <v>278</v>
      </c>
      <c r="D3" s="200"/>
      <c r="I3" s="225"/>
      <c r="J3" s="225"/>
      <c r="K3" s="225"/>
      <c r="L3" s="225"/>
      <c r="M3" s="225"/>
      <c r="N3" s="62"/>
      <c r="O3" s="62"/>
    </row>
    <row r="4" spans="8:15" ht="12.75">
      <c r="H4" s="202" t="s">
        <v>260</v>
      </c>
      <c r="I4" s="224" t="s">
        <v>275</v>
      </c>
      <c r="J4" s="225"/>
      <c r="K4" s="225"/>
      <c r="L4" s="225"/>
      <c r="M4" s="225"/>
      <c r="N4" s="203"/>
      <c r="O4" s="203"/>
    </row>
    <row r="5" spans="8:15" ht="12.75">
      <c r="H5" s="202"/>
      <c r="I5" s="225"/>
      <c r="J5" s="225"/>
      <c r="K5" s="225"/>
      <c r="L5" s="225"/>
      <c r="M5" s="225"/>
      <c r="N5" s="203"/>
      <c r="O5" s="203"/>
    </row>
    <row r="6" spans="8:15" ht="12.75">
      <c r="H6" s="62"/>
      <c r="I6" s="204" t="s">
        <v>274</v>
      </c>
      <c r="J6" s="62"/>
      <c r="L6" s="203"/>
      <c r="M6" s="203"/>
      <c r="N6" s="203"/>
      <c r="O6" s="203"/>
    </row>
    <row r="7" spans="1:13" s="62" customFormat="1" ht="11.25">
      <c r="A7" s="91"/>
      <c r="B7" s="205"/>
      <c r="C7" s="205"/>
      <c r="D7" s="205"/>
      <c r="E7" s="205"/>
      <c r="F7" s="205"/>
      <c r="G7" s="205"/>
      <c r="I7" s="206" t="s">
        <v>279</v>
      </c>
      <c r="L7" s="203"/>
      <c r="M7" s="205"/>
    </row>
    <row r="8" spans="1:13" s="62" customFormat="1" ht="12" thickBot="1">
      <c r="A8" s="64"/>
      <c r="B8" s="207"/>
      <c r="C8" s="207"/>
      <c r="D8" s="207"/>
      <c r="E8" s="207"/>
      <c r="F8" s="207"/>
      <c r="G8" s="207"/>
      <c r="I8" s="206"/>
      <c r="L8" s="203"/>
      <c r="M8" s="207"/>
    </row>
    <row r="9" spans="1:13" s="62" customFormat="1" ht="11.25" customHeight="1" thickTop="1">
      <c r="A9" s="205" t="s">
        <v>53</v>
      </c>
      <c r="B9" s="208"/>
      <c r="C9" s="205"/>
      <c r="D9" s="205"/>
      <c r="E9" s="205"/>
      <c r="F9" s="205"/>
      <c r="G9" s="205"/>
      <c r="H9" s="209"/>
      <c r="I9" s="209"/>
      <c r="J9" s="209"/>
      <c r="K9" s="209"/>
      <c r="L9" s="209"/>
      <c r="M9" s="205"/>
    </row>
    <row r="10" spans="3:5" s="62" customFormat="1" ht="15.75">
      <c r="C10" s="226" t="s">
        <v>388</v>
      </c>
      <c r="D10" s="226"/>
      <c r="E10" s="226"/>
    </row>
    <row r="11" spans="1:13" s="62" customFormat="1" ht="11.25" customHeight="1" thickBo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</row>
    <row r="12" s="62" customFormat="1" ht="14.25" customHeight="1" thickTop="1">
      <c r="A12" s="62" t="s">
        <v>243</v>
      </c>
    </row>
    <row r="13" spans="3:5" s="62" customFormat="1" ht="15.75">
      <c r="C13" s="226" t="s">
        <v>389</v>
      </c>
      <c r="D13" s="226"/>
      <c r="E13" s="226"/>
    </row>
    <row r="14" spans="1:13" s="62" customFormat="1" ht="11.2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</row>
    <row r="15" spans="1:12" s="62" customFormat="1" ht="14.25" customHeight="1">
      <c r="A15" s="62" t="s">
        <v>244</v>
      </c>
      <c r="J15" s="211" t="s">
        <v>246</v>
      </c>
      <c r="K15" s="212"/>
      <c r="L15" s="211" t="s">
        <v>245</v>
      </c>
    </row>
    <row r="16" spans="3:13" s="62" customFormat="1" ht="15.75">
      <c r="C16" s="226" t="s">
        <v>390</v>
      </c>
      <c r="D16" s="226"/>
      <c r="E16" s="226"/>
      <c r="J16" s="213"/>
      <c r="K16" s="214" t="s">
        <v>391</v>
      </c>
      <c r="L16" s="213"/>
      <c r="M16" s="43">
        <v>54304</v>
      </c>
    </row>
    <row r="17" spans="1:13" s="62" customFormat="1" ht="12" thickBot="1">
      <c r="A17" s="207"/>
      <c r="B17" s="207"/>
      <c r="C17" s="207"/>
      <c r="D17" s="207"/>
      <c r="E17" s="207"/>
      <c r="F17" s="207"/>
      <c r="G17" s="207"/>
      <c r="H17" s="207"/>
      <c r="I17" s="207"/>
      <c r="J17" s="215"/>
      <c r="K17" s="207"/>
      <c r="L17" s="215"/>
      <c r="M17" s="207"/>
    </row>
    <row r="18" spans="1:8" s="62" customFormat="1" ht="14.25" customHeight="1" thickTop="1">
      <c r="A18" s="62" t="s">
        <v>392</v>
      </c>
      <c r="G18" s="209"/>
      <c r="H18" s="216" t="s">
        <v>247</v>
      </c>
    </row>
    <row r="19" spans="3:9" s="62" customFormat="1" ht="15.75">
      <c r="C19" s="43" t="s">
        <v>393</v>
      </c>
      <c r="G19" s="205"/>
      <c r="H19" s="213"/>
      <c r="I19" s="43" t="s">
        <v>394</v>
      </c>
    </row>
    <row r="20" spans="1:13" s="62" customFormat="1" ht="11.25">
      <c r="A20" s="210"/>
      <c r="B20" s="210"/>
      <c r="C20" s="210"/>
      <c r="D20" s="210"/>
      <c r="E20" s="210"/>
      <c r="F20" s="210"/>
      <c r="G20" s="210"/>
      <c r="H20" s="217"/>
      <c r="I20" s="210"/>
      <c r="J20" s="210"/>
      <c r="K20" s="210"/>
      <c r="L20" s="210"/>
      <c r="M20" s="210"/>
    </row>
    <row r="21" s="62" customFormat="1" ht="14.25" customHeight="1">
      <c r="F21" s="61" t="s">
        <v>250</v>
      </c>
    </row>
    <row r="22" spans="1:6" s="62" customFormat="1" ht="11.25">
      <c r="A22" s="62" t="s">
        <v>248</v>
      </c>
      <c r="B22" s="218"/>
      <c r="C22" s="62" t="s">
        <v>249</v>
      </c>
      <c r="E22" s="218"/>
      <c r="F22" s="62" t="s">
        <v>251</v>
      </c>
    </row>
    <row r="23" spans="1:10" s="62" customFormat="1" ht="15.75">
      <c r="A23" s="222">
        <v>25000</v>
      </c>
      <c r="B23" s="223"/>
      <c r="D23" s="219">
        <v>40359</v>
      </c>
      <c r="E23" s="220"/>
      <c r="F23" s="43"/>
      <c r="G23" s="43"/>
      <c r="H23" s="43" t="s">
        <v>395</v>
      </c>
      <c r="I23" s="43"/>
      <c r="J23" s="43"/>
    </row>
    <row r="24" spans="1:13" s="62" customFormat="1" ht="12" thickBot="1">
      <c r="A24" s="207"/>
      <c r="B24" s="221"/>
      <c r="C24" s="207"/>
      <c r="D24" s="207"/>
      <c r="E24" s="221"/>
      <c r="F24" s="207"/>
      <c r="G24" s="207"/>
      <c r="H24" s="207"/>
      <c r="I24" s="207"/>
      <c r="J24" s="207"/>
      <c r="K24" s="207"/>
      <c r="L24" s="207"/>
      <c r="M24" s="207"/>
    </row>
    <row r="25" s="62" customFormat="1" ht="13.5" customHeight="1" thickTop="1">
      <c r="F25" s="61" t="s">
        <v>252</v>
      </c>
    </row>
    <row r="26" spans="1:6" s="62" customFormat="1" ht="11.25">
      <c r="A26" s="62" t="s">
        <v>248</v>
      </c>
      <c r="B26" s="218"/>
      <c r="C26" s="62" t="s">
        <v>249</v>
      </c>
      <c r="E26" s="218"/>
      <c r="F26" s="62" t="s">
        <v>251</v>
      </c>
    </row>
    <row r="27" spans="1:9" s="62" customFormat="1" ht="15.75">
      <c r="A27" s="222">
        <v>25000</v>
      </c>
      <c r="B27" s="223"/>
      <c r="C27" s="43"/>
      <c r="D27" s="219">
        <v>40359</v>
      </c>
      <c r="E27" s="220"/>
      <c r="F27" s="43"/>
      <c r="G27" s="43"/>
      <c r="H27" s="43" t="s">
        <v>395</v>
      </c>
      <c r="I27" s="43"/>
    </row>
    <row r="28" spans="1:13" s="62" customFormat="1" ht="12" thickBot="1">
      <c r="A28" s="207"/>
      <c r="B28" s="221"/>
      <c r="C28" s="207"/>
      <c r="D28" s="207"/>
      <c r="E28" s="221"/>
      <c r="F28" s="207"/>
      <c r="G28" s="207"/>
      <c r="H28" s="207"/>
      <c r="I28" s="207"/>
      <c r="J28" s="207"/>
      <c r="K28" s="207"/>
      <c r="L28" s="207"/>
      <c r="M28" s="207"/>
    </row>
    <row r="29" s="62" customFormat="1" ht="14.25" customHeight="1" thickTop="1">
      <c r="A29" s="61" t="s">
        <v>253</v>
      </c>
    </row>
    <row r="30" s="62" customFormat="1" ht="11.25">
      <c r="A30" s="62" t="s">
        <v>254</v>
      </c>
    </row>
    <row r="31" spans="1:13" s="62" customFormat="1" ht="11.25">
      <c r="A31" s="205" t="s">
        <v>255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s="62" customFormat="1" ht="11.25">
      <c r="A32" s="210" t="s">
        <v>396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2" s="62" customFormat="1" ht="14.25" customHeight="1">
      <c r="A33" s="62" t="s">
        <v>256</v>
      </c>
      <c r="L33" s="211" t="s">
        <v>259</v>
      </c>
    </row>
    <row r="34" s="62" customFormat="1" ht="11.25">
      <c r="L34" s="213"/>
    </row>
    <row r="35" spans="1:13" s="62" customFormat="1" ht="11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7"/>
      <c r="M35" s="210"/>
    </row>
    <row r="36" spans="1:12" s="62" customFormat="1" ht="14.25" customHeight="1">
      <c r="A36" s="62" t="s">
        <v>257</v>
      </c>
      <c r="L36" s="213" t="s">
        <v>259</v>
      </c>
    </row>
    <row r="37" s="62" customFormat="1" ht="11.25">
      <c r="L37" s="213"/>
    </row>
    <row r="38" spans="1:13" s="62" customFormat="1" ht="11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7"/>
      <c r="M38" s="210"/>
    </row>
    <row r="39" spans="1:12" s="62" customFormat="1" ht="14.25" customHeight="1">
      <c r="A39" s="62" t="s">
        <v>258</v>
      </c>
      <c r="L39" s="213" t="s">
        <v>259</v>
      </c>
    </row>
    <row r="40" s="62" customFormat="1" ht="11.25">
      <c r="L40" s="213"/>
    </row>
    <row r="41" spans="1:13" s="62" customFormat="1" ht="12" thickBo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15"/>
      <c r="M41" s="207"/>
    </row>
    <row r="42" s="62" customFormat="1" ht="14.25" customHeight="1" thickTop="1"/>
    <row r="43" s="62" customFormat="1" ht="14.25" customHeight="1"/>
    <row r="44" spans="9:10" s="62" customFormat="1" ht="14.25" customHeight="1">
      <c r="I44" s="203"/>
      <c r="J44" s="203"/>
    </row>
    <row r="45" spans="9:10" s="62" customFormat="1" ht="11.25">
      <c r="I45" s="203"/>
      <c r="J45" s="203"/>
    </row>
    <row r="46" spans="4:10" s="62" customFormat="1" ht="11.25">
      <c r="D46" s="63"/>
      <c r="E46" s="203"/>
      <c r="F46" s="203"/>
      <c r="G46" s="203"/>
      <c r="H46" s="203"/>
      <c r="I46" s="203"/>
      <c r="J46" s="203"/>
    </row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</sheetData>
  <sheetProtection/>
  <mergeCells count="7">
    <mergeCell ref="A27:B27"/>
    <mergeCell ref="I2:M3"/>
    <mergeCell ref="I4:M5"/>
    <mergeCell ref="C10:E10"/>
    <mergeCell ref="C13:E13"/>
    <mergeCell ref="C16:E16"/>
    <mergeCell ref="A23:B23"/>
  </mergeCells>
  <hyperlinks>
    <hyperlink ref="I6" r:id="rId1" display="dpisfsreports@dpi.state.wi.us"/>
  </hyperlinks>
  <printOptions horizontalCentered="1"/>
  <pageMargins left="0.25" right="0.25" top="1" bottom="1" header="0.5" footer="0.5"/>
  <pageSetup fitToHeight="1" fitToWidth="1" horizontalDpi="600" verticalDpi="600" orientation="portrait" scale="88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2">
      <selection activeCell="N24" sqref="N24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1"/>
  <sheetViews>
    <sheetView zoomScale="90" zoomScaleNormal="90" zoomScalePageLayoutView="0" workbookViewId="0" topLeftCell="B1">
      <pane ySplit="9" topLeftCell="A23" activePane="bottomLeft" state="frozen"/>
      <selection pane="topLeft" activeCell="B18" sqref="B18"/>
      <selection pane="bottomLeft" activeCell="I36" sqref="I36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5" t="s">
        <v>53</v>
      </c>
      <c r="B1" s="68" t="e">
        <f>#REF!</f>
        <v>#REF!</v>
      </c>
    </row>
    <row r="2" spans="1:2" ht="18">
      <c r="A2" s="66" t="s">
        <v>54</v>
      </c>
      <c r="B2" s="69" t="s">
        <v>280</v>
      </c>
    </row>
    <row r="3" spans="1:2" ht="18">
      <c r="A3" s="66"/>
      <c r="B3" s="67"/>
    </row>
    <row r="4" spans="1:6" ht="12.75">
      <c r="A4" s="21" t="s">
        <v>74</v>
      </c>
      <c r="E4" t="s">
        <v>75</v>
      </c>
      <c r="F4" s="59" t="s">
        <v>386</v>
      </c>
    </row>
    <row r="5" spans="1:3" ht="12.75">
      <c r="A5" s="21" t="s">
        <v>239</v>
      </c>
      <c r="C5" t="s">
        <v>281</v>
      </c>
    </row>
    <row r="6" spans="1:6" ht="12.75">
      <c r="A6" s="21" t="s">
        <v>238</v>
      </c>
      <c r="E6" t="s">
        <v>76</v>
      </c>
      <c r="F6" s="198">
        <v>40498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+I11</f>
        <v>179409.31</v>
      </c>
      <c r="H11" s="26"/>
      <c r="I11" s="25">
        <f>+'Indirect cost fund worksheet'!E11</f>
        <v>179409.31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f>+I12</f>
        <v>64862.82</v>
      </c>
      <c r="H12" s="24"/>
      <c r="I12" s="147">
        <f>+'Indirect cost fund worksheet'!E12</f>
        <v>64862.82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19833.72</v>
      </c>
      <c r="F13" s="25">
        <f>+I13</f>
        <v>19833.72</v>
      </c>
      <c r="G13" s="24"/>
      <c r="H13" s="24"/>
      <c r="I13" s="147">
        <f>+'Indirect cost fund worksheet'!E13</f>
        <v>19833.72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147">
        <f>+'Indirect cost fund worksheet'!E14</f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147">
        <f>+'Indirect cost fund worksheet'!E15</f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f>+I16</f>
        <v>17738.64</v>
      </c>
      <c r="H16" s="26"/>
      <c r="I16" s="147">
        <f>+'Indirect cost fund worksheet'!E16</f>
        <v>17738.64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5885.81</v>
      </c>
      <c r="F17" s="25">
        <f>+I17</f>
        <v>5885.81</v>
      </c>
      <c r="G17" s="24"/>
      <c r="H17" s="24"/>
      <c r="I17" s="147">
        <f>+'Indirect cost fund worksheet'!E17</f>
        <v>5885.81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147">
        <f>+'Indirect cost fund worksheet'!E18</f>
        <v>0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147">
        <f>+'Indirect cost fund worksheet'!E19</f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2000</v>
      </c>
      <c r="I20" s="147">
        <f>+'Indirect cost fund worksheet'!E20</f>
        <v>2000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32834</v>
      </c>
      <c r="F21" s="44">
        <f>+I21</f>
        <v>32834</v>
      </c>
      <c r="G21" s="44"/>
      <c r="H21" s="44"/>
      <c r="I21" s="147">
        <f>+'Indirect cost fund worksheet'!E21</f>
        <v>32834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8595.94</v>
      </c>
      <c r="F22" s="25">
        <f>+I22</f>
        <v>8595.94</v>
      </c>
      <c r="G22" s="24"/>
      <c r="H22" s="24"/>
      <c r="I22" s="147">
        <f>+'Indirect cost fund worksheet'!E22</f>
        <v>8595.94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2000</v>
      </c>
      <c r="I23" s="147">
        <f>+'Indirect cost fund worksheet'!E23</f>
        <v>2000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147">
        <f>+'Indirect cost fund worksheet'!E24</f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0</v>
      </c>
      <c r="F25" s="25">
        <f>+I25</f>
        <v>0</v>
      </c>
      <c r="G25" s="24"/>
      <c r="H25" s="24"/>
      <c r="I25" s="147">
        <f>+'Indirect cost fund worksheet'!E25</f>
        <v>0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147">
        <f>+'Indirect cost fund worksheet'!E26</f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147">
        <f>+'Indirect cost fund worksheet'!E27</f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147">
        <f>+'Indirect cost fund worksheet'!E28</f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15446.58</v>
      </c>
      <c r="H29" s="24"/>
      <c r="I29" s="147">
        <f>+'Indirect cost fund worksheet'!E29</f>
        <v>15446.58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12455.19</v>
      </c>
      <c r="I30" s="147">
        <f>+'Indirect cost fund worksheet'!E30</f>
        <v>12455.19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67149.47</v>
      </c>
      <c r="F32" s="25">
        <f>SUM(F11:F31)</f>
        <v>67149.47</v>
      </c>
      <c r="G32" s="25">
        <f>SUM(G11:G31)</f>
        <v>277457.35000000003</v>
      </c>
      <c r="H32" s="25">
        <f>SUM(H11:H31)</f>
        <v>16455.190000000002</v>
      </c>
      <c r="I32" s="25">
        <f>SUM(I11:I31)</f>
        <v>361062.01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1724289.6500000001</v>
      </c>
      <c r="H33" s="24"/>
      <c r="I33" s="25">
        <f>+'Indirect cost fund worksheet'!F35</f>
        <v>1724289.6500000001</v>
      </c>
    </row>
    <row r="34" spans="1:9" ht="12.75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0</v>
      </c>
      <c r="H34" s="24"/>
      <c r="I34" s="25">
        <v>0</v>
      </c>
    </row>
    <row r="35" spans="1:9" ht="12.75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1809543.05</v>
      </c>
      <c r="H35" s="24"/>
      <c r="I35" s="25">
        <f>+'Indirect cost fund worksheet'!F46</f>
        <v>1809543.05</v>
      </c>
    </row>
    <row r="36" spans="1:9" ht="12.75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3192849.94</v>
      </c>
      <c r="H36" s="24"/>
      <c r="I36" s="25">
        <f>+'Indirect cost fund worksheet'!F59</f>
        <v>3192849.94</v>
      </c>
    </row>
    <row r="37" spans="1:9" ht="12.75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1848935.49</v>
      </c>
      <c r="H40" s="24"/>
      <c r="I40" s="25">
        <f>+'Indirect cost fund worksheet'!F71</f>
        <v>1848935.49</v>
      </c>
    </row>
    <row r="41" spans="1:9" ht="12.75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11650.65</v>
      </c>
      <c r="I41" s="25">
        <f>+'Indirect cost fund worksheet'!F81</f>
        <v>11650.65</v>
      </c>
    </row>
    <row r="42" spans="1:9" ht="12.75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677200.13</v>
      </c>
      <c r="I42" s="25">
        <f>+'Indirect cost fund worksheet'!F83</f>
        <v>677200.13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9976.72</v>
      </c>
      <c r="I43" s="25">
        <f>+Expenses!D10</f>
        <v>9976.72</v>
      </c>
    </row>
    <row r="44" spans="1:9" ht="12.75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9326303.24</v>
      </c>
      <c r="H44" s="26"/>
      <c r="I44" s="25">
        <f>+'Indirect cost fund worksheet'!F89-I43</f>
        <v>9326303.24</v>
      </c>
    </row>
    <row r="45" spans="1:9" ht="12.75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307246.93</v>
      </c>
      <c r="H45" s="24"/>
      <c r="I45" s="25">
        <f>+'Indirect cost fund worksheet'!F100</f>
        <v>307246.93</v>
      </c>
    </row>
    <row r="46" spans="1:9" ht="12.75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143610.59999999998</v>
      </c>
      <c r="H46" s="24"/>
      <c r="I46" s="25">
        <f>+'Indirect cost fund worksheet'!F107</f>
        <v>143610.59999999998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80</v>
      </c>
      <c r="E48" s="25">
        <f>SUM(E32:E47)</f>
        <v>67149.47</v>
      </c>
      <c r="F48" s="25">
        <f>SUM(F32:F47)</f>
        <v>67149.47</v>
      </c>
      <c r="G48" s="25">
        <f>SUM(G32:G47)</f>
        <v>18630236.25</v>
      </c>
      <c r="H48" s="25">
        <f>SUM(H32:H47)</f>
        <v>715282.69</v>
      </c>
      <c r="I48" s="25">
        <f>SUM(I32:I47)</f>
        <v>19412668.410000004</v>
      </c>
    </row>
    <row r="51" ht="12.75">
      <c r="D51" s="21" t="s">
        <v>140</v>
      </c>
    </row>
    <row r="52" ht="12.75">
      <c r="I52" s="29" t="s">
        <v>135</v>
      </c>
    </row>
    <row r="53" spans="4:5" ht="12.75">
      <c r="D53" s="21" t="s">
        <v>85</v>
      </c>
      <c r="E53" s="33">
        <f>F48/G48</f>
        <v>0.0036043273471639417</v>
      </c>
    </row>
    <row r="55" spans="4:5" ht="12.75">
      <c r="D55" s="21" t="s">
        <v>84</v>
      </c>
      <c r="E55" s="33">
        <f>E48/(+G48+F48-E48)</f>
        <v>0.0036043273471639417</v>
      </c>
    </row>
    <row r="56" ht="9" customHeight="1"/>
    <row r="57" spans="4:5" ht="12.75">
      <c r="D57" s="20"/>
      <c r="E57" s="21"/>
    </row>
    <row r="58" ht="12.75">
      <c r="D58" s="21" t="s">
        <v>141</v>
      </c>
    </row>
    <row r="59" spans="4:7" ht="12.75">
      <c r="D59" s="39" t="s">
        <v>177</v>
      </c>
      <c r="E59">
        <f>-$G59</f>
        <v>60075</v>
      </c>
      <c r="F59" s="143">
        <f>-$G59</f>
        <v>60075</v>
      </c>
      <c r="G59">
        <v>-60075</v>
      </c>
    </row>
    <row r="60" spans="4:7" ht="12.75">
      <c r="D60" s="39" t="s">
        <v>142</v>
      </c>
      <c r="E60" s="143">
        <f aca="true" t="shared" si="0" ref="E60:F66">-$G60</f>
        <v>8873</v>
      </c>
      <c r="F60" s="143">
        <f t="shared" si="0"/>
        <v>8873</v>
      </c>
      <c r="G60">
        <v>-8873</v>
      </c>
    </row>
    <row r="61" spans="4:7" ht="12.75">
      <c r="D61" s="39" t="s">
        <v>143</v>
      </c>
      <c r="E61" s="143">
        <f t="shared" si="0"/>
        <v>3310.72</v>
      </c>
      <c r="F61" s="143">
        <f t="shared" si="0"/>
        <v>3310.72</v>
      </c>
      <c r="G61">
        <v>-3310.72</v>
      </c>
    </row>
    <row r="62" spans="4:9" ht="12.75">
      <c r="D62" s="39" t="s">
        <v>144</v>
      </c>
      <c r="E62" s="143">
        <f t="shared" si="0"/>
        <v>0</v>
      </c>
      <c r="F62" s="143">
        <f t="shared" si="0"/>
        <v>0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145</v>
      </c>
      <c r="E63" s="143">
        <f t="shared" si="0"/>
        <v>0</v>
      </c>
      <c r="F63" s="143">
        <f t="shared" si="0"/>
        <v>0</v>
      </c>
      <c r="G63" s="22">
        <v>0</v>
      </c>
      <c r="H63" s="22"/>
      <c r="I63" s="22"/>
    </row>
    <row r="64" spans="4:6" ht="12.75">
      <c r="D64" s="39" t="s">
        <v>146</v>
      </c>
      <c r="E64" s="143"/>
      <c r="F64" s="143"/>
    </row>
    <row r="65" spans="1:9" ht="12.75">
      <c r="A65" s="23"/>
      <c r="B65" s="23"/>
      <c r="C65" s="23"/>
      <c r="D65" s="40" t="s">
        <v>147</v>
      </c>
      <c r="E65" s="143">
        <f t="shared" si="0"/>
        <v>0</v>
      </c>
      <c r="F65" s="143">
        <f t="shared" si="0"/>
        <v>0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187</v>
      </c>
      <c r="E66" s="143">
        <f t="shared" si="0"/>
        <v>0</v>
      </c>
      <c r="F66" s="143">
        <f t="shared" si="0"/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149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150</v>
      </c>
      <c r="E70" s="25">
        <v>0</v>
      </c>
      <c r="F70" s="25">
        <v>0</v>
      </c>
      <c r="G70" s="25">
        <f>'Indirect cost fund worksheet'!E37</f>
        <v>1360570</v>
      </c>
      <c r="H70" s="25">
        <f>-G70</f>
        <v>-1360570</v>
      </c>
      <c r="I70" s="25"/>
    </row>
    <row r="71" spans="1:9" ht="12.75">
      <c r="A71" s="23"/>
      <c r="B71" s="23"/>
      <c r="C71" s="23"/>
      <c r="D71" s="39" t="s">
        <v>151</v>
      </c>
      <c r="E71" s="25">
        <v>0</v>
      </c>
      <c r="F71" s="25">
        <v>0</v>
      </c>
      <c r="G71" s="25">
        <f>'Indirect cost fund worksheet'!F122</f>
        <v>100866.91</v>
      </c>
      <c r="H71" s="147">
        <f>-G71</f>
        <v>-100866.91</v>
      </c>
      <c r="I71" s="25"/>
    </row>
    <row r="72" spans="1:9" ht="12.75">
      <c r="A72" s="23"/>
      <c r="B72" s="23"/>
      <c r="C72" s="23"/>
      <c r="D72" s="39" t="s">
        <v>152</v>
      </c>
      <c r="E72" s="25">
        <v>0</v>
      </c>
      <c r="F72" s="25">
        <v>0</v>
      </c>
      <c r="G72" s="35">
        <f>'Indirect cost fund worksheet'!F121</f>
        <v>239066.83</v>
      </c>
      <c r="H72" s="147">
        <f>-G72</f>
        <v>-239066.83</v>
      </c>
      <c r="I72" s="25"/>
    </row>
    <row r="73" spans="1:9" ht="12.75">
      <c r="A73" s="23"/>
      <c r="B73" s="23"/>
      <c r="C73" s="23"/>
      <c r="D73" s="39" t="s">
        <v>153</v>
      </c>
      <c r="E73" s="25">
        <v>0</v>
      </c>
      <c r="F73" s="25">
        <v>0</v>
      </c>
      <c r="G73" s="25">
        <v>0</v>
      </c>
      <c r="H73" s="147">
        <f>-G73</f>
        <v>0</v>
      </c>
      <c r="I73" s="25"/>
    </row>
    <row r="74" spans="1:9" ht="12.75">
      <c r="A74" s="23"/>
      <c r="B74" s="23"/>
      <c r="C74" s="23"/>
      <c r="D74" s="39" t="s">
        <v>187</v>
      </c>
      <c r="E74" s="25">
        <f>-'Indirect cost fund worksheet'!F125</f>
        <v>-651196.18</v>
      </c>
      <c r="F74" s="25">
        <f>+E74</f>
        <v>-651196.18</v>
      </c>
      <c r="G74" s="25">
        <f>'Indirect cost fund worksheet'!F123</f>
        <v>590168.12</v>
      </c>
      <c r="H74" s="147">
        <f>-G74-F74</f>
        <v>61028.060000000056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154</v>
      </c>
      <c r="E76" s="25">
        <f>+E48+SUM(E59:E67)-SUM(E69:E75)</f>
        <v>790604.3700000001</v>
      </c>
      <c r="F76" s="25">
        <f>+F48+SUM(F59:F67)-SUM(F69:F75)</f>
        <v>790604.3700000001</v>
      </c>
      <c r="G76" s="25">
        <f>+G48+SUM(G59:G67)-SUM(G69:G75)</f>
        <v>16267305.670000002</v>
      </c>
      <c r="H76" s="25">
        <f>+H48+SUM(H59:H67)-SUM(H69:H75)</f>
        <v>2354758.37</v>
      </c>
      <c r="I76" s="25">
        <f>+I48+SUM(I59:I65)-SUM(I69:I73)</f>
        <v>19412668.410000004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85</v>
      </c>
      <c r="E80" s="33">
        <f>F76/G76</f>
        <v>0.048600818478380506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84</v>
      </c>
      <c r="E82" s="33">
        <f>E76/(+G76+F76-E76)</f>
        <v>0.048600818478380506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73">
      <selection activeCell="D95" sqref="D95"/>
    </sheetView>
  </sheetViews>
  <sheetFormatPr defaultColWidth="9.140625" defaultRowHeight="12.75"/>
  <cols>
    <col min="4" max="4" width="48.8515625" style="0" bestFit="1" customWidth="1"/>
    <col min="5" max="5" width="12.28125" style="0" bestFit="1" customWidth="1"/>
    <col min="6" max="6" width="12.421875" style="0" customWidth="1"/>
  </cols>
  <sheetData>
    <row r="1" spans="1:5" ht="18">
      <c r="A1" s="157" t="s">
        <v>53</v>
      </c>
      <c r="B1" s="160">
        <v>7</v>
      </c>
      <c r="C1" s="143"/>
      <c r="D1" s="143"/>
      <c r="E1" s="143"/>
    </row>
    <row r="2" spans="1:5" ht="18">
      <c r="A2" s="158" t="s">
        <v>54</v>
      </c>
      <c r="B2" s="41" t="s">
        <v>280</v>
      </c>
      <c r="C2" s="143"/>
      <c r="D2" s="143"/>
      <c r="E2" s="143"/>
    </row>
    <row r="3" spans="1:5" ht="18">
      <c r="A3" s="158"/>
      <c r="B3" s="159"/>
      <c r="C3" s="143"/>
      <c r="D3" s="143"/>
      <c r="E3" s="143"/>
    </row>
    <row r="4" spans="1:5" ht="12.75">
      <c r="A4" s="144" t="s">
        <v>74</v>
      </c>
      <c r="B4" s="143"/>
      <c r="C4" s="143"/>
      <c r="D4" s="143"/>
      <c r="E4" s="143"/>
    </row>
    <row r="5" spans="1:5" ht="12.75">
      <c r="A5" s="144" t="s">
        <v>239</v>
      </c>
      <c r="B5" s="143"/>
      <c r="C5" s="59" t="s">
        <v>280</v>
      </c>
      <c r="D5" s="143"/>
      <c r="E5" s="143"/>
    </row>
    <row r="6" spans="1:5" ht="12.75">
      <c r="A6" s="144" t="s">
        <v>238</v>
      </c>
      <c r="B6" s="143"/>
      <c r="C6" s="143"/>
      <c r="D6" s="143"/>
      <c r="E6" s="143"/>
    </row>
    <row r="8" spans="1:5" ht="12.75">
      <c r="A8" s="144" t="s">
        <v>86</v>
      </c>
      <c r="B8" s="143"/>
      <c r="C8" s="143"/>
      <c r="D8" s="143"/>
      <c r="E8" s="145" t="s">
        <v>80</v>
      </c>
    </row>
    <row r="9" spans="1:5" ht="12.75">
      <c r="A9" s="144" t="s">
        <v>178</v>
      </c>
      <c r="B9" s="144" t="s">
        <v>81</v>
      </c>
      <c r="C9" s="144" t="s">
        <v>82</v>
      </c>
      <c r="D9" s="144" t="s">
        <v>83</v>
      </c>
      <c r="E9" s="145" t="s">
        <v>86</v>
      </c>
    </row>
    <row r="11" spans="1:5" ht="12.75">
      <c r="A11" s="146" t="s">
        <v>87</v>
      </c>
      <c r="B11" s="146" t="s">
        <v>88</v>
      </c>
      <c r="C11" s="146" t="s">
        <v>89</v>
      </c>
      <c r="D11" s="144" t="s">
        <v>90</v>
      </c>
      <c r="E11" s="147">
        <v>179409.31</v>
      </c>
    </row>
    <row r="12" spans="1:5" ht="12.75">
      <c r="A12" s="146" t="s">
        <v>87</v>
      </c>
      <c r="B12" s="146" t="s">
        <v>88</v>
      </c>
      <c r="C12" s="146" t="s">
        <v>91</v>
      </c>
      <c r="D12" s="144" t="s">
        <v>181</v>
      </c>
      <c r="E12" s="147">
        <v>64862.82</v>
      </c>
    </row>
    <row r="13" spans="1:5" ht="12.75">
      <c r="A13" s="146" t="s">
        <v>87</v>
      </c>
      <c r="B13" s="146" t="s">
        <v>88</v>
      </c>
      <c r="C13" s="146" t="s">
        <v>92</v>
      </c>
      <c r="D13" s="144" t="s">
        <v>93</v>
      </c>
      <c r="E13" s="147">
        <v>19833.72</v>
      </c>
    </row>
    <row r="14" spans="1:5" ht="12.75">
      <c r="A14" s="146" t="s">
        <v>87</v>
      </c>
      <c r="B14" s="146" t="s">
        <v>88</v>
      </c>
      <c r="C14" s="146" t="s">
        <v>94</v>
      </c>
      <c r="D14" s="144" t="s">
        <v>95</v>
      </c>
      <c r="E14" s="147">
        <v>0</v>
      </c>
    </row>
    <row r="15" spans="1:5" ht="12.75">
      <c r="A15" s="146" t="s">
        <v>87</v>
      </c>
      <c r="B15" s="146" t="s">
        <v>88</v>
      </c>
      <c r="C15" s="146" t="s">
        <v>96</v>
      </c>
      <c r="D15" s="144" t="s">
        <v>97</v>
      </c>
      <c r="E15" s="147"/>
    </row>
    <row r="16" spans="1:5" ht="12.75">
      <c r="A16" s="146" t="s">
        <v>87</v>
      </c>
      <c r="B16" s="146" t="s">
        <v>88</v>
      </c>
      <c r="C16" s="146" t="s">
        <v>98</v>
      </c>
      <c r="D16" s="144" t="s">
        <v>180</v>
      </c>
      <c r="E16" s="147">
        <v>17738.64</v>
      </c>
    </row>
    <row r="17" spans="1:6" ht="12.75">
      <c r="A17" s="146" t="s">
        <v>87</v>
      </c>
      <c r="B17" s="146" t="s">
        <v>88</v>
      </c>
      <c r="C17" s="146" t="s">
        <v>99</v>
      </c>
      <c r="D17" s="144" t="s">
        <v>100</v>
      </c>
      <c r="E17" s="147">
        <v>5885.81</v>
      </c>
      <c r="F17" s="143"/>
    </row>
    <row r="18" spans="1:6" ht="12.75">
      <c r="A18" s="146" t="s">
        <v>87</v>
      </c>
      <c r="B18" s="146" t="s">
        <v>88</v>
      </c>
      <c r="C18" s="146" t="s">
        <v>101</v>
      </c>
      <c r="D18" s="144" t="s">
        <v>179</v>
      </c>
      <c r="E18" s="147"/>
      <c r="F18" s="143"/>
    </row>
    <row r="19" spans="1:6" ht="12.75">
      <c r="A19" s="146" t="s">
        <v>87</v>
      </c>
      <c r="B19" s="146" t="s">
        <v>88</v>
      </c>
      <c r="C19" s="146" t="s">
        <v>102</v>
      </c>
      <c r="D19" s="144" t="s">
        <v>182</v>
      </c>
      <c r="E19" s="147"/>
      <c r="F19" s="143"/>
    </row>
    <row r="20" spans="1:6" ht="12.75">
      <c r="A20" s="146" t="s">
        <v>87</v>
      </c>
      <c r="B20" s="146" t="s">
        <v>88</v>
      </c>
      <c r="C20" s="146" t="s">
        <v>103</v>
      </c>
      <c r="D20" s="144" t="s">
        <v>183</v>
      </c>
      <c r="E20" s="147">
        <v>2000</v>
      </c>
      <c r="F20" s="143"/>
    </row>
    <row r="21" spans="1:6" ht="12.75">
      <c r="A21" s="151" t="s">
        <v>87</v>
      </c>
      <c r="B21" s="151" t="s">
        <v>88</v>
      </c>
      <c r="C21" s="151" t="s">
        <v>104</v>
      </c>
      <c r="D21" s="152" t="s">
        <v>105</v>
      </c>
      <c r="E21" s="149">
        <v>32834</v>
      </c>
      <c r="F21" s="150"/>
    </row>
    <row r="22" spans="1:6" ht="12.75">
      <c r="A22" s="146" t="s">
        <v>87</v>
      </c>
      <c r="B22" s="146" t="s">
        <v>88</v>
      </c>
      <c r="C22" s="146" t="s">
        <v>106</v>
      </c>
      <c r="D22" s="144" t="s">
        <v>184</v>
      </c>
      <c r="E22" s="147">
        <v>8595.94</v>
      </c>
      <c r="F22" s="143"/>
    </row>
    <row r="23" spans="1:6" ht="12.75">
      <c r="A23" s="146" t="s">
        <v>87</v>
      </c>
      <c r="B23" s="146" t="s">
        <v>88</v>
      </c>
      <c r="C23" s="146" t="s">
        <v>107</v>
      </c>
      <c r="D23" s="144" t="s">
        <v>152</v>
      </c>
      <c r="E23" s="147">
        <v>2000</v>
      </c>
      <c r="F23" s="143"/>
    </row>
    <row r="24" spans="1:6" ht="12.75">
      <c r="A24" s="153" t="s">
        <v>87</v>
      </c>
      <c r="B24" s="153" t="s">
        <v>88</v>
      </c>
      <c r="C24" s="153" t="s">
        <v>108</v>
      </c>
      <c r="D24" s="154" t="s">
        <v>185</v>
      </c>
      <c r="E24" s="148"/>
      <c r="F24" s="143"/>
    </row>
    <row r="25" spans="1:6" ht="12.75">
      <c r="A25" s="155" t="s">
        <v>87</v>
      </c>
      <c r="B25" s="155" t="s">
        <v>88</v>
      </c>
      <c r="C25" s="155" t="s">
        <v>109</v>
      </c>
      <c r="D25" s="156" t="s">
        <v>110</v>
      </c>
      <c r="E25" s="147"/>
      <c r="F25" s="143"/>
    </row>
    <row r="26" spans="1:6" ht="12.75">
      <c r="A26" s="153" t="s">
        <v>87</v>
      </c>
      <c r="B26" s="153" t="s">
        <v>88</v>
      </c>
      <c r="C26" s="153" t="s">
        <v>111</v>
      </c>
      <c r="D26" s="154" t="s">
        <v>112</v>
      </c>
      <c r="E26" s="148"/>
      <c r="F26" s="143"/>
    </row>
    <row r="27" spans="1:6" ht="12.75">
      <c r="A27" s="146" t="s">
        <v>87</v>
      </c>
      <c r="B27" s="146" t="s">
        <v>88</v>
      </c>
      <c r="C27" s="146" t="s">
        <v>113</v>
      </c>
      <c r="D27" s="144" t="s">
        <v>114</v>
      </c>
      <c r="E27" s="147"/>
      <c r="F27" s="143"/>
    </row>
    <row r="28" spans="1:6" ht="12.75">
      <c r="A28" s="146" t="s">
        <v>87</v>
      </c>
      <c r="B28" s="146" t="s">
        <v>88</v>
      </c>
      <c r="C28" s="146" t="s">
        <v>115</v>
      </c>
      <c r="D28" s="144" t="s">
        <v>116</v>
      </c>
      <c r="E28" s="147"/>
      <c r="F28" s="143"/>
    </row>
    <row r="29" spans="1:6" ht="12.75">
      <c r="A29" s="146" t="s">
        <v>87</v>
      </c>
      <c r="B29" s="146" t="s">
        <v>88</v>
      </c>
      <c r="C29" s="146" t="s">
        <v>117</v>
      </c>
      <c r="D29" s="144" t="s">
        <v>118</v>
      </c>
      <c r="E29" s="147">
        <f>14086.5+1360.08</f>
        <v>15446.58</v>
      </c>
      <c r="F29" s="143"/>
    </row>
    <row r="30" spans="1:6" ht="12.75">
      <c r="A30" s="151" t="s">
        <v>87</v>
      </c>
      <c r="B30" s="151" t="s">
        <v>119</v>
      </c>
      <c r="C30" s="151" t="s">
        <v>120</v>
      </c>
      <c r="D30" s="152" t="s">
        <v>186</v>
      </c>
      <c r="E30" s="147">
        <v>12455.19</v>
      </c>
      <c r="F30" s="143"/>
    </row>
    <row r="31" spans="1:6" ht="12.75">
      <c r="A31" s="143"/>
      <c r="B31" s="143"/>
      <c r="C31" s="143"/>
      <c r="D31" s="143"/>
      <c r="E31" s="147"/>
      <c r="F31" s="143"/>
    </row>
    <row r="32" spans="1:6" ht="12.75">
      <c r="A32" s="146" t="s">
        <v>87</v>
      </c>
      <c r="B32" s="146" t="s">
        <v>121</v>
      </c>
      <c r="C32" s="146" t="s">
        <v>120</v>
      </c>
      <c r="D32" s="144" t="s">
        <v>158</v>
      </c>
      <c r="E32" s="147">
        <f>SUM(E11:E31)</f>
        <v>361062.01</v>
      </c>
      <c r="F32" s="161">
        <f>+E32</f>
        <v>361062.01</v>
      </c>
    </row>
    <row r="33" spans="1:6" ht="12.75">
      <c r="A33" s="146"/>
      <c r="B33" s="146"/>
      <c r="C33" s="146"/>
      <c r="D33" s="144"/>
      <c r="E33" s="147"/>
      <c r="F33" s="143"/>
    </row>
    <row r="34" spans="1:6" ht="12.75">
      <c r="A34" s="146"/>
      <c r="B34" s="146"/>
      <c r="C34" s="146" t="s">
        <v>333</v>
      </c>
      <c r="D34" s="144"/>
      <c r="E34" s="147"/>
      <c r="F34" s="143"/>
    </row>
    <row r="35" spans="1:6" ht="12.75">
      <c r="A35" s="146" t="s">
        <v>122</v>
      </c>
      <c r="B35" s="146" t="s">
        <v>121</v>
      </c>
      <c r="C35" s="146"/>
      <c r="D35" s="144" t="s">
        <v>123</v>
      </c>
      <c r="E35" s="147"/>
      <c r="F35" s="161">
        <f>SUM(E36:E44)</f>
        <v>1724289.6500000001</v>
      </c>
    </row>
    <row r="36" spans="1:6" ht="12.75">
      <c r="A36" s="146"/>
      <c r="B36" s="146"/>
      <c r="C36" s="146">
        <v>820</v>
      </c>
      <c r="D36" s="144" t="s">
        <v>334</v>
      </c>
      <c r="E36" s="147">
        <v>14480</v>
      </c>
      <c r="F36" s="143"/>
    </row>
    <row r="37" spans="1:6" ht="12.75">
      <c r="A37" s="146"/>
      <c r="B37" s="146"/>
      <c r="C37" s="146">
        <v>299</v>
      </c>
      <c r="D37" s="144" t="s">
        <v>341</v>
      </c>
      <c r="E37" s="163">
        <f>1359555+1015</f>
        <v>1360570</v>
      </c>
      <c r="F37" s="143"/>
    </row>
    <row r="38" spans="1:6" ht="12.75">
      <c r="A38" s="146"/>
      <c r="B38" s="146"/>
      <c r="C38" s="146">
        <v>650</v>
      </c>
      <c r="D38" s="144" t="s">
        <v>335</v>
      </c>
      <c r="E38" s="147">
        <v>109725</v>
      </c>
      <c r="F38" s="143"/>
    </row>
    <row r="39" spans="1:5" s="143" customFormat="1" ht="12.75">
      <c r="A39" s="146"/>
      <c r="B39" s="146"/>
      <c r="C39" s="146">
        <v>613</v>
      </c>
      <c r="D39" s="144" t="s">
        <v>336</v>
      </c>
      <c r="E39" s="147">
        <v>53336</v>
      </c>
    </row>
    <row r="40" spans="1:5" s="143" customFormat="1" ht="12.75">
      <c r="A40" s="146"/>
      <c r="B40" s="146"/>
      <c r="C40" s="146">
        <v>616</v>
      </c>
      <c r="D40" s="144" t="s">
        <v>336</v>
      </c>
      <c r="E40" s="147">
        <v>75000</v>
      </c>
    </row>
    <row r="41" spans="1:6" ht="12.75">
      <c r="A41" s="146"/>
      <c r="B41" s="146"/>
      <c r="C41" s="192" t="s">
        <v>368</v>
      </c>
      <c r="D41" s="144" t="s">
        <v>336</v>
      </c>
      <c r="E41" s="147">
        <v>9237.86</v>
      </c>
      <c r="F41" s="143"/>
    </row>
    <row r="42" spans="1:5" s="143" customFormat="1" ht="12.75">
      <c r="A42" s="146"/>
      <c r="B42" s="146"/>
      <c r="C42" s="146">
        <v>850</v>
      </c>
      <c r="D42" s="193" t="s">
        <v>369</v>
      </c>
      <c r="E42" s="147">
        <v>80000</v>
      </c>
    </row>
    <row r="43" spans="1:6" ht="12.75">
      <c r="A43" s="146"/>
      <c r="B43" s="146"/>
      <c r="C43" s="146">
        <v>863</v>
      </c>
      <c r="D43" s="144" t="s">
        <v>337</v>
      </c>
      <c r="E43" s="147">
        <v>12290.79</v>
      </c>
      <c r="F43" s="143"/>
    </row>
    <row r="44" spans="1:6" ht="12.75">
      <c r="A44" s="146"/>
      <c r="B44" s="146"/>
      <c r="C44" s="146">
        <v>866</v>
      </c>
      <c r="D44" s="144" t="s">
        <v>338</v>
      </c>
      <c r="E44" s="147">
        <v>9650</v>
      </c>
      <c r="F44" s="143"/>
    </row>
    <row r="45" spans="1:6" ht="12.75">
      <c r="A45" s="146"/>
      <c r="B45" s="146"/>
      <c r="C45" s="146"/>
      <c r="D45" s="144"/>
      <c r="E45" s="147"/>
      <c r="F45" s="143"/>
    </row>
    <row r="46" spans="1:6" ht="12.75">
      <c r="A46" s="146">
        <v>27</v>
      </c>
      <c r="B46" s="146" t="s">
        <v>121</v>
      </c>
      <c r="C46" s="146" t="s">
        <v>120</v>
      </c>
      <c r="D46" s="144" t="s">
        <v>127</v>
      </c>
      <c r="E46" s="147"/>
      <c r="F46" s="161">
        <f>SUM(E47:E57)</f>
        <v>1809543.05</v>
      </c>
    </row>
    <row r="47" spans="1:6" ht="12.75">
      <c r="A47" s="146"/>
      <c r="B47" s="146"/>
      <c r="C47" s="146">
        <v>296</v>
      </c>
      <c r="D47" s="144" t="s">
        <v>339</v>
      </c>
      <c r="E47" s="147">
        <f>8404.2+1360.28</f>
        <v>9764.480000000001</v>
      </c>
      <c r="F47" s="143"/>
    </row>
    <row r="48" spans="1:6" ht="12.75">
      <c r="A48" s="146"/>
      <c r="B48" s="146"/>
      <c r="C48" s="146">
        <v>295</v>
      </c>
      <c r="D48" s="144"/>
      <c r="E48" s="147">
        <v>39878</v>
      </c>
      <c r="F48" s="143"/>
    </row>
    <row r="49" spans="1:6" ht="12.75">
      <c r="A49" s="146"/>
      <c r="B49" s="146"/>
      <c r="C49" s="146">
        <v>290</v>
      </c>
      <c r="D49" s="144"/>
      <c r="E49" s="147">
        <v>902931.46</v>
      </c>
      <c r="F49" s="143"/>
    </row>
    <row r="50" spans="1:6" ht="12.75">
      <c r="A50" s="146"/>
      <c r="B50" s="146"/>
      <c r="C50" s="146">
        <v>293</v>
      </c>
      <c r="D50" s="144"/>
      <c r="E50" s="147"/>
      <c r="F50" s="143"/>
    </row>
    <row r="51" spans="1:6" ht="12.75">
      <c r="A51" s="146"/>
      <c r="B51" s="146"/>
      <c r="C51" s="146">
        <v>297</v>
      </c>
      <c r="D51" s="144"/>
      <c r="E51" s="147">
        <v>425666.69</v>
      </c>
      <c r="F51" s="143"/>
    </row>
    <row r="52" spans="1:6" ht="12.75">
      <c r="A52" s="146"/>
      <c r="B52" s="146"/>
      <c r="C52" s="146">
        <v>373</v>
      </c>
      <c r="E52" s="147">
        <v>87400</v>
      </c>
      <c r="F52" s="143"/>
    </row>
    <row r="53" spans="1:5" s="143" customFormat="1" ht="12.75">
      <c r="A53" s="146"/>
      <c r="B53" s="146"/>
      <c r="C53" s="146">
        <v>383</v>
      </c>
      <c r="E53" s="147">
        <v>25000</v>
      </c>
    </row>
    <row r="54" spans="1:5" s="143" customFormat="1" ht="12.75">
      <c r="A54" s="146"/>
      <c r="B54" s="146"/>
      <c r="C54" s="146">
        <v>306</v>
      </c>
      <c r="D54" s="144"/>
      <c r="E54" s="147">
        <v>137142.79</v>
      </c>
    </row>
    <row r="55" spans="1:6" ht="12.75">
      <c r="A55" s="146"/>
      <c r="B55" s="146"/>
      <c r="C55" s="146">
        <v>348</v>
      </c>
      <c r="D55" s="144" t="s">
        <v>340</v>
      </c>
      <c r="E55" s="147">
        <v>36918.69</v>
      </c>
      <c r="F55" s="143"/>
    </row>
    <row r="56" spans="1:5" s="143" customFormat="1" ht="12.75">
      <c r="A56" s="146"/>
      <c r="B56" s="146"/>
      <c r="C56" s="146">
        <v>415</v>
      </c>
      <c r="D56" s="144"/>
      <c r="E56" s="147">
        <v>134840.08</v>
      </c>
    </row>
    <row r="57" spans="1:5" s="143" customFormat="1" ht="12.75">
      <c r="A57" s="146"/>
      <c r="B57" s="146"/>
      <c r="C57" s="146">
        <v>419</v>
      </c>
      <c r="D57" s="144"/>
      <c r="E57" s="147">
        <f>2411.12+7589.74</f>
        <v>10000.86</v>
      </c>
    </row>
    <row r="58" spans="1:6" ht="12.75">
      <c r="A58" s="146"/>
      <c r="B58" s="146"/>
      <c r="C58" s="146"/>
      <c r="D58" s="144"/>
      <c r="E58" s="147"/>
      <c r="F58" s="143"/>
    </row>
    <row r="59" spans="1:6" ht="12.75">
      <c r="A59" s="146" t="s">
        <v>128</v>
      </c>
      <c r="B59" s="146" t="s">
        <v>121</v>
      </c>
      <c r="C59" s="146" t="s">
        <v>120</v>
      </c>
      <c r="D59" s="144" t="s">
        <v>129</v>
      </c>
      <c r="E59" s="147"/>
      <c r="F59" s="161">
        <f>SUM(E60:E66)</f>
        <v>3192849.94</v>
      </c>
    </row>
    <row r="60" spans="1:6" ht="12.75">
      <c r="A60" s="146"/>
      <c r="B60" s="146"/>
      <c r="C60" s="146"/>
      <c r="D60" s="144" t="s">
        <v>342</v>
      </c>
      <c r="E60" s="147">
        <f>2649963.84+108798.61</f>
        <v>2758762.4499999997</v>
      </c>
      <c r="F60" s="143"/>
    </row>
    <row r="61" spans="1:5" s="143" customFormat="1" ht="12.75">
      <c r="A61" s="146"/>
      <c r="B61" s="146"/>
      <c r="C61" s="146">
        <v>602</v>
      </c>
      <c r="D61" s="193" t="s">
        <v>377</v>
      </c>
      <c r="E61" s="147">
        <v>3000</v>
      </c>
    </row>
    <row r="62" spans="1:5" s="143" customFormat="1" ht="12.75">
      <c r="A62" s="146"/>
      <c r="B62" s="146"/>
      <c r="C62" s="195" t="s">
        <v>378</v>
      </c>
      <c r="D62" s="193" t="s">
        <v>379</v>
      </c>
      <c r="E62" s="147">
        <f>4332.57+8740.6</f>
        <v>13073.17</v>
      </c>
    </row>
    <row r="63" spans="1:6" ht="12.75">
      <c r="A63" s="146"/>
      <c r="B63" s="146"/>
      <c r="C63" s="146">
        <v>677</v>
      </c>
      <c r="D63" s="193" t="s">
        <v>343</v>
      </c>
      <c r="E63" s="147">
        <v>120000</v>
      </c>
      <c r="F63" s="143"/>
    </row>
    <row r="64" spans="1:6" ht="12.75">
      <c r="A64" s="146"/>
      <c r="B64" s="146"/>
      <c r="C64" s="146">
        <v>619</v>
      </c>
      <c r="D64" s="144" t="s">
        <v>336</v>
      </c>
      <c r="E64" s="147">
        <v>59496</v>
      </c>
      <c r="F64" s="143"/>
    </row>
    <row r="65" spans="1:6" ht="12.75">
      <c r="A65" s="146"/>
      <c r="B65" s="146"/>
      <c r="C65" s="146">
        <v>857</v>
      </c>
      <c r="D65" s="144" t="s">
        <v>344</v>
      </c>
      <c r="E65" s="147">
        <v>157067.83</v>
      </c>
      <c r="F65" s="143"/>
    </row>
    <row r="66" spans="1:6" ht="12.75">
      <c r="A66" s="146"/>
      <c r="B66" s="146"/>
      <c r="C66" s="146">
        <v>609</v>
      </c>
      <c r="D66" s="144" t="s">
        <v>345</v>
      </c>
      <c r="E66" s="147">
        <v>81450.49</v>
      </c>
      <c r="F66" s="143"/>
    </row>
    <row r="67" spans="1:6" ht="12.75">
      <c r="A67" s="146"/>
      <c r="B67" s="146"/>
      <c r="C67" s="146"/>
      <c r="D67" s="144"/>
      <c r="E67" s="147"/>
      <c r="F67" s="143"/>
    </row>
    <row r="68" spans="1:6" ht="12.75">
      <c r="A68" s="146" t="s">
        <v>130</v>
      </c>
      <c r="B68" s="146" t="s">
        <v>121</v>
      </c>
      <c r="C68" s="146" t="s">
        <v>120</v>
      </c>
      <c r="D68" s="144" t="s">
        <v>159</v>
      </c>
      <c r="E68" s="147"/>
      <c r="F68" s="161"/>
    </row>
    <row r="69" spans="1:6" ht="12.75">
      <c r="A69" s="146" t="s">
        <v>131</v>
      </c>
      <c r="B69" s="146" t="s">
        <v>121</v>
      </c>
      <c r="C69" s="146" t="s">
        <v>120</v>
      </c>
      <c r="D69" s="144" t="s">
        <v>160</v>
      </c>
      <c r="E69" s="147"/>
      <c r="F69" s="143"/>
    </row>
    <row r="70" spans="1:6" ht="12.75">
      <c r="A70" s="146" t="s">
        <v>132</v>
      </c>
      <c r="B70" s="146" t="s">
        <v>121</v>
      </c>
      <c r="C70" s="146" t="s">
        <v>120</v>
      </c>
      <c r="D70" s="144" t="s">
        <v>161</v>
      </c>
      <c r="E70" s="147"/>
      <c r="F70" s="143"/>
    </row>
    <row r="71" spans="1:6" ht="12.75">
      <c r="A71" s="146" t="s">
        <v>133</v>
      </c>
      <c r="B71" s="146" t="s">
        <v>121</v>
      </c>
      <c r="C71" s="146" t="s">
        <v>120</v>
      </c>
      <c r="D71" s="144" t="s">
        <v>162</v>
      </c>
      <c r="E71" s="147"/>
      <c r="F71" s="161">
        <f>SUM(E72:E79)</f>
        <v>1848935.49</v>
      </c>
    </row>
    <row r="72" spans="1:6" ht="12.75">
      <c r="A72" s="146"/>
      <c r="B72" s="146"/>
      <c r="C72" s="146">
        <v>61</v>
      </c>
      <c r="D72" s="144"/>
      <c r="E72" s="147">
        <v>880153.76</v>
      </c>
      <c r="F72" s="143"/>
    </row>
    <row r="73" spans="1:6" ht="12.75">
      <c r="A73" s="146"/>
      <c r="B73" s="146"/>
      <c r="C73" s="146">
        <v>62</v>
      </c>
      <c r="D73" s="144"/>
      <c r="E73" s="147">
        <v>158314.76</v>
      </c>
      <c r="F73" s="143"/>
    </row>
    <row r="74" spans="1:8" ht="12.75">
      <c r="A74" s="146"/>
      <c r="B74" s="146"/>
      <c r="C74" s="146">
        <v>63</v>
      </c>
      <c r="D74" s="144"/>
      <c r="E74" s="147">
        <v>13738.5</v>
      </c>
      <c r="F74" s="143"/>
      <c r="G74" s="143"/>
      <c r="H74" s="143"/>
    </row>
    <row r="75" spans="1:8" ht="12.75">
      <c r="A75" s="146"/>
      <c r="B75" s="146"/>
      <c r="C75" s="146">
        <v>64</v>
      </c>
      <c r="D75" s="144"/>
      <c r="E75" s="147">
        <v>0</v>
      </c>
      <c r="F75" s="143"/>
      <c r="G75" s="143"/>
      <c r="H75" s="143"/>
    </row>
    <row r="76" spans="1:8" ht="12.75">
      <c r="A76" s="146"/>
      <c r="B76" s="146"/>
      <c r="C76" s="146">
        <v>65</v>
      </c>
      <c r="D76" s="144"/>
      <c r="E76" s="147">
        <f>680169.06-SUM(E61:E63)</f>
        <v>544095.89</v>
      </c>
      <c r="F76" s="143"/>
      <c r="G76" s="143"/>
      <c r="H76" s="143"/>
    </row>
    <row r="77" spans="1:8" ht="12.75">
      <c r="A77" s="146"/>
      <c r="B77" s="146"/>
      <c r="C77" s="146">
        <v>67</v>
      </c>
      <c r="D77" s="144"/>
      <c r="E77" s="147">
        <v>108365.74</v>
      </c>
      <c r="F77" s="143"/>
      <c r="G77" s="143"/>
      <c r="H77" s="143"/>
    </row>
    <row r="78" spans="1:5" s="143" customFormat="1" ht="12.75">
      <c r="A78" s="146"/>
      <c r="B78" s="146"/>
      <c r="C78" s="146">
        <v>94</v>
      </c>
      <c r="D78" s="193" t="s">
        <v>381</v>
      </c>
      <c r="E78" s="147">
        <v>14551.65</v>
      </c>
    </row>
    <row r="79" spans="1:8" ht="12.75">
      <c r="A79" s="146"/>
      <c r="B79" s="146"/>
      <c r="C79" s="146">
        <v>69</v>
      </c>
      <c r="D79" s="144"/>
      <c r="E79" s="147">
        <v>129715.19</v>
      </c>
      <c r="F79" s="143"/>
      <c r="G79" s="143"/>
      <c r="H79" s="143"/>
    </row>
    <row r="80" spans="1:8" ht="12.75">
      <c r="A80" s="146"/>
      <c r="B80" s="146"/>
      <c r="C80" s="146"/>
      <c r="D80" s="144"/>
      <c r="E80" s="147"/>
      <c r="F80" s="143"/>
      <c r="G80" s="143"/>
      <c r="H80" s="143"/>
    </row>
    <row r="81" spans="1:8" ht="12.75">
      <c r="A81" s="146" t="s">
        <v>134</v>
      </c>
      <c r="B81" s="146" t="s">
        <v>121</v>
      </c>
      <c r="C81" s="146" t="s">
        <v>120</v>
      </c>
      <c r="D81" s="144" t="s">
        <v>163</v>
      </c>
      <c r="E81" s="147">
        <v>11650.65</v>
      </c>
      <c r="F81" s="161">
        <f>+E81</f>
        <v>11650.65</v>
      </c>
      <c r="G81" s="143"/>
      <c r="H81" s="143"/>
    </row>
    <row r="82" spans="1:8" ht="12.75">
      <c r="A82" s="146"/>
      <c r="B82" s="146"/>
      <c r="C82" s="146"/>
      <c r="D82" s="144"/>
      <c r="E82" s="147"/>
      <c r="F82" s="143"/>
      <c r="G82" s="143"/>
      <c r="H82" s="143"/>
    </row>
    <row r="83" spans="1:8" ht="12.75">
      <c r="A83" s="146" t="s">
        <v>136</v>
      </c>
      <c r="B83" s="146" t="s">
        <v>121</v>
      </c>
      <c r="C83" s="146" t="s">
        <v>120</v>
      </c>
      <c r="D83" s="144" t="s">
        <v>164</v>
      </c>
      <c r="E83" s="147"/>
      <c r="F83" s="161">
        <f>SUM(E84:E86)</f>
        <v>677200.13</v>
      </c>
      <c r="G83" s="143"/>
      <c r="H83" s="143"/>
    </row>
    <row r="84" spans="1:8" ht="12.75">
      <c r="A84" s="146"/>
      <c r="B84" s="146"/>
      <c r="C84" s="146">
        <v>82</v>
      </c>
      <c r="D84" s="144" t="s">
        <v>347</v>
      </c>
      <c r="E84" s="147">
        <v>157410.52</v>
      </c>
      <c r="F84" s="143"/>
      <c r="G84" s="143"/>
      <c r="H84" s="143"/>
    </row>
    <row r="85" spans="1:5" s="143" customFormat="1" ht="12.75">
      <c r="A85" s="146"/>
      <c r="B85" s="146"/>
      <c r="C85" s="146">
        <v>83</v>
      </c>
      <c r="D85" s="144" t="s">
        <v>347</v>
      </c>
      <c r="E85" s="147">
        <v>0</v>
      </c>
    </row>
    <row r="86" spans="1:8" ht="12.75">
      <c r="A86" s="146"/>
      <c r="B86" s="146"/>
      <c r="C86" s="146">
        <v>85</v>
      </c>
      <c r="D86" s="144" t="s">
        <v>349</v>
      </c>
      <c r="E86" s="147">
        <v>519789.61</v>
      </c>
      <c r="F86" s="143"/>
      <c r="G86" s="143"/>
      <c r="H86" s="143"/>
    </row>
    <row r="87" spans="1:8" ht="12.75">
      <c r="A87" s="146"/>
      <c r="B87" s="146"/>
      <c r="C87" s="146"/>
      <c r="D87" s="144"/>
      <c r="E87" s="147"/>
      <c r="F87" s="143"/>
      <c r="G87" s="143"/>
      <c r="H87" s="143"/>
    </row>
    <row r="88" spans="1:8" ht="12.75">
      <c r="A88" s="146"/>
      <c r="B88" s="146"/>
      <c r="C88" s="146"/>
      <c r="D88" s="144"/>
      <c r="E88" s="147"/>
      <c r="F88" s="143"/>
      <c r="G88" s="143"/>
      <c r="H88" s="143"/>
    </row>
    <row r="89" spans="1:8" ht="12.75">
      <c r="A89" s="153" t="s">
        <v>137</v>
      </c>
      <c r="B89" s="153" t="s">
        <v>121</v>
      </c>
      <c r="C89" s="153" t="s">
        <v>120</v>
      </c>
      <c r="D89" s="154" t="s">
        <v>166</v>
      </c>
      <c r="E89" s="147"/>
      <c r="F89" s="161">
        <f>SUM(E90:E98)</f>
        <v>9336279.96</v>
      </c>
      <c r="G89" s="143"/>
      <c r="H89" s="143"/>
    </row>
    <row r="90" spans="1:6" s="143" customFormat="1" ht="12.75">
      <c r="A90" s="153"/>
      <c r="B90" s="153"/>
      <c r="C90" s="153">
        <v>91</v>
      </c>
      <c r="D90" s="194" t="s">
        <v>372</v>
      </c>
      <c r="E90" s="147">
        <f>237531.64-SUM(E39:E41)-SUM(E64)</f>
        <v>40461.78000000003</v>
      </c>
      <c r="F90" s="161"/>
    </row>
    <row r="91" spans="1:6" s="143" customFormat="1" ht="12.75">
      <c r="A91" s="153"/>
      <c r="B91" s="153"/>
      <c r="C91" s="153">
        <v>93</v>
      </c>
      <c r="D91" s="194" t="s">
        <v>373</v>
      </c>
      <c r="E91" s="147">
        <f>678558.32-SUM(E52:E55)</f>
        <v>392096.83999999997</v>
      </c>
      <c r="F91" s="161"/>
    </row>
    <row r="92" spans="1:6" s="143" customFormat="1" ht="12.75">
      <c r="A92" s="153"/>
      <c r="B92" s="153"/>
      <c r="C92" s="153">
        <v>97</v>
      </c>
      <c r="D92" s="194" t="s">
        <v>374</v>
      </c>
      <c r="E92" s="147">
        <v>119512.22</v>
      </c>
      <c r="F92" s="161"/>
    </row>
    <row r="93" spans="1:6" ht="12.75">
      <c r="A93" s="153"/>
      <c r="B93" s="153"/>
      <c r="C93" s="153">
        <v>96</v>
      </c>
      <c r="D93" s="194" t="s">
        <v>371</v>
      </c>
      <c r="E93" s="147">
        <f>1399565.61-SUM(E65:E66)-SUM(E42:E44)-SUM(E56:E57)</f>
        <v>914265.56</v>
      </c>
      <c r="F93" s="143"/>
    </row>
    <row r="94" spans="1:6" ht="12.75">
      <c r="A94" s="153"/>
      <c r="B94" s="153"/>
      <c r="C94" s="153">
        <v>97</v>
      </c>
      <c r="D94" s="194" t="s">
        <v>375</v>
      </c>
      <c r="E94" s="147">
        <f>1083730.06-E92</f>
        <v>964217.8400000001</v>
      </c>
      <c r="F94" s="143"/>
    </row>
    <row r="95" spans="1:6" ht="12.75">
      <c r="A95" s="153"/>
      <c r="B95" s="153"/>
      <c r="C95" s="153">
        <v>98</v>
      </c>
      <c r="D95" s="194" t="s">
        <v>370</v>
      </c>
      <c r="E95" s="147">
        <v>356204.42</v>
      </c>
      <c r="F95" s="143"/>
    </row>
    <row r="96" spans="1:8" ht="12.75">
      <c r="A96" s="146"/>
      <c r="B96" s="146"/>
      <c r="C96" s="146">
        <v>85</v>
      </c>
      <c r="D96" s="144" t="s">
        <v>348</v>
      </c>
      <c r="E96" s="147">
        <f>925658.88-E86</f>
        <v>405869.27</v>
      </c>
      <c r="F96" s="143"/>
      <c r="G96" s="227"/>
      <c r="H96" s="227"/>
    </row>
    <row r="97" spans="1:5" s="143" customFormat="1" ht="12.75">
      <c r="A97" s="153"/>
      <c r="B97" s="153"/>
      <c r="C97" s="153">
        <v>27</v>
      </c>
      <c r="D97" s="194" t="s">
        <v>380</v>
      </c>
      <c r="E97" s="147">
        <f>8623522.52-SUM(E47:E51)-E37+69.5</f>
        <v>5884781.39</v>
      </c>
    </row>
    <row r="98" spans="1:5" s="143" customFormat="1" ht="12.75">
      <c r="A98" s="153"/>
      <c r="B98" s="153"/>
      <c r="C98" s="153">
        <v>28</v>
      </c>
      <c r="D98" s="194" t="s">
        <v>376</v>
      </c>
      <c r="E98" s="147">
        <f>3127358.09-E60-E38</f>
        <v>258870.64000000013</v>
      </c>
    </row>
    <row r="99" spans="1:6" ht="12.75">
      <c r="A99" s="153"/>
      <c r="B99" s="153"/>
      <c r="C99" s="153"/>
      <c r="D99" s="154"/>
      <c r="E99" s="147"/>
      <c r="F99" s="143"/>
    </row>
    <row r="100" spans="1:6" ht="12.75">
      <c r="A100" s="146" t="s">
        <v>138</v>
      </c>
      <c r="B100" s="146" t="s">
        <v>121</v>
      </c>
      <c r="C100" s="146" t="s">
        <v>120</v>
      </c>
      <c r="D100" s="144" t="s">
        <v>167</v>
      </c>
      <c r="E100" s="143"/>
      <c r="F100" s="161">
        <f>SUM(E101:E105)</f>
        <v>307246.93</v>
      </c>
    </row>
    <row r="101" spans="1:8" ht="12.75">
      <c r="A101" s="146"/>
      <c r="B101" s="146"/>
      <c r="C101" s="146">
        <v>81</v>
      </c>
      <c r="D101" s="144" t="s">
        <v>346</v>
      </c>
      <c r="E101" s="147">
        <v>307246.93</v>
      </c>
      <c r="F101" s="143"/>
      <c r="G101" s="143"/>
      <c r="H101" s="143"/>
    </row>
    <row r="102" spans="1:6" ht="12.75">
      <c r="A102" s="153"/>
      <c r="B102" s="153"/>
      <c r="C102" s="153"/>
      <c r="D102" s="194"/>
      <c r="E102" s="147"/>
      <c r="F102" s="143"/>
    </row>
    <row r="103" spans="1:6" ht="12.75">
      <c r="A103" s="153"/>
      <c r="B103" s="153"/>
      <c r="C103" s="153"/>
      <c r="D103" s="154"/>
      <c r="E103" s="147"/>
      <c r="F103" s="143"/>
    </row>
    <row r="104" spans="1:6" ht="12.75">
      <c r="A104" s="153"/>
      <c r="B104" s="153"/>
      <c r="C104" s="153"/>
      <c r="D104" s="154"/>
      <c r="E104" s="147"/>
      <c r="F104" s="143"/>
    </row>
    <row r="105" spans="1:6" ht="12.75">
      <c r="A105" s="153"/>
      <c r="B105" s="153"/>
      <c r="C105" s="153"/>
      <c r="D105" s="154"/>
      <c r="E105" s="147"/>
      <c r="F105" s="143"/>
    </row>
    <row r="106" spans="1:6" ht="12.75">
      <c r="A106" s="153"/>
      <c r="B106" s="153"/>
      <c r="C106" s="153"/>
      <c r="D106" s="154"/>
      <c r="E106" s="147"/>
      <c r="F106" s="143"/>
    </row>
    <row r="107" spans="1:6" ht="12.75">
      <c r="A107" s="146" t="s">
        <v>139</v>
      </c>
      <c r="B107" s="146" t="s">
        <v>121</v>
      </c>
      <c r="C107" s="146" t="s">
        <v>120</v>
      </c>
      <c r="D107" s="144" t="s">
        <v>168</v>
      </c>
      <c r="E107" s="147"/>
      <c r="F107" s="196">
        <f>SUM(E108:E114)</f>
        <v>143610.59999999998</v>
      </c>
    </row>
    <row r="108" spans="1:6" ht="12.75">
      <c r="A108" s="143"/>
      <c r="B108" s="143"/>
      <c r="C108" s="143">
        <v>791</v>
      </c>
      <c r="D108" s="143" t="s">
        <v>351</v>
      </c>
      <c r="E108" s="162">
        <v>3693.26</v>
      </c>
      <c r="F108" s="143"/>
    </row>
    <row r="109" spans="1:6" ht="12.75">
      <c r="A109" s="143"/>
      <c r="B109" s="143"/>
      <c r="C109" s="143">
        <v>792</v>
      </c>
      <c r="D109" s="143" t="s">
        <v>352</v>
      </c>
      <c r="E109" s="162">
        <v>134384.72</v>
      </c>
      <c r="F109" s="143"/>
    </row>
    <row r="110" spans="1:6" ht="12.75">
      <c r="A110" s="143"/>
      <c r="B110" s="143"/>
      <c r="C110" s="143">
        <v>794</v>
      </c>
      <c r="D110" s="143" t="s">
        <v>353</v>
      </c>
      <c r="E110" s="164">
        <v>360.3</v>
      </c>
      <c r="F110" s="143"/>
    </row>
    <row r="111" spans="1:6" ht="12.75">
      <c r="A111" s="143"/>
      <c r="B111" s="143"/>
      <c r="C111" s="143">
        <v>793</v>
      </c>
      <c r="D111" s="143" t="s">
        <v>354</v>
      </c>
      <c r="E111" s="164">
        <v>434.06</v>
      </c>
      <c r="F111" s="143"/>
    </row>
    <row r="112" spans="1:6" ht="12.75">
      <c r="A112" s="143"/>
      <c r="B112" s="143"/>
      <c r="C112" s="143">
        <v>950</v>
      </c>
      <c r="D112" s="143" t="s">
        <v>355</v>
      </c>
      <c r="E112" s="164">
        <v>599.27</v>
      </c>
      <c r="F112" s="143"/>
    </row>
    <row r="113" spans="1:7" ht="12.75">
      <c r="A113" s="143"/>
      <c r="B113" s="143"/>
      <c r="C113" s="143">
        <v>955</v>
      </c>
      <c r="D113" s="143" t="s">
        <v>356</v>
      </c>
      <c r="E113" s="164"/>
      <c r="F113" s="143"/>
      <c r="G113" s="143"/>
    </row>
    <row r="114" spans="1:7" ht="12.75">
      <c r="A114" s="143"/>
      <c r="B114" s="143"/>
      <c r="C114" s="143">
        <v>790</v>
      </c>
      <c r="D114" s="143" t="s">
        <v>357</v>
      </c>
      <c r="E114" s="164">
        <v>4138.99</v>
      </c>
      <c r="F114" s="143"/>
      <c r="G114" s="143"/>
    </row>
    <row r="115" spans="1:7" ht="12.75">
      <c r="A115" s="143"/>
      <c r="B115" s="143"/>
      <c r="C115" s="143"/>
      <c r="D115" s="143"/>
      <c r="E115" s="147"/>
      <c r="F115" s="143"/>
      <c r="G115" s="143"/>
    </row>
    <row r="116" spans="1:7" ht="12.75">
      <c r="A116" s="143"/>
      <c r="B116" s="143"/>
      <c r="C116" s="143"/>
      <c r="D116" s="165" t="s">
        <v>80</v>
      </c>
      <c r="E116" s="163">
        <f>SUM(E32:E115)</f>
        <v>19412668.409999996</v>
      </c>
      <c r="F116" s="163">
        <f>SUM(F32:F115)</f>
        <v>19412668.410000004</v>
      </c>
      <c r="G116" s="163"/>
    </row>
    <row r="118" ht="12.75">
      <c r="E118" s="197">
        <f>19412598.91-E116</f>
        <v>-69.49999999627471</v>
      </c>
    </row>
    <row r="119" ht="12.75">
      <c r="A119" s="59" t="s">
        <v>224</v>
      </c>
    </row>
    <row r="120" ht="12.75">
      <c r="C120" s="59" t="s">
        <v>382</v>
      </c>
    </row>
    <row r="121" spans="5:6" ht="12.75">
      <c r="E121" s="59" t="s">
        <v>350</v>
      </c>
      <c r="F121">
        <v>239066.83</v>
      </c>
    </row>
    <row r="122" spans="5:6" ht="12.75">
      <c r="E122" s="59" t="s">
        <v>383</v>
      </c>
      <c r="F122">
        <v>100866.91</v>
      </c>
    </row>
    <row r="123" spans="5:6" ht="12.75">
      <c r="E123" s="59" t="s">
        <v>384</v>
      </c>
      <c r="F123">
        <v>590168.12</v>
      </c>
    </row>
    <row r="124" s="143" customFormat="1" ht="12.75"/>
    <row r="125" spans="3:6" ht="12.75">
      <c r="C125" s="59" t="s">
        <v>385</v>
      </c>
      <c r="F125">
        <v>651196.18</v>
      </c>
    </row>
  </sheetData>
  <sheetProtection/>
  <mergeCells count="1">
    <mergeCell ref="G96:H9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9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174</v>
      </c>
    </row>
    <row r="2" ht="15.75">
      <c r="A2" s="43"/>
    </row>
    <row r="4" spans="1:13" ht="12.75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172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162" customWidth="1"/>
    <col min="4" max="4" width="24.7109375" style="0" customWidth="1"/>
  </cols>
  <sheetData>
    <row r="1" spans="1:2" ht="18">
      <c r="A1" s="65" t="s">
        <v>53</v>
      </c>
      <c r="B1" s="70">
        <v>7</v>
      </c>
    </row>
    <row r="2" spans="1:2" ht="18">
      <c r="A2" s="9" t="s">
        <v>54</v>
      </c>
      <c r="B2" s="41" t="s">
        <v>280</v>
      </c>
    </row>
    <row r="3" spans="3:4" ht="18">
      <c r="C3" s="186" t="s">
        <v>0</v>
      </c>
      <c r="D3" s="11"/>
    </row>
    <row r="4" ht="15.75">
      <c r="C4" s="187" t="s">
        <v>45</v>
      </c>
    </row>
    <row r="5" ht="15.75">
      <c r="C5" s="188"/>
    </row>
    <row r="6" spans="2:4" ht="12.75">
      <c r="B6" s="58" t="s">
        <v>169</v>
      </c>
      <c r="C6" s="189" t="s">
        <v>171</v>
      </c>
      <c r="D6" s="59"/>
    </row>
    <row r="7" spans="2:4" ht="12.75">
      <c r="B7" s="60" t="s">
        <v>170</v>
      </c>
      <c r="C7" s="190" t="s">
        <v>63</v>
      </c>
      <c r="D7" s="60" t="s">
        <v>66</v>
      </c>
    </row>
    <row r="8" spans="2:4" ht="12.75">
      <c r="B8" s="58" t="s">
        <v>45</v>
      </c>
      <c r="C8" s="190" t="s">
        <v>64</v>
      </c>
      <c r="D8" s="60" t="s">
        <v>45</v>
      </c>
    </row>
    <row r="9" ht="12.75">
      <c r="A9" s="19" t="s">
        <v>1</v>
      </c>
    </row>
    <row r="10" spans="1:4" ht="12.75">
      <c r="A10" s="174" t="s">
        <v>2</v>
      </c>
      <c r="B10" s="120">
        <f>+'rev wksht'!D1</f>
        <v>1333391.72</v>
      </c>
      <c r="D10" s="5">
        <f aca="true" t="shared" si="0" ref="D10:D18">+B10+C10</f>
        <v>1333391.72</v>
      </c>
    </row>
    <row r="11" spans="1:4" ht="12.75">
      <c r="A11" s="170" t="s">
        <v>47</v>
      </c>
      <c r="B11" s="175">
        <f>+'rev wksht'!D9</f>
        <v>6332047.350000001</v>
      </c>
      <c r="D11" s="5">
        <f t="shared" si="0"/>
        <v>6332047.350000001</v>
      </c>
    </row>
    <row r="12" spans="1:4" ht="12.75">
      <c r="A12" s="176" t="s">
        <v>46</v>
      </c>
      <c r="B12" s="177">
        <f>+'rev wksht'!D15</f>
        <v>865.54</v>
      </c>
      <c r="D12" s="5">
        <f t="shared" si="0"/>
        <v>865.54</v>
      </c>
    </row>
    <row r="13" spans="1:4" ht="12.75">
      <c r="A13" s="171" t="s">
        <v>5</v>
      </c>
      <c r="B13" s="179">
        <f>+'rev wksht'!D20</f>
        <v>9976.72</v>
      </c>
      <c r="D13" s="5">
        <f t="shared" si="0"/>
        <v>9976.72</v>
      </c>
    </row>
    <row r="14" spans="1:4" ht="12.75">
      <c r="A14" s="172" t="s">
        <v>3</v>
      </c>
      <c r="B14" s="178">
        <f>+'rev wksht'!D23</f>
        <v>1236881.53</v>
      </c>
      <c r="D14" s="5">
        <f t="shared" si="0"/>
        <v>1236881.53</v>
      </c>
    </row>
    <row r="15" spans="1:4" ht="12.75">
      <c r="A15" s="2" t="s">
        <v>11</v>
      </c>
      <c r="B15" s="13">
        <v>0</v>
      </c>
      <c r="D15" s="5">
        <f t="shared" si="0"/>
        <v>0</v>
      </c>
    </row>
    <row r="16" spans="1:4" ht="12.75">
      <c r="A16" s="173" t="s">
        <v>48</v>
      </c>
      <c r="B16" s="180">
        <f>+'rev wksht'!D36</f>
        <v>554195.5</v>
      </c>
      <c r="D16" s="5">
        <f t="shared" si="0"/>
        <v>554195.5</v>
      </c>
    </row>
    <row r="17" spans="1:4" ht="12.75">
      <c r="A17" s="2" t="s">
        <v>29</v>
      </c>
      <c r="B17" s="12">
        <v>17820.15</v>
      </c>
      <c r="D17" s="5">
        <f t="shared" si="0"/>
        <v>17820.15</v>
      </c>
    </row>
    <row r="18" spans="1:4" ht="12.75">
      <c r="A18" s="2" t="s">
        <v>30</v>
      </c>
      <c r="B18" s="185">
        <v>0</v>
      </c>
      <c r="D18" s="17">
        <f t="shared" si="0"/>
        <v>0</v>
      </c>
    </row>
    <row r="19" spans="1:4" ht="12.75">
      <c r="A19" s="4" t="s">
        <v>35</v>
      </c>
      <c r="B19" s="12">
        <f>SUM(B10:B18)</f>
        <v>9485178.51</v>
      </c>
      <c r="D19" s="5">
        <f>SUM(D10:D18)</f>
        <v>9485178.51</v>
      </c>
    </row>
    <row r="20" ht="12.75"/>
    <row r="21" ht="12.75">
      <c r="A21" s="19" t="s">
        <v>4</v>
      </c>
    </row>
    <row r="22" spans="1:4" ht="12.75">
      <c r="A22" s="2" t="s">
        <v>6</v>
      </c>
      <c r="B22" s="12">
        <f>3416406.8-B23</f>
        <v>648013.1499999999</v>
      </c>
      <c r="D22" s="5">
        <f>+B22+C22</f>
        <v>648013.1499999999</v>
      </c>
    </row>
    <row r="23" spans="1:4" ht="12.75">
      <c r="A23" s="2" t="s">
        <v>7</v>
      </c>
      <c r="B23" s="14">
        <f>1720232+1048161.65</f>
        <v>2768393.65</v>
      </c>
      <c r="D23" s="17">
        <f>+B23+C23</f>
        <v>2768393.65</v>
      </c>
    </row>
    <row r="24" spans="1:4" ht="12.75">
      <c r="A24" s="4" t="s">
        <v>36</v>
      </c>
      <c r="B24" s="5">
        <f>SUM(B22:B23)</f>
        <v>3416406.8</v>
      </c>
      <c r="D24" s="5">
        <f>SUM(D22:D23)</f>
        <v>3416406.8</v>
      </c>
    </row>
    <row r="25" ht="12.75"/>
    <row r="26" ht="12.75">
      <c r="A26" s="19" t="s">
        <v>8</v>
      </c>
    </row>
    <row r="27" spans="1:4" ht="12.75">
      <c r="A27" s="2" t="s">
        <v>31</v>
      </c>
      <c r="B27" s="12">
        <v>342665.96</v>
      </c>
      <c r="D27" s="5">
        <f>+B27+C27</f>
        <v>342665.96</v>
      </c>
    </row>
    <row r="28" spans="1:4" ht="12.75">
      <c r="A28" s="2" t="s">
        <v>32</v>
      </c>
      <c r="B28" s="12">
        <v>0</v>
      </c>
      <c r="D28" s="5">
        <f>+B28+C28</f>
        <v>0</v>
      </c>
    </row>
    <row r="29" spans="1:4" ht="12.75">
      <c r="A29" s="2" t="s">
        <v>9</v>
      </c>
      <c r="B29" s="12">
        <v>24125</v>
      </c>
      <c r="D29" s="5">
        <f>+B29+C29</f>
        <v>24125</v>
      </c>
    </row>
    <row r="30" spans="1:4" ht="12.75">
      <c r="A30" s="2" t="s">
        <v>13</v>
      </c>
      <c r="B30" s="14">
        <v>1359555</v>
      </c>
      <c r="D30" s="17">
        <f>+B30+C30</f>
        <v>1359555</v>
      </c>
    </row>
    <row r="31" spans="1:4" ht="12.75">
      <c r="A31" s="4" t="s">
        <v>37</v>
      </c>
      <c r="B31" s="5">
        <f>SUM(B27:B30)</f>
        <v>1726345.96</v>
      </c>
      <c r="D31" s="5">
        <f>SUM(D27:D30)</f>
        <v>1726345.96</v>
      </c>
    </row>
    <row r="32" ht="12.75"/>
    <row r="33" ht="12.75">
      <c r="A33" s="19" t="s">
        <v>10</v>
      </c>
    </row>
    <row r="34" spans="1:4" ht="12.75">
      <c r="A34" s="2" t="s">
        <v>12</v>
      </c>
      <c r="B34" s="5">
        <v>2644703.82</v>
      </c>
      <c r="D34" s="5">
        <f>+B34+C34</f>
        <v>2644703.82</v>
      </c>
    </row>
    <row r="35" spans="1:4" ht="12.75">
      <c r="A35" s="2" t="s">
        <v>49</v>
      </c>
      <c r="B35" s="12">
        <f>4954709.11-B34</f>
        <v>2310005.2900000005</v>
      </c>
      <c r="D35" s="5">
        <f>+B35+C35</f>
        <v>2310005.2900000005</v>
      </c>
    </row>
    <row r="36" spans="1:4" ht="12.75">
      <c r="A36" s="2" t="s">
        <v>33</v>
      </c>
      <c r="B36" s="14">
        <v>0</v>
      </c>
      <c r="D36" s="17">
        <f>+B36+C36</f>
        <v>0</v>
      </c>
    </row>
    <row r="37" spans="1:4" ht="12.75">
      <c r="A37" s="4" t="s">
        <v>38</v>
      </c>
      <c r="B37" s="5">
        <f>SUM(B34:B36)</f>
        <v>4954709.11</v>
      </c>
      <c r="D37" s="5">
        <f>SUM(D34:D36)</f>
        <v>4954709.11</v>
      </c>
    </row>
    <row r="38" ht="12.75"/>
    <row r="39" spans="1:4" ht="12.75">
      <c r="A39" s="7" t="s">
        <v>34</v>
      </c>
      <c r="B39" s="8">
        <f>+B19+B24+B31+B37</f>
        <v>19582640.38</v>
      </c>
      <c r="C39" s="191"/>
      <c r="D39" s="8">
        <f>+D19+D24+D31+D37</f>
        <v>19582640.38</v>
      </c>
    </row>
    <row r="40" ht="12.75"/>
    <row r="41" ht="12.75"/>
    <row r="42" ht="12.75"/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0.57421875" style="0" bestFit="1" customWidth="1"/>
    <col min="2" max="2" width="41.57421875" style="0" bestFit="1" customWidth="1"/>
    <col min="3" max="4" width="12.8515625" style="0" bestFit="1" customWidth="1"/>
    <col min="6" max="6" width="12.8515625" style="0" bestFit="1" customWidth="1"/>
  </cols>
  <sheetData>
    <row r="1" spans="1:6" ht="12.75">
      <c r="A1" s="97" t="s">
        <v>2</v>
      </c>
      <c r="B1" s="98"/>
      <c r="C1" s="96"/>
      <c r="D1" s="96">
        <f>SUM(C2:C7)</f>
        <v>1333391.72</v>
      </c>
      <c r="E1" s="94"/>
      <c r="F1" s="94">
        <v>8845138.43</v>
      </c>
    </row>
    <row r="2" spans="1:6" ht="12.75">
      <c r="A2" s="99">
        <v>100</v>
      </c>
      <c r="B2" s="98" t="s">
        <v>282</v>
      </c>
      <c r="C2" s="96">
        <v>168173.45</v>
      </c>
      <c r="D2" s="96"/>
      <c r="E2" s="92"/>
      <c r="F2" s="92"/>
    </row>
    <row r="3" spans="1:6" ht="12.75">
      <c r="A3" s="99" t="s">
        <v>283</v>
      </c>
      <c r="B3" s="98" t="s">
        <v>284</v>
      </c>
      <c r="C3" s="96">
        <f>1071837.74+110658.34</f>
        <v>1182496.08</v>
      </c>
      <c r="D3" s="96"/>
      <c r="E3" s="92"/>
      <c r="F3" s="92"/>
    </row>
    <row r="4" spans="1:6" ht="12.75">
      <c r="A4" s="99">
        <v>230</v>
      </c>
      <c r="B4" s="98" t="s">
        <v>285</v>
      </c>
      <c r="C4" s="96">
        <f>-C40</f>
        <v>-17277.81</v>
      </c>
      <c r="D4" s="96"/>
      <c r="E4" s="92"/>
      <c r="F4" s="92"/>
    </row>
    <row r="5" spans="1:6" ht="12.75">
      <c r="A5" s="98"/>
      <c r="B5" s="98" t="s">
        <v>286</v>
      </c>
      <c r="C5" s="96"/>
      <c r="D5" s="96"/>
      <c r="E5" s="92"/>
      <c r="F5" s="92"/>
    </row>
    <row r="6" spans="1:6" ht="12.75">
      <c r="A6" s="96" t="s">
        <v>287</v>
      </c>
      <c r="B6" s="96"/>
      <c r="C6" s="96"/>
      <c r="D6" s="96"/>
      <c r="E6" s="92"/>
      <c r="F6" s="92"/>
    </row>
    <row r="7" spans="1:6" ht="12.75">
      <c r="A7" s="96"/>
      <c r="B7" s="96" t="s">
        <v>288</v>
      </c>
      <c r="C7" s="96"/>
      <c r="D7" s="96"/>
      <c r="E7" s="92"/>
      <c r="F7" s="92"/>
    </row>
    <row r="8" spans="1:6" ht="12.75">
      <c r="A8" s="95"/>
      <c r="B8" s="92"/>
      <c r="C8" s="92"/>
      <c r="D8" s="92"/>
      <c r="E8" s="92"/>
      <c r="F8" s="92"/>
    </row>
    <row r="9" spans="1:6" ht="12.75">
      <c r="A9" s="100" t="s">
        <v>47</v>
      </c>
      <c r="B9" s="101"/>
      <c r="C9" s="102"/>
      <c r="D9" s="102">
        <f>SUM(C9:C13)</f>
        <v>6332047.350000001</v>
      </c>
      <c r="E9" s="92"/>
      <c r="F9" s="92"/>
    </row>
    <row r="10" spans="1:6" ht="12.75">
      <c r="A10" s="103">
        <v>248</v>
      </c>
      <c r="B10" s="101" t="s">
        <v>289</v>
      </c>
      <c r="C10" s="102">
        <f>6379936.13-C21</f>
        <v>6369959.41</v>
      </c>
      <c r="D10" s="102"/>
      <c r="E10" s="92"/>
      <c r="F10" s="92"/>
    </row>
    <row r="11" spans="1:6" ht="12.75">
      <c r="A11" s="169" t="s">
        <v>358</v>
      </c>
      <c r="B11" s="168" t="s">
        <v>359</v>
      </c>
      <c r="C11" s="102">
        <v>510</v>
      </c>
      <c r="D11" s="102"/>
      <c r="E11" s="92"/>
      <c r="F11" s="92"/>
    </row>
    <row r="12" spans="1:6" ht="12.75">
      <c r="A12" s="102" t="s">
        <v>287</v>
      </c>
      <c r="B12" s="102"/>
      <c r="C12" s="102">
        <v>-38422.06</v>
      </c>
      <c r="D12" s="102"/>
      <c r="E12" s="92"/>
      <c r="F12" s="92"/>
    </row>
    <row r="13" spans="1:6" ht="12.75">
      <c r="A13" s="102"/>
      <c r="B13" s="102" t="s">
        <v>288</v>
      </c>
      <c r="C13" s="102"/>
      <c r="D13" s="102"/>
      <c r="E13" s="92"/>
      <c r="F13" s="92"/>
    </row>
    <row r="14" spans="1:6" ht="12.75">
      <c r="A14" s="95"/>
      <c r="B14" s="92"/>
      <c r="C14" s="92"/>
      <c r="D14" s="92"/>
      <c r="E14" s="92"/>
      <c r="F14" s="92"/>
    </row>
    <row r="15" spans="1:6" ht="12.75">
      <c r="A15" s="104" t="s">
        <v>46</v>
      </c>
      <c r="B15" s="105"/>
      <c r="C15" s="106"/>
      <c r="D15" s="106">
        <f>+C16</f>
        <v>865.54</v>
      </c>
      <c r="E15" s="92"/>
      <c r="F15" s="92"/>
    </row>
    <row r="16" spans="1:6" ht="12.75">
      <c r="A16" s="107">
        <v>247</v>
      </c>
      <c r="B16" s="105" t="s">
        <v>290</v>
      </c>
      <c r="C16" s="106">
        <v>865.54</v>
      </c>
      <c r="D16" s="106"/>
      <c r="E16" s="92"/>
      <c r="F16" s="92"/>
    </row>
    <row r="17" spans="1:4" ht="12.75">
      <c r="A17" s="93"/>
      <c r="B17" s="92"/>
      <c r="C17" s="92"/>
      <c r="D17" s="92"/>
    </row>
    <row r="18" spans="1:4" ht="12.75">
      <c r="A18" s="93"/>
      <c r="B18" s="92"/>
      <c r="C18" s="92"/>
      <c r="D18" s="92"/>
    </row>
    <row r="19" spans="1:4" ht="12.75">
      <c r="A19" s="93"/>
      <c r="B19" s="92"/>
      <c r="C19" s="92"/>
      <c r="D19" s="92"/>
    </row>
    <row r="20" spans="1:6" ht="12.75">
      <c r="A20" s="108" t="s">
        <v>5</v>
      </c>
      <c r="B20" s="109"/>
      <c r="C20" s="110"/>
      <c r="D20" s="110">
        <f>+C21</f>
        <v>9976.72</v>
      </c>
      <c r="F20" s="181" t="s">
        <v>360</v>
      </c>
    </row>
    <row r="21" spans="1:6" ht="12.75">
      <c r="A21" s="111"/>
      <c r="B21" s="109" t="s">
        <v>291</v>
      </c>
      <c r="C21" s="110">
        <f>+Expenses!D10</f>
        <v>9976.72</v>
      </c>
      <c r="D21" s="110"/>
      <c r="F21" s="181" t="s">
        <v>361</v>
      </c>
    </row>
    <row r="22" spans="1:4" ht="12.75">
      <c r="A22" s="95"/>
      <c r="B22" s="92"/>
      <c r="C22" s="92"/>
      <c r="D22" s="92"/>
    </row>
    <row r="23" spans="1:4" ht="12.75">
      <c r="A23" s="112" t="s">
        <v>3</v>
      </c>
      <c r="B23" s="113"/>
      <c r="C23" s="114"/>
      <c r="D23" s="114">
        <f>SUM(C23:C34)</f>
        <v>1236881.53</v>
      </c>
    </row>
    <row r="24" spans="1:4" ht="12.75">
      <c r="A24" s="115">
        <v>262</v>
      </c>
      <c r="B24" s="113" t="s">
        <v>292</v>
      </c>
      <c r="C24" s="114">
        <v>219816.45</v>
      </c>
      <c r="D24" s="114"/>
    </row>
    <row r="25" spans="1:4" ht="12.75">
      <c r="A25" s="115">
        <v>242</v>
      </c>
      <c r="B25" s="113" t="s">
        <v>293</v>
      </c>
      <c r="C25" s="114">
        <v>269331.55</v>
      </c>
      <c r="D25" s="114"/>
    </row>
    <row r="26" spans="1:4" ht="12.75">
      <c r="A26" s="115">
        <v>240</v>
      </c>
      <c r="B26" s="113" t="s">
        <v>294</v>
      </c>
      <c r="C26" s="114"/>
      <c r="D26" s="114"/>
    </row>
    <row r="27" spans="1:4" ht="12.75">
      <c r="A27" s="115">
        <v>263</v>
      </c>
      <c r="B27" s="113" t="s">
        <v>295</v>
      </c>
      <c r="C27" s="114">
        <v>14398.27</v>
      </c>
      <c r="D27" s="114"/>
    </row>
    <row r="28" spans="1:4" ht="12.75">
      <c r="A28" s="199" t="s">
        <v>387</v>
      </c>
      <c r="B28" s="113" t="s">
        <v>296</v>
      </c>
      <c r="C28" s="114">
        <v>235851.15</v>
      </c>
      <c r="D28" s="114"/>
    </row>
    <row r="29" spans="1:4" ht="12.75">
      <c r="A29" s="115">
        <v>292</v>
      </c>
      <c r="B29" s="113" t="s">
        <v>297</v>
      </c>
      <c r="C29" s="114">
        <v>81700</v>
      </c>
      <c r="D29" s="114"/>
    </row>
    <row r="30" spans="1:4" ht="12.75">
      <c r="A30" s="115">
        <v>294</v>
      </c>
      <c r="B30" s="113" t="s">
        <v>298</v>
      </c>
      <c r="C30" s="114">
        <v>5600</v>
      </c>
      <c r="D30" s="114"/>
    </row>
    <row r="31" spans="1:4" ht="12.75">
      <c r="A31" s="115" t="s">
        <v>299</v>
      </c>
      <c r="B31" s="113" t="s">
        <v>300</v>
      </c>
      <c r="C31" s="114">
        <f>79201.5+330727.61</f>
        <v>409929.11</v>
      </c>
      <c r="D31" s="114"/>
    </row>
    <row r="32" spans="1:4" ht="12.75">
      <c r="A32" s="115">
        <v>860</v>
      </c>
      <c r="B32" s="113" t="s">
        <v>301</v>
      </c>
      <c r="C32" s="114">
        <v>255</v>
      </c>
      <c r="D32" s="114"/>
    </row>
    <row r="33" spans="1:4" ht="12.75">
      <c r="A33" s="115">
        <v>299</v>
      </c>
      <c r="B33" s="113" t="s">
        <v>302</v>
      </c>
      <c r="C33" s="114"/>
      <c r="D33" s="114"/>
    </row>
    <row r="34" spans="1:4" ht="12.75">
      <c r="A34" s="113"/>
      <c r="B34" s="113" t="s">
        <v>286</v>
      </c>
      <c r="C34" s="114"/>
      <c r="D34" s="114"/>
    </row>
    <row r="35" spans="1:4" ht="12.75">
      <c r="A35" s="95"/>
      <c r="B35" s="92"/>
      <c r="C35" s="92"/>
      <c r="D35" s="92"/>
    </row>
    <row r="36" spans="1:4" ht="12.75">
      <c r="A36" s="116" t="s">
        <v>48</v>
      </c>
      <c r="B36" s="117"/>
      <c r="C36" s="118"/>
      <c r="D36" s="118">
        <f>SUM(C37:C40)</f>
        <v>554195.5</v>
      </c>
    </row>
    <row r="37" spans="1:4" ht="12.75">
      <c r="A37" s="119">
        <v>249</v>
      </c>
      <c r="B37" s="117" t="s">
        <v>303</v>
      </c>
      <c r="C37" s="118">
        <v>477616.72</v>
      </c>
      <c r="D37" s="118"/>
    </row>
    <row r="38" spans="1:4" ht="12.75">
      <c r="A38" s="119">
        <v>291</v>
      </c>
      <c r="B38" s="117" t="s">
        <v>304</v>
      </c>
      <c r="C38" s="118">
        <v>54404.7</v>
      </c>
      <c r="D38" s="118"/>
    </row>
    <row r="39" spans="1:4" ht="12.75">
      <c r="A39" s="119">
        <v>970</v>
      </c>
      <c r="B39" s="117" t="s">
        <v>305</v>
      </c>
      <c r="C39" s="118">
        <v>4896.27</v>
      </c>
      <c r="D39" s="118"/>
    </row>
    <row r="40" spans="1:6" ht="12.75">
      <c r="A40" s="119">
        <v>230</v>
      </c>
      <c r="B40" s="117" t="s">
        <v>285</v>
      </c>
      <c r="C40" s="96">
        <f>20843.53-5700.76+2279.73-50-94.69</f>
        <v>17277.81</v>
      </c>
      <c r="D40" s="118"/>
      <c r="F40" s="181" t="s">
        <v>362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5" t="s">
        <v>53</v>
      </c>
      <c r="B1" s="68">
        <v>7</v>
      </c>
    </row>
    <row r="2" spans="1:2" ht="18">
      <c r="A2" s="9" t="s">
        <v>54</v>
      </c>
      <c r="B2" s="41" t="s">
        <v>280</v>
      </c>
    </row>
    <row r="3" spans="3:10" ht="18">
      <c r="C3" s="84" t="s">
        <v>0</v>
      </c>
      <c r="D3" s="6"/>
      <c r="E3" s="6"/>
      <c r="F3" s="6"/>
      <c r="G3" s="6"/>
      <c r="H3" s="6"/>
      <c r="J3" s="10"/>
    </row>
    <row r="4" ht="15.75">
      <c r="C4" s="79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80"/>
      <c r="C8" s="81" t="s">
        <v>215</v>
      </c>
      <c r="D8" s="81" t="s">
        <v>216</v>
      </c>
      <c r="E8" s="81" t="s">
        <v>217</v>
      </c>
      <c r="F8" s="81" t="s">
        <v>218</v>
      </c>
      <c r="G8" s="80"/>
      <c r="H8" s="80"/>
      <c r="I8" s="60" t="s">
        <v>222</v>
      </c>
      <c r="J8" s="60" t="s">
        <v>224</v>
      </c>
      <c r="K8" s="60" t="s">
        <v>222</v>
      </c>
    </row>
    <row r="9" spans="1:8" ht="14.25">
      <c r="A9" s="82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6">
        <v>9976.72</v>
      </c>
      <c r="E10" s="55"/>
      <c r="F10" s="55"/>
      <c r="G10" s="55"/>
      <c r="H10" s="55"/>
      <c r="I10" s="5">
        <f>SUM(B10:H10)</f>
        <v>9976.72</v>
      </c>
      <c r="J10" s="75"/>
      <c r="K10" s="5">
        <f>+I10+J10</f>
        <v>9976.72</v>
      </c>
    </row>
    <row r="11" spans="1:11" ht="12.75">
      <c r="A11" s="2" t="s">
        <v>25</v>
      </c>
      <c r="B11" s="77">
        <f>1874526.83+32252.85+4222977.07-57921</f>
        <v>6071835.75</v>
      </c>
      <c r="C11" s="77">
        <f>591570.15+2638.42+1518728.66-17320.31</f>
        <v>2095616.92</v>
      </c>
      <c r="D11" s="77">
        <f>+'EXP wksht'!C9-D10</f>
        <v>583903.3</v>
      </c>
      <c r="E11" s="77">
        <f>+'EXP wksht'!D9-E10</f>
        <v>226887.39</v>
      </c>
      <c r="F11" s="77">
        <v>110606.87</v>
      </c>
      <c r="G11" s="77">
        <v>0</v>
      </c>
      <c r="H11" s="77">
        <f>11770.48+3009.45+69.5+'EXP wksht'!I27+'EXP wksht'!I31+69.5</f>
        <v>1141275.78</v>
      </c>
      <c r="I11" s="17">
        <f>SUM(B11:H11)</f>
        <v>10230126.01</v>
      </c>
      <c r="J11" s="75"/>
      <c r="K11" s="17">
        <f>+I11+J11</f>
        <v>10230126.01</v>
      </c>
    </row>
    <row r="12" spans="1:11" ht="12.75">
      <c r="A12" s="4" t="s">
        <v>26</v>
      </c>
      <c r="B12" s="5">
        <f>SUM(B10:B11)</f>
        <v>6071835.75</v>
      </c>
      <c r="C12" s="5">
        <f aca="true" t="shared" si="0" ref="C12:H12">SUM(C10:C11)</f>
        <v>2095616.92</v>
      </c>
      <c r="D12" s="5">
        <f t="shared" si="0"/>
        <v>593880.02</v>
      </c>
      <c r="E12" s="5">
        <f t="shared" si="0"/>
        <v>226887.39</v>
      </c>
      <c r="F12" s="5">
        <f t="shared" si="0"/>
        <v>110606.87</v>
      </c>
      <c r="G12" s="5">
        <f t="shared" si="0"/>
        <v>0</v>
      </c>
      <c r="H12" s="5">
        <f t="shared" si="0"/>
        <v>1141275.78</v>
      </c>
      <c r="I12" s="5">
        <f>SUM(B12:H12)</f>
        <v>10240102.729999999</v>
      </c>
      <c r="J12" s="75"/>
      <c r="K12" s="5">
        <f>SUM(K10:K11)</f>
        <v>10240102.73</v>
      </c>
    </row>
    <row r="13" spans="1:10" ht="14.25">
      <c r="A13" s="82" t="s">
        <v>15</v>
      </c>
      <c r="J13" s="75"/>
    </row>
    <row r="14" spans="1:11" ht="12.75">
      <c r="A14" s="2" t="s">
        <v>41</v>
      </c>
      <c r="B14" s="76">
        <f>894057.69+57921</f>
        <v>951978.69</v>
      </c>
      <c r="C14" s="76">
        <f>310362.97+17320.31</f>
        <v>327683.27999999997</v>
      </c>
      <c r="D14" s="76">
        <f>+'EXP wksht'!C17</f>
        <v>198720.97</v>
      </c>
      <c r="E14" s="76">
        <f>+'EXP wksht'!D17</f>
        <v>9055.05</v>
      </c>
      <c r="F14" s="76">
        <v>210</v>
      </c>
      <c r="G14" s="76">
        <v>0</v>
      </c>
      <c r="H14" s="76">
        <f>3876.2+'EXP wksht'!I28</f>
        <v>207287.61000000002</v>
      </c>
      <c r="I14" s="5">
        <f aca="true" t="shared" si="1" ref="I14:I20">SUM(B14:H14)</f>
        <v>1694935.6</v>
      </c>
      <c r="J14" s="75"/>
      <c r="K14" s="5">
        <f aca="true" t="shared" si="2" ref="K14:K19">+I14+J14</f>
        <v>1694935.6</v>
      </c>
    </row>
    <row r="15" spans="1:11" ht="12.75">
      <c r="A15" s="2" t="s">
        <v>42</v>
      </c>
      <c r="B15" s="76">
        <v>1655040.32</v>
      </c>
      <c r="C15" s="76">
        <v>593287.14</v>
      </c>
      <c r="D15" s="76">
        <f>+'EXP wksht'!C23</f>
        <v>1048628.35</v>
      </c>
      <c r="E15" s="76">
        <f>+'EXP wksht'!D23</f>
        <v>216652.84999999998</v>
      </c>
      <c r="F15" s="76">
        <f>94960.69+20</f>
        <v>94980.69</v>
      </c>
      <c r="G15" s="76">
        <v>0</v>
      </c>
      <c r="H15" s="76">
        <f>42388.3+'EXP wksht'!I29</f>
        <v>72549.85</v>
      </c>
      <c r="I15" s="72">
        <f t="shared" si="1"/>
        <v>3681139.2</v>
      </c>
      <c r="J15" s="75"/>
      <c r="K15" s="5">
        <f t="shared" si="2"/>
        <v>3681139.2</v>
      </c>
    </row>
    <row r="16" spans="1:11" ht="12.75">
      <c r="A16" s="2" t="s">
        <v>16</v>
      </c>
      <c r="B16" s="76">
        <v>179409.31</v>
      </c>
      <c r="C16" s="76">
        <v>64862.82</v>
      </c>
      <c r="D16" s="76">
        <f>+'EXP wksht'!C29</f>
        <v>45458.17</v>
      </c>
      <c r="E16" s="76">
        <f>+'EXP wksht'!D29</f>
        <v>8595.94</v>
      </c>
      <c r="F16" s="76">
        <v>2000</v>
      </c>
      <c r="G16" s="76">
        <v>0</v>
      </c>
      <c r="H16" s="76">
        <v>15446.58</v>
      </c>
      <c r="I16" s="72">
        <f t="shared" si="1"/>
        <v>315772.82</v>
      </c>
      <c r="J16" s="75"/>
      <c r="K16" s="5">
        <f t="shared" si="2"/>
        <v>315772.82</v>
      </c>
    </row>
    <row r="17" spans="1:11" ht="12.75">
      <c r="A17" s="2" t="s">
        <v>52</v>
      </c>
      <c r="B17" s="76">
        <f>254210.93-B18</f>
        <v>254210.93</v>
      </c>
      <c r="C17" s="76">
        <f>145627.65-C18</f>
        <v>145627.65</v>
      </c>
      <c r="D17" s="76">
        <f>+'EXP wksht'!C37</f>
        <v>111696.57999999999</v>
      </c>
      <c r="E17" s="76">
        <f>+'EXP wksht'!D37</f>
        <v>52712.49</v>
      </c>
      <c r="F17" s="76">
        <f>42456.73-F18</f>
        <v>42456.73</v>
      </c>
      <c r="G17" s="76">
        <v>0</v>
      </c>
      <c r="H17" s="76">
        <f>18306.41-H18</f>
        <v>17597.91</v>
      </c>
      <c r="I17" s="72">
        <f t="shared" si="1"/>
        <v>624302.2899999999</v>
      </c>
      <c r="J17" s="75"/>
      <c r="K17" s="5">
        <f t="shared" si="2"/>
        <v>624302.2899999999</v>
      </c>
    </row>
    <row r="18" spans="1:11" ht="12.75">
      <c r="A18" s="2" t="s">
        <v>39</v>
      </c>
      <c r="B18" s="76">
        <v>0</v>
      </c>
      <c r="C18" s="76">
        <v>0</v>
      </c>
      <c r="D18" s="76">
        <v>200326.77</v>
      </c>
      <c r="E18" s="76">
        <v>0</v>
      </c>
      <c r="F18" s="76">
        <v>0</v>
      </c>
      <c r="G18" s="76">
        <v>0</v>
      </c>
      <c r="H18" s="76">
        <f>+'EXP wksht'!I30</f>
        <v>708.5</v>
      </c>
      <c r="I18" s="72">
        <f t="shared" si="1"/>
        <v>201035.27</v>
      </c>
      <c r="J18" s="75"/>
      <c r="K18" s="5">
        <f t="shared" si="2"/>
        <v>201035.27</v>
      </c>
    </row>
    <row r="19" spans="1:11" ht="12.75">
      <c r="A19" s="2" t="s">
        <v>40</v>
      </c>
      <c r="B19" s="77">
        <v>465458.07</v>
      </c>
      <c r="C19" s="77">
        <v>199275.41</v>
      </c>
      <c r="D19" s="77">
        <f>+'EXP wksht'!C44</f>
        <v>519775.94000000006</v>
      </c>
      <c r="E19" s="77">
        <f>+'EXP wksht'!D44</f>
        <v>34420.45</v>
      </c>
      <c r="F19" s="77">
        <v>44642.41</v>
      </c>
      <c r="G19" s="77">
        <v>0</v>
      </c>
      <c r="H19" s="77">
        <f>7993.36+49191.95+912.42+318.77</f>
        <v>58416.49999999999</v>
      </c>
      <c r="I19" s="17">
        <f t="shared" si="1"/>
        <v>1321988.7799999998</v>
      </c>
      <c r="J19" s="75"/>
      <c r="K19" s="17">
        <f t="shared" si="2"/>
        <v>1321988.7799999998</v>
      </c>
    </row>
    <row r="20" spans="1:11" ht="12.75">
      <c r="A20" s="4" t="s">
        <v>17</v>
      </c>
      <c r="B20" s="5">
        <f aca="true" t="shared" si="3" ref="B20:H20">SUM(B14:B19)</f>
        <v>3506097.32</v>
      </c>
      <c r="C20" s="5">
        <f t="shared" si="3"/>
        <v>1330736.2999999998</v>
      </c>
      <c r="D20" s="5">
        <f t="shared" si="3"/>
        <v>2124606.7800000003</v>
      </c>
      <c r="E20" s="5">
        <f t="shared" si="3"/>
        <v>321436.77999999997</v>
      </c>
      <c r="F20" s="5">
        <f t="shared" si="3"/>
        <v>184289.83000000002</v>
      </c>
      <c r="G20" s="5">
        <f t="shared" si="3"/>
        <v>0</v>
      </c>
      <c r="H20" s="5">
        <f t="shared" si="3"/>
        <v>372006.95</v>
      </c>
      <c r="I20" s="5">
        <f t="shared" si="1"/>
        <v>7839173.96</v>
      </c>
      <c r="J20" s="75"/>
      <c r="K20" s="5">
        <f>SUM(K14:K19)</f>
        <v>7839173.960000001</v>
      </c>
    </row>
    <row r="21" spans="8:10" ht="12.75">
      <c r="H21" s="182"/>
      <c r="J21" s="75"/>
    </row>
    <row r="22" spans="1:10" ht="14.25">
      <c r="A22" s="82" t="s">
        <v>18</v>
      </c>
      <c r="J22" s="75"/>
    </row>
    <row r="23" spans="1:11" ht="12.75">
      <c r="A23" s="2" t="s">
        <v>28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2">
        <f>SUM(B23:H23)</f>
        <v>0</v>
      </c>
      <c r="J23" s="75"/>
      <c r="K23" s="5">
        <f>+I23+J23</f>
        <v>0</v>
      </c>
    </row>
    <row r="24" spans="1:11" ht="12.75">
      <c r="A24" s="2" t="s">
        <v>219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2">
        <f>SUM(B24:H24)</f>
        <v>0</v>
      </c>
      <c r="J24" s="75"/>
      <c r="K24" s="5">
        <f>+I24+J24</f>
        <v>0</v>
      </c>
    </row>
    <row r="25" spans="1:11" ht="12.75">
      <c r="A25" s="2" t="s">
        <v>19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17">
        <f>SUM(B25:H25)</f>
        <v>0</v>
      </c>
      <c r="J25" s="75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5"/>
      <c r="K26" s="5">
        <f>SUM(K23:K25)</f>
        <v>0</v>
      </c>
    </row>
    <row r="27" spans="3:10" ht="12.75">
      <c r="C27" s="5"/>
      <c r="J27" s="75"/>
    </row>
    <row r="28" spans="1:10" ht="14.25">
      <c r="A28" s="82" t="s">
        <v>21</v>
      </c>
      <c r="B28" s="12"/>
      <c r="C28" s="12"/>
      <c r="D28" s="12"/>
      <c r="E28" s="12"/>
      <c r="F28" s="12"/>
      <c r="G28" s="12"/>
      <c r="H28" s="12"/>
      <c r="J28" s="75"/>
    </row>
    <row r="29" spans="1:11" ht="12.75">
      <c r="A29" s="2" t="s">
        <v>22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5">
        <f>SUM(B29:H29)</f>
        <v>0</v>
      </c>
      <c r="J29" s="75"/>
      <c r="K29" s="5">
        <f>+I29+J29</f>
        <v>0</v>
      </c>
    </row>
    <row r="30" spans="1:11" ht="12.75">
      <c r="A30" s="2" t="s">
        <v>23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5">
        <f>SUM(B30:H30)</f>
        <v>0</v>
      </c>
      <c r="J30" s="75"/>
      <c r="K30" s="5">
        <f>+I30+J30</f>
        <v>0</v>
      </c>
    </row>
    <row r="31" spans="1:11" ht="12.75">
      <c r="A31" s="2" t="s">
        <v>24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/>
      <c r="I31" s="17">
        <f>SUM(B31:H31)</f>
        <v>0</v>
      </c>
      <c r="J31" s="75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5"/>
      <c r="K32" s="5">
        <f>SUM(K29:K31)</f>
        <v>0</v>
      </c>
    </row>
    <row r="33" ht="12.75">
      <c r="J33" s="75"/>
    </row>
    <row r="34" spans="1:10" ht="12.75">
      <c r="A34" s="19" t="s">
        <v>43</v>
      </c>
      <c r="G34" s="12"/>
      <c r="J34" s="75"/>
    </row>
    <row r="35" spans="1:11" ht="12.75">
      <c r="A35" s="2" t="s">
        <v>55</v>
      </c>
      <c r="G35" s="78">
        <v>0</v>
      </c>
      <c r="I35" s="73">
        <f>SUM(G35)</f>
        <v>0</v>
      </c>
      <c r="J35" s="75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77">
        <v>0</v>
      </c>
      <c r="H36" s="3"/>
      <c r="I36" s="74">
        <f>SUM(G36)</f>
        <v>0</v>
      </c>
      <c r="J36" s="75"/>
      <c r="K36" s="17">
        <f>+I36+J36</f>
        <v>0</v>
      </c>
    </row>
    <row r="37" spans="1:11" ht="12.75">
      <c r="A37" s="7" t="s">
        <v>44</v>
      </c>
      <c r="D37" s="8"/>
      <c r="G37" s="56">
        <f>SUM(G35:G36)</f>
        <v>0</v>
      </c>
      <c r="I37" s="57">
        <f>SUM(G37)</f>
        <v>0</v>
      </c>
      <c r="J37" s="75"/>
      <c r="K37" s="5">
        <f>SUM(K35:K36)</f>
        <v>0</v>
      </c>
    </row>
    <row r="38" ht="12.75">
      <c r="J38" s="75"/>
    </row>
    <row r="39" spans="1:11" ht="13.5" thickBot="1">
      <c r="A39" t="s">
        <v>65</v>
      </c>
      <c r="I39" s="18">
        <f>+I12+I20+I26+I32+I37</f>
        <v>18079276.689999998</v>
      </c>
      <c r="J39" s="75"/>
      <c r="K39" s="18">
        <f>+K12+K20+K26+K32+K37</f>
        <v>18079276.69</v>
      </c>
    </row>
    <row r="40" ht="13.5" thickTop="1"/>
    <row r="41" spans="1:11" ht="12.75">
      <c r="A41" t="s">
        <v>262</v>
      </c>
      <c r="I41" s="183">
        <f>+Revenues!B10</f>
        <v>1333391.72</v>
      </c>
      <c r="J41" s="71"/>
      <c r="K41" s="71">
        <f>+I41+J41</f>
        <v>1333391.72</v>
      </c>
    </row>
    <row r="42" ht="12.75">
      <c r="I42" s="5"/>
    </row>
    <row r="43" spans="1:11" ht="12.75">
      <c r="A43" t="s">
        <v>263</v>
      </c>
      <c r="I43" s="5">
        <f>+I39+I41</f>
        <v>19412668.409999996</v>
      </c>
      <c r="K43" s="5">
        <f>+K39+K41</f>
        <v>19412668.41</v>
      </c>
    </row>
  </sheetData>
  <sheetProtection/>
  <printOptions gridLines="1" horizontalCentered="1"/>
  <pageMargins left="0.25" right="0.25" top="0.5" bottom="0.5" header="0.5" footer="0.5"/>
  <pageSetup cellComments="atEnd" fitToHeight="1" fitToWidth="1" horizontalDpi="600" verticalDpi="600" orientation="landscape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Q12" sqref="Q12"/>
    </sheetView>
  </sheetViews>
  <sheetFormatPr defaultColWidth="9.140625" defaultRowHeight="12.75"/>
  <cols>
    <col min="2" max="2" width="18.421875" style="0" bestFit="1" customWidth="1"/>
    <col min="3" max="3" width="12.8515625" style="0" bestFit="1" customWidth="1"/>
    <col min="4" max="4" width="11.421875" style="0" bestFit="1" customWidth="1"/>
    <col min="5" max="5" width="10.28125" style="0" bestFit="1" customWidth="1"/>
    <col min="6" max="6" width="11.8515625" style="0" bestFit="1" customWidth="1"/>
    <col min="8" max="8" width="28.28125" style="0" bestFit="1" customWidth="1"/>
    <col min="9" max="9" width="14.00390625" style="0" bestFit="1" customWidth="1"/>
  </cols>
  <sheetData>
    <row r="1" spans="1:9" ht="14.25">
      <c r="A1" s="125" t="s">
        <v>14</v>
      </c>
      <c r="B1" s="121"/>
      <c r="C1" s="126" t="s">
        <v>210</v>
      </c>
      <c r="D1" s="126" t="s">
        <v>211</v>
      </c>
      <c r="E1" s="126" t="s">
        <v>212</v>
      </c>
      <c r="F1" s="126"/>
      <c r="G1" s="126"/>
      <c r="H1" s="121"/>
      <c r="I1" s="121"/>
    </row>
    <row r="2" spans="1:9" ht="14.25">
      <c r="A2" s="125"/>
      <c r="B2" s="121"/>
      <c r="C2" s="127" t="s">
        <v>216</v>
      </c>
      <c r="D2" s="127" t="s">
        <v>217</v>
      </c>
      <c r="E2" s="127" t="s">
        <v>218</v>
      </c>
      <c r="F2" s="128"/>
      <c r="G2" s="121"/>
      <c r="H2" s="121"/>
      <c r="I2" s="124"/>
    </row>
    <row r="3" spans="1:9" ht="12.75">
      <c r="A3" s="122" t="s">
        <v>51</v>
      </c>
      <c r="B3" s="121"/>
      <c r="C3" s="121"/>
      <c r="D3" s="121"/>
      <c r="E3" s="121"/>
      <c r="F3" s="121"/>
      <c r="G3" s="129"/>
      <c r="H3" s="129" t="s">
        <v>306</v>
      </c>
      <c r="I3" s="129"/>
    </row>
    <row r="4" spans="1:9" ht="13.5" thickBot="1">
      <c r="A4" s="122" t="s">
        <v>25</v>
      </c>
      <c r="B4" s="121"/>
      <c r="C4" s="121"/>
      <c r="D4" s="121"/>
      <c r="E4" s="121"/>
      <c r="F4" s="130"/>
      <c r="G4" s="121"/>
      <c r="H4" s="124" t="s">
        <v>307</v>
      </c>
      <c r="I4" s="124">
        <v>0</v>
      </c>
    </row>
    <row r="5" spans="1:9" ht="13.5" thickTop="1">
      <c r="A5" s="122"/>
      <c r="B5" s="123" t="s">
        <v>308</v>
      </c>
      <c r="C5" s="124">
        <v>608075.87</v>
      </c>
      <c r="D5" s="124">
        <v>226887.39</v>
      </c>
      <c r="E5" s="121"/>
      <c r="F5" s="121"/>
      <c r="G5" s="121"/>
      <c r="H5" s="121"/>
      <c r="I5" s="121"/>
    </row>
    <row r="6" spans="1:9" ht="12.75">
      <c r="A6" s="122"/>
      <c r="B6" s="123" t="s">
        <v>309</v>
      </c>
      <c r="C6" s="124">
        <v>-14195.85</v>
      </c>
      <c r="D6" s="121"/>
      <c r="E6" s="121"/>
      <c r="F6" s="124"/>
      <c r="G6" s="121"/>
      <c r="H6" s="121"/>
      <c r="I6" s="121"/>
    </row>
    <row r="7" spans="1:9" ht="12.75">
      <c r="A7" s="122"/>
      <c r="B7" s="123" t="s">
        <v>310</v>
      </c>
      <c r="C7" s="124"/>
      <c r="D7" s="121"/>
      <c r="E7" s="121"/>
      <c r="F7" s="124"/>
      <c r="G7" s="121"/>
      <c r="H7" s="121"/>
      <c r="I7" s="121"/>
    </row>
    <row r="8" spans="1:9" ht="12.75">
      <c r="A8" s="122"/>
      <c r="B8" s="123" t="s">
        <v>311</v>
      </c>
      <c r="C8" s="121"/>
      <c r="D8" s="121"/>
      <c r="E8" s="121"/>
      <c r="F8" s="124"/>
      <c r="G8" s="121"/>
      <c r="H8" s="121"/>
      <c r="I8" s="121"/>
    </row>
    <row r="9" spans="1:9" ht="13.5" thickBot="1">
      <c r="A9" s="131"/>
      <c r="B9" s="132" t="s">
        <v>312</v>
      </c>
      <c r="C9" s="133">
        <f>SUM(C5:C8)</f>
        <v>593880.02</v>
      </c>
      <c r="D9" s="167">
        <f>SUM(D5:D8)</f>
        <v>226887.39</v>
      </c>
      <c r="E9" s="129"/>
      <c r="F9" s="134"/>
      <c r="G9" s="134"/>
      <c r="H9" s="134" t="s">
        <v>313</v>
      </c>
      <c r="I9" s="129">
        <f>+Revenues!B10</f>
        <v>1333391.72</v>
      </c>
    </row>
    <row r="10" spans="1:9" ht="13.5" thickTop="1">
      <c r="A10" s="135" t="s">
        <v>26</v>
      </c>
      <c r="B10" s="121"/>
      <c r="C10" s="121"/>
      <c r="D10" s="121"/>
      <c r="E10" s="121"/>
      <c r="F10" s="121"/>
      <c r="G10" s="121"/>
      <c r="H10" s="121" t="s">
        <v>262</v>
      </c>
      <c r="I10" s="136">
        <f>+I9-SUM(I11:I16)</f>
        <v>0</v>
      </c>
    </row>
    <row r="11" spans="1:9" ht="14.25">
      <c r="A11" s="125" t="s">
        <v>15</v>
      </c>
      <c r="B11" s="121"/>
      <c r="C11" s="121"/>
      <c r="D11" s="121"/>
      <c r="E11" s="121"/>
      <c r="F11" s="121"/>
      <c r="G11" s="121"/>
      <c r="H11" s="137" t="s">
        <v>314</v>
      </c>
      <c r="I11" s="124">
        <v>168673.45</v>
      </c>
    </row>
    <row r="12" spans="1:9" ht="12.75">
      <c r="A12" s="122" t="s">
        <v>41</v>
      </c>
      <c r="B12" s="121"/>
      <c r="C12" s="121"/>
      <c r="D12" s="121"/>
      <c r="E12" s="121"/>
      <c r="F12" s="121"/>
      <c r="G12" s="121"/>
      <c r="H12" s="137" t="s">
        <v>315</v>
      </c>
      <c r="I12" s="124">
        <f>1071350.52-I13</f>
        <v>554170.21</v>
      </c>
    </row>
    <row r="13" spans="1:9" ht="12.75">
      <c r="A13" s="122"/>
      <c r="B13" s="123" t="s">
        <v>308</v>
      </c>
      <c r="C13" s="124">
        <v>203053.97</v>
      </c>
      <c r="D13" s="124">
        <v>9055.05</v>
      </c>
      <c r="E13" s="121"/>
      <c r="F13" s="121"/>
      <c r="G13" s="121"/>
      <c r="H13" s="137" t="s">
        <v>316</v>
      </c>
      <c r="I13" s="124">
        <v>517180.31</v>
      </c>
    </row>
    <row r="14" spans="1:9" ht="12.75">
      <c r="A14" s="122"/>
      <c r="B14" s="123" t="s">
        <v>309</v>
      </c>
      <c r="C14" s="124">
        <v>-4333</v>
      </c>
      <c r="D14" s="121"/>
      <c r="E14" s="121"/>
      <c r="F14" s="124"/>
      <c r="G14" s="121"/>
      <c r="H14" s="123" t="s">
        <v>310</v>
      </c>
      <c r="I14" s="124">
        <f>91307.2+3704.39-1738.53+94.69</f>
        <v>93367.75</v>
      </c>
    </row>
    <row r="15" spans="1:9" ht="12.75">
      <c r="A15" s="122"/>
      <c r="B15" s="123" t="s">
        <v>310</v>
      </c>
      <c r="C15" s="124"/>
      <c r="D15" s="121"/>
      <c r="E15" s="121"/>
      <c r="F15" s="124"/>
      <c r="G15" s="121"/>
      <c r="H15" s="123"/>
      <c r="I15" s="121"/>
    </row>
    <row r="16" spans="1:9" ht="12.75">
      <c r="A16" s="122"/>
      <c r="B16" s="123" t="s">
        <v>311</v>
      </c>
      <c r="C16" s="121"/>
      <c r="D16" s="121"/>
      <c r="E16" s="121"/>
      <c r="F16" s="124"/>
      <c r="G16" s="121"/>
      <c r="H16" s="137" t="s">
        <v>317</v>
      </c>
      <c r="I16" s="137"/>
    </row>
    <row r="17" spans="1:9" ht="13.5" thickBot="1">
      <c r="A17" s="131"/>
      <c r="B17" s="132" t="s">
        <v>312</v>
      </c>
      <c r="C17" s="167">
        <f>SUM(C13:C16)</f>
        <v>198720.97</v>
      </c>
      <c r="D17" s="167">
        <f>SUM(D13:D16)</f>
        <v>9055.05</v>
      </c>
      <c r="E17" s="129"/>
      <c r="F17" s="129"/>
      <c r="G17" s="129"/>
      <c r="H17" s="124"/>
      <c r="I17" s="124"/>
    </row>
    <row r="18" spans="1:9" ht="13.5" thickTop="1">
      <c r="A18" s="122" t="s">
        <v>42</v>
      </c>
      <c r="B18" s="121"/>
      <c r="C18" s="121"/>
      <c r="D18" s="121"/>
      <c r="E18" s="121"/>
      <c r="F18" s="121"/>
      <c r="G18" s="121"/>
      <c r="H18" s="121"/>
      <c r="I18" s="121"/>
    </row>
    <row r="19" spans="1:9" ht="12.75">
      <c r="A19" s="122"/>
      <c r="B19" s="123" t="s">
        <v>308</v>
      </c>
      <c r="C19" s="166">
        <v>1428054.74</v>
      </c>
      <c r="D19" s="166">
        <v>220357.24</v>
      </c>
      <c r="E19" s="166"/>
      <c r="F19" s="121"/>
      <c r="G19" s="121"/>
      <c r="H19" s="121"/>
      <c r="I19" s="121"/>
    </row>
    <row r="20" spans="1:9" ht="12.75">
      <c r="A20" s="122"/>
      <c r="B20" s="123" t="s">
        <v>309</v>
      </c>
      <c r="C20" s="166">
        <v>-289857.72</v>
      </c>
      <c r="D20" s="143"/>
      <c r="E20" s="143"/>
      <c r="F20" s="124"/>
      <c r="G20" s="121"/>
      <c r="H20" s="121"/>
      <c r="I20" s="121"/>
    </row>
    <row r="21" spans="1:9" ht="12.75">
      <c r="A21" s="122"/>
      <c r="B21" s="123" t="s">
        <v>310</v>
      </c>
      <c r="C21" s="166">
        <f>-91307.2+1738.53</f>
        <v>-89568.67</v>
      </c>
      <c r="D21" s="143">
        <v>-3704.39</v>
      </c>
      <c r="E21" s="143"/>
      <c r="F21" s="124"/>
      <c r="G21" s="121"/>
      <c r="H21" s="121"/>
      <c r="I21" s="121"/>
    </row>
    <row r="22" spans="1:9" ht="12.75">
      <c r="A22" s="122"/>
      <c r="B22" s="123" t="s">
        <v>311</v>
      </c>
      <c r="C22" s="143"/>
      <c r="D22" s="143"/>
      <c r="E22" s="143"/>
      <c r="F22" s="124"/>
      <c r="G22" s="121"/>
      <c r="H22" s="129"/>
      <c r="I22" s="129"/>
    </row>
    <row r="23" spans="1:9" ht="13.5" thickBot="1">
      <c r="A23" s="131"/>
      <c r="B23" s="132" t="s">
        <v>312</v>
      </c>
      <c r="C23" s="167">
        <f>SUM(C19:C22)</f>
        <v>1048628.35</v>
      </c>
      <c r="D23" s="167">
        <f>SUM(D19:D22)</f>
        <v>216652.84999999998</v>
      </c>
      <c r="E23" s="167"/>
      <c r="F23" s="129"/>
      <c r="G23" s="129"/>
      <c r="H23" s="137" t="s">
        <v>363</v>
      </c>
      <c r="I23" s="124"/>
    </row>
    <row r="24" spans="1:9" ht="13.5" thickTop="1">
      <c r="A24" s="122" t="s">
        <v>16</v>
      </c>
      <c r="B24" s="121"/>
      <c r="C24" s="121"/>
      <c r="D24" s="121"/>
      <c r="E24" s="121"/>
      <c r="F24" s="121"/>
      <c r="G24" s="121"/>
      <c r="H24" s="137" t="s">
        <v>318</v>
      </c>
      <c r="I24" s="124">
        <f>+I25-I26</f>
        <v>-1083.3100000000559</v>
      </c>
    </row>
    <row r="25" spans="1:9" ht="13.5" thickBot="1">
      <c r="A25" s="122"/>
      <c r="B25" s="123" t="s">
        <v>308</v>
      </c>
      <c r="C25" s="166">
        <v>78292.17</v>
      </c>
      <c r="D25" s="166">
        <v>8595.94</v>
      </c>
      <c r="E25" s="121"/>
      <c r="F25" s="121"/>
      <c r="G25" s="121"/>
      <c r="H25" s="140" t="s">
        <v>319</v>
      </c>
      <c r="I25" s="136">
        <v>1359555</v>
      </c>
    </row>
    <row r="26" spans="1:9" ht="13.5" thickBot="1">
      <c r="A26" s="122"/>
      <c r="B26" s="123" t="s">
        <v>309</v>
      </c>
      <c r="C26" s="162">
        <v>-32834</v>
      </c>
      <c r="D26" s="143"/>
      <c r="E26" s="121"/>
      <c r="F26" s="124"/>
      <c r="G26" s="121"/>
      <c r="H26" s="137" t="s">
        <v>320</v>
      </c>
      <c r="I26" s="139">
        <f>SUM(I27:I31)</f>
        <v>1360638.31</v>
      </c>
    </row>
    <row r="27" spans="1:9" ht="12.75">
      <c r="A27" s="122"/>
      <c r="B27" s="123" t="s">
        <v>310</v>
      </c>
      <c r="C27" s="166"/>
      <c r="D27" s="143"/>
      <c r="E27" s="121"/>
      <c r="F27" s="124"/>
      <c r="G27" s="121"/>
      <c r="H27" s="138" t="s">
        <v>321</v>
      </c>
      <c r="I27" s="124">
        <v>1126201.75</v>
      </c>
    </row>
    <row r="28" spans="1:9" ht="12.75">
      <c r="A28" s="122"/>
      <c r="B28" s="123" t="s">
        <v>311</v>
      </c>
      <c r="C28" s="143"/>
      <c r="D28" s="143"/>
      <c r="E28" s="121"/>
      <c r="F28" s="124"/>
      <c r="G28" s="121"/>
      <c r="H28" s="138" t="s">
        <v>322</v>
      </c>
      <c r="I28" s="137">
        <v>203411.41</v>
      </c>
    </row>
    <row r="29" spans="1:9" ht="13.5" thickBot="1">
      <c r="A29" s="131"/>
      <c r="B29" s="132" t="s">
        <v>312</v>
      </c>
      <c r="C29" s="167">
        <f>SUM(C25:C28)</f>
        <v>45458.17</v>
      </c>
      <c r="D29" s="167">
        <f>SUM(D25:D28)</f>
        <v>8595.94</v>
      </c>
      <c r="E29" s="129"/>
      <c r="F29" s="129"/>
      <c r="G29" s="129"/>
      <c r="H29" s="138" t="s">
        <v>323</v>
      </c>
      <c r="I29" s="124">
        <v>30161.55</v>
      </c>
    </row>
    <row r="30" spans="1:9" ht="13.5" thickTop="1">
      <c r="A30" s="122" t="s">
        <v>52</v>
      </c>
      <c r="B30" s="121"/>
      <c r="C30" s="121"/>
      <c r="D30" s="121"/>
      <c r="E30" s="121"/>
      <c r="F30" s="121"/>
      <c r="G30" s="121"/>
      <c r="H30" s="138" t="s">
        <v>324</v>
      </c>
      <c r="I30" s="124">
        <v>708.5</v>
      </c>
    </row>
    <row r="31" spans="1:9" ht="12.75">
      <c r="A31" s="122"/>
      <c r="B31" s="123" t="s">
        <v>308</v>
      </c>
      <c r="C31" s="166">
        <v>465860.27</v>
      </c>
      <c r="D31" s="166">
        <v>52712.49</v>
      </c>
      <c r="E31" s="121"/>
      <c r="F31" s="121"/>
      <c r="G31" s="121"/>
      <c r="H31" s="138" t="s">
        <v>325</v>
      </c>
      <c r="I31" s="124">
        <v>155.1</v>
      </c>
    </row>
    <row r="32" spans="1:9" ht="12.75">
      <c r="A32" s="122"/>
      <c r="B32" s="123" t="s">
        <v>326</v>
      </c>
      <c r="C32" s="166">
        <f>-C38</f>
        <v>-200326.77</v>
      </c>
      <c r="D32" s="166">
        <f>-D38</f>
        <v>0</v>
      </c>
      <c r="E32" s="121"/>
      <c r="F32" s="121"/>
      <c r="G32" s="121"/>
      <c r="H32" s="121"/>
      <c r="I32" s="121"/>
    </row>
    <row r="33" spans="1:9" ht="12.75">
      <c r="A33" s="122"/>
      <c r="B33" s="123" t="s">
        <v>309</v>
      </c>
      <c r="C33" s="166">
        <v>-153836.92</v>
      </c>
      <c r="D33" s="143"/>
      <c r="E33" s="121"/>
      <c r="F33" s="124"/>
      <c r="G33" s="121"/>
      <c r="H33" s="121"/>
      <c r="I33" s="121"/>
    </row>
    <row r="34" spans="1:9" ht="12.75">
      <c r="A34" s="122"/>
      <c r="B34" s="123" t="s">
        <v>310</v>
      </c>
      <c r="C34" s="143"/>
      <c r="D34" s="143"/>
      <c r="E34" s="121"/>
      <c r="F34" s="124"/>
      <c r="G34" s="121"/>
      <c r="H34" s="121"/>
      <c r="I34" s="121"/>
    </row>
    <row r="35" spans="1:9" ht="12.75">
      <c r="A35" s="122"/>
      <c r="B35" s="137" t="s">
        <v>327</v>
      </c>
      <c r="C35" s="143"/>
      <c r="D35" s="143"/>
      <c r="E35" s="121"/>
      <c r="F35" s="124"/>
      <c r="G35" s="121"/>
      <c r="H35" s="121"/>
      <c r="I35" s="121"/>
    </row>
    <row r="36" spans="1:9" ht="12.75">
      <c r="A36" s="122"/>
      <c r="B36" s="123" t="s">
        <v>311</v>
      </c>
      <c r="C36" s="143"/>
      <c r="D36" s="143"/>
      <c r="E36" s="121"/>
      <c r="F36" s="124"/>
      <c r="G36" s="121"/>
      <c r="H36" s="129"/>
      <c r="I36" s="129"/>
    </row>
    <row r="37" spans="1:9" ht="13.5" thickBot="1">
      <c r="A37" s="131"/>
      <c r="B37" s="132" t="s">
        <v>312</v>
      </c>
      <c r="C37" s="133">
        <f>SUM(C31:C36)</f>
        <v>111696.57999999999</v>
      </c>
      <c r="D37" s="167">
        <f>SUM(D31:D36)</f>
        <v>52712.49</v>
      </c>
      <c r="E37" s="129"/>
      <c r="F37" s="129"/>
      <c r="G37" s="129"/>
      <c r="H37" s="124"/>
      <c r="I37" s="124"/>
    </row>
    <row r="38" spans="1:9" ht="13.5" thickTop="1">
      <c r="A38" s="122" t="s">
        <v>39</v>
      </c>
      <c r="B38" s="121"/>
      <c r="C38" s="5">
        <f>+Expenses!D18</f>
        <v>200326.77</v>
      </c>
      <c r="D38" s="5">
        <f>+Expenses!E18</f>
        <v>0</v>
      </c>
      <c r="E38" s="121"/>
      <c r="F38" s="121"/>
      <c r="G38" s="121"/>
      <c r="H38" s="121"/>
      <c r="I38" s="121"/>
    </row>
    <row r="39" spans="1:9" ht="12.75">
      <c r="A39" s="122" t="s">
        <v>40</v>
      </c>
      <c r="B39" s="121"/>
      <c r="C39" s="121"/>
      <c r="D39" s="121"/>
      <c r="E39" s="121"/>
      <c r="F39" s="121"/>
      <c r="G39" s="121"/>
      <c r="H39" s="121"/>
      <c r="I39" s="121"/>
    </row>
    <row r="40" spans="1:9" ht="12.75">
      <c r="A40" s="122"/>
      <c r="B40" s="123" t="s">
        <v>308</v>
      </c>
      <c r="C40" s="166">
        <v>578665.66</v>
      </c>
      <c r="D40" s="166">
        <v>34420.45</v>
      </c>
      <c r="E40" s="121"/>
      <c r="F40" s="121"/>
      <c r="G40" s="121"/>
      <c r="H40" s="121"/>
      <c r="I40" s="121"/>
    </row>
    <row r="41" spans="1:9" ht="12.75">
      <c r="A41" s="122"/>
      <c r="B41" s="123" t="s">
        <v>309</v>
      </c>
      <c r="C41" s="166">
        <f>-55379.75-3509.97</f>
        <v>-58889.72</v>
      </c>
      <c r="D41" s="143"/>
      <c r="E41" s="121"/>
      <c r="F41" s="124"/>
      <c r="G41" s="121"/>
      <c r="H41" s="121"/>
      <c r="I41" s="121"/>
    </row>
    <row r="42" spans="1:9" ht="12.75">
      <c r="A42" s="122"/>
      <c r="B42" s="123" t="s">
        <v>310</v>
      </c>
      <c r="C42" s="166"/>
      <c r="D42" s="143"/>
      <c r="E42" s="121"/>
      <c r="F42" s="124"/>
      <c r="G42" s="121"/>
      <c r="H42" s="121"/>
      <c r="I42" s="121"/>
    </row>
    <row r="43" spans="1:9" ht="12.75">
      <c r="A43" s="122"/>
      <c r="B43" s="123" t="s">
        <v>311</v>
      </c>
      <c r="C43" s="143"/>
      <c r="D43" s="143"/>
      <c r="E43" s="121"/>
      <c r="F43" s="124"/>
      <c r="G43" s="121"/>
      <c r="H43" s="129"/>
      <c r="I43" s="129"/>
    </row>
    <row r="44" spans="1:9" ht="13.5" thickBot="1">
      <c r="A44" s="131"/>
      <c r="B44" s="132" t="s">
        <v>312</v>
      </c>
      <c r="C44" s="167">
        <f>SUM(C40:C43)</f>
        <v>519775.94000000006</v>
      </c>
      <c r="D44" s="167">
        <f>SUM(D40:D43)</f>
        <v>34420.45</v>
      </c>
      <c r="E44" s="129"/>
      <c r="F44" s="129"/>
      <c r="G44" s="129"/>
      <c r="H44" s="124"/>
      <c r="I44" s="124"/>
    </row>
    <row r="45" spans="1:9" ht="13.5" thickTop="1">
      <c r="A45" s="135" t="s">
        <v>17</v>
      </c>
      <c r="B45" s="121"/>
      <c r="C45" s="121"/>
      <c r="D45" s="121"/>
      <c r="E45" s="121"/>
      <c r="F45" s="121"/>
      <c r="G45" s="121"/>
      <c r="H45" s="121"/>
      <c r="I45" s="121"/>
    </row>
    <row r="46" spans="1:9" ht="12.75">
      <c r="A46" s="121"/>
      <c r="B46" s="121"/>
      <c r="C46" s="124">
        <f>+C44+C37+C29+C23+C17+C38</f>
        <v>2124606.78</v>
      </c>
      <c r="D46" s="166">
        <f>+D44+D37+D29+D23+D17+D38</f>
        <v>321436.77999999997</v>
      </c>
      <c r="E46" s="121"/>
      <c r="F46" s="121"/>
      <c r="G46" s="121"/>
      <c r="H46" s="121"/>
      <c r="I46" s="1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K34" sqref="K34"/>
    </sheetView>
  </sheetViews>
  <sheetFormatPr defaultColWidth="9.140625" defaultRowHeight="12.75"/>
  <sheetData>
    <row r="1" spans="1:3" ht="12.75">
      <c r="A1" s="142" t="s">
        <v>328</v>
      </c>
      <c r="B1" s="141"/>
      <c r="C1" s="141"/>
    </row>
    <row r="3" spans="1:3" ht="12.75">
      <c r="A3" s="141"/>
      <c r="B3" s="142" t="s">
        <v>329</v>
      </c>
      <c r="C3" s="141"/>
    </row>
    <row r="4" spans="1:3" ht="12.75">
      <c r="A4" s="141"/>
      <c r="B4" s="141"/>
      <c r="C4" s="142" t="s">
        <v>330</v>
      </c>
    </row>
    <row r="5" spans="1:3" ht="12.75">
      <c r="A5" s="141"/>
      <c r="B5" s="141"/>
      <c r="C5" s="142" t="s">
        <v>331</v>
      </c>
    </row>
    <row r="6" spans="1:3" ht="12.75">
      <c r="A6" s="141"/>
      <c r="B6" s="141"/>
      <c r="C6" s="142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5" t="s">
        <v>53</v>
      </c>
      <c r="B1" s="70" t="e">
        <f>#REF!</f>
        <v>#REF!</v>
      </c>
    </row>
    <row r="2" spans="1:2" ht="18">
      <c r="A2" s="9" t="s">
        <v>54</v>
      </c>
      <c r="B2" s="41" t="s">
        <v>280</v>
      </c>
    </row>
    <row r="4" ht="18">
      <c r="B4" s="84" t="s">
        <v>0</v>
      </c>
    </row>
    <row r="5" ht="15.75">
      <c r="B5" s="79" t="s">
        <v>264</v>
      </c>
    </row>
    <row r="6" ht="12.75">
      <c r="C6" s="85"/>
    </row>
    <row r="7" spans="1:3" ht="12.75">
      <c r="A7" t="s">
        <v>265</v>
      </c>
      <c r="C7" s="85"/>
    </row>
    <row r="8" spans="1:3" ht="12.75">
      <c r="A8" t="s">
        <v>271</v>
      </c>
      <c r="C8" s="89">
        <v>0</v>
      </c>
    </row>
    <row r="9" spans="1:3" ht="12.75">
      <c r="A9" t="s">
        <v>272</v>
      </c>
      <c r="C9" s="89">
        <v>0</v>
      </c>
    </row>
    <row r="10" spans="1:3" ht="12.75">
      <c r="A10" t="s">
        <v>270</v>
      </c>
      <c r="C10" s="90">
        <v>6025.64</v>
      </c>
    </row>
    <row r="11" ht="12.75">
      <c r="C11" s="87"/>
    </row>
    <row r="12" ht="12.75">
      <c r="C12" s="86">
        <f>SUM(C8:C10)</f>
        <v>6025.64</v>
      </c>
    </row>
    <row r="13" ht="12.75">
      <c r="C13" s="85"/>
    </row>
    <row r="14" spans="1:3" ht="12.75">
      <c r="A14" t="s">
        <v>266</v>
      </c>
      <c r="C14" s="85"/>
    </row>
    <row r="15" spans="1:3" ht="12.75">
      <c r="A15" t="s">
        <v>273</v>
      </c>
      <c r="C15" s="90">
        <v>0</v>
      </c>
    </row>
    <row r="16" ht="12.75">
      <c r="C16" s="85"/>
    </row>
    <row r="17" spans="1:3" ht="12.75">
      <c r="A17" t="s">
        <v>267</v>
      </c>
      <c r="C17" s="85">
        <f>+C12-C15</f>
        <v>6025.64</v>
      </c>
    </row>
    <row r="18" ht="12.75">
      <c r="C18" s="85"/>
    </row>
    <row r="19" spans="1:3" ht="12.75">
      <c r="A19" t="s">
        <v>268</v>
      </c>
      <c r="C19" s="90">
        <v>169305.98</v>
      </c>
    </row>
    <row r="20" ht="12.75">
      <c r="C20" s="85"/>
    </row>
    <row r="21" spans="1:3" ht="13.5" thickBot="1">
      <c r="A21" t="s">
        <v>269</v>
      </c>
      <c r="C21" s="88">
        <f>+C17+C19</f>
        <v>175331.62000000002</v>
      </c>
    </row>
    <row r="22" ht="13.5" thickTop="1">
      <c r="C22" s="85"/>
    </row>
    <row r="23" ht="12.75">
      <c r="C23" s="85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3">
      <selection activeCell="B34" sqref="B34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9.28125" style="162" bestFit="1" customWidth="1"/>
  </cols>
  <sheetData>
    <row r="1" spans="1:2" ht="18">
      <c r="A1" s="65" t="s">
        <v>53</v>
      </c>
      <c r="B1" s="68" t="e">
        <f>#REF!</f>
        <v>#REF!</v>
      </c>
    </row>
    <row r="2" spans="1:2" ht="18">
      <c r="A2" s="66" t="s">
        <v>54</v>
      </c>
      <c r="B2" s="69" t="s">
        <v>280</v>
      </c>
    </row>
    <row r="3" spans="1:10" ht="18">
      <c r="A3" s="15" t="s">
        <v>57</v>
      </c>
      <c r="J3" s="5">
        <f>+Expenses!D10</f>
        <v>9976.72</v>
      </c>
    </row>
    <row r="4" ht="12.75"/>
    <row r="5" ht="15">
      <c r="A5" s="42" t="s">
        <v>60</v>
      </c>
    </row>
    <row r="6" ht="12.75"/>
    <row r="7" spans="1:3" ht="12.75">
      <c r="A7" s="83" t="s">
        <v>58</v>
      </c>
      <c r="B7" s="83" t="s">
        <v>61</v>
      </c>
      <c r="C7" s="184" t="s">
        <v>59</v>
      </c>
    </row>
    <row r="8" ht="12.75"/>
    <row r="9" spans="1:3" ht="12.75">
      <c r="A9" s="19" t="s">
        <v>365</v>
      </c>
      <c r="B9">
        <v>159100</v>
      </c>
      <c r="C9" s="162">
        <v>4183.54</v>
      </c>
    </row>
    <row r="10" spans="1:3" ht="12.75">
      <c r="A10" s="19" t="s">
        <v>364</v>
      </c>
      <c r="B10">
        <v>159200</v>
      </c>
      <c r="C10" s="162">
        <v>140.07</v>
      </c>
    </row>
    <row r="11" spans="1:3" ht="12.75">
      <c r="A11" s="19" t="s">
        <v>364</v>
      </c>
      <c r="B11">
        <v>215000</v>
      </c>
      <c r="C11" s="162">
        <v>169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1:2" ht="15">
      <c r="A24" s="42" t="s">
        <v>6</v>
      </c>
      <c r="B24" s="16"/>
    </row>
    <row r="25" ht="12.75"/>
    <row r="26" spans="1:3" ht="12.75">
      <c r="A26" s="83" t="s">
        <v>53</v>
      </c>
      <c r="B26" s="6" t="s">
        <v>61</v>
      </c>
      <c r="C26" s="184" t="s">
        <v>59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5">
      <c r="A42" s="42" t="s">
        <v>62</v>
      </c>
    </row>
    <row r="43" ht="12.75"/>
    <row r="44" spans="1:3" ht="12.75">
      <c r="A44" s="19" t="s">
        <v>58</v>
      </c>
      <c r="B44" s="58" t="s">
        <v>61</v>
      </c>
      <c r="C44" s="184" t="s">
        <v>59</v>
      </c>
    </row>
    <row r="45" ht="12.75"/>
    <row r="46" spans="1:3" ht="12.75">
      <c r="A46" s="19" t="s">
        <v>366</v>
      </c>
      <c r="B46">
        <v>159100</v>
      </c>
      <c r="C46" s="162">
        <v>4183.54</v>
      </c>
    </row>
    <row r="47" spans="1:3" ht="12.75">
      <c r="A47" s="19" t="s">
        <v>366</v>
      </c>
      <c r="B47">
        <v>159200</v>
      </c>
      <c r="C47" s="162">
        <v>1427.67</v>
      </c>
    </row>
    <row r="48" spans="1:3" ht="12.75">
      <c r="A48" s="19" t="s">
        <v>364</v>
      </c>
      <c r="B48">
        <v>159200</v>
      </c>
      <c r="C48" s="162">
        <v>280.14</v>
      </c>
    </row>
    <row r="52" spans="1:3" ht="12.75">
      <c r="A52" s="19" t="s">
        <v>367</v>
      </c>
      <c r="B52">
        <v>159100</v>
      </c>
      <c r="C52" s="162">
        <v>4085.37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2010-12-03T21:46:05Z</cp:lastPrinted>
  <dcterms:created xsi:type="dcterms:W3CDTF">2001-10-16T14:04:43Z</dcterms:created>
  <dcterms:modified xsi:type="dcterms:W3CDTF">2013-01-04T18:44:01Z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