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65" activeTab="2"/>
  </bookViews>
  <sheets>
    <sheet name="Signature Page" sheetId="1" r:id="rId1"/>
    <sheet name="Directions" sheetId="2" r:id="rId2"/>
    <sheet name="Revenues" sheetId="3" r:id="rId3"/>
    <sheet name="Revenue Worksheet" sheetId="4" r:id="rId4"/>
    <sheet name="Expenses" sheetId="5" r:id="rId5"/>
    <sheet name="Expense Worksheet" sheetId="6" r:id="rId6"/>
    <sheet name="Employee Benefit Trust Fund" sheetId="7" r:id="rId7"/>
    <sheet name="Explanations" sheetId="8" r:id="rId8"/>
    <sheet name="Indirect cost instructions" sheetId="9" r:id="rId9"/>
    <sheet name="Indirect cost worksheet" sheetId="10" r:id="rId10"/>
    <sheet name="indirect backup" sheetId="11" r:id="rId11"/>
  </sheets>
  <definedNames>
    <definedName name="Administrative_allocation">#REF!</definedName>
    <definedName name="_xlnm.Print_Area" localSheetId="9">'Indirect cost worksheet'!$A$1:$I$82</definedName>
    <definedName name="_xlnm.Print_Area" localSheetId="2">'Revenues'!$A$1:$D$39</definedName>
    <definedName name="_xlnm.Print_Titles" localSheetId="9">'Indirect cost worksheet'!$4:$9</definedName>
  </definedNames>
  <calcPr fullCalcOnLoad="1"/>
</workbook>
</file>

<file path=xl/comments10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7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7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B18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<sst xmlns="http://schemas.openxmlformats.org/spreadsheetml/2006/main" count="574" uniqueCount="383">
  <si>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</si>
  <si>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</si>
  <si>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</si>
  <si>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</si>
  <si>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</si>
  <si>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</si>
  <si>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</si>
  <si>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</si>
  <si>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</si>
  <si>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</si>
  <si>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</si>
  <si>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</si>
  <si>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</si>
  <si>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</si>
  <si>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</si>
  <si>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</si>
  <si>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</si>
  <si>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</si>
  <si>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</si>
  <si>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</si>
  <si>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</si>
  <si>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</si>
  <si>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</si>
  <si>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</si>
  <si>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</si>
  <si>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</si>
  <si>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</si>
  <si>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</si>
  <si>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</si>
  <si>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</si>
  <si>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</si>
  <si>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</si>
  <si>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</si>
  <si>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</si>
  <si>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</si>
  <si>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</si>
  <si>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</si>
  <si>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</si>
  <si>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</si>
  <si>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</si>
  <si>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</si>
  <si>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</si>
  <si>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</si>
  <si>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</si>
  <si>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</si>
  <si>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</si>
  <si>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</si>
  <si>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</si>
  <si>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</si>
  <si>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</si>
  <si>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</si>
  <si>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</si>
  <si>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</si>
  <si>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</si>
  <si>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</si>
  <si>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</si>
  <si>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</si>
  <si>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</si>
  <si>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</si>
  <si>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</si>
  <si>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</si>
  <si>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</si>
  <si>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</si>
  <si>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</si>
  <si>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</si>
  <si>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</si>
  <si>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</si>
  <si>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</si>
  <si>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</si>
  <si>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</si>
  <si>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</si>
  <si>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</si>
  <si>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</si>
  <si>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</si>
  <si>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</si>
  <si>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</si>
  <si>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</si>
  <si>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</si>
  <si>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</si>
  <si>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</si>
  <si>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</si>
  <si>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</si>
  <si>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</si>
  <si>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</si>
  <si>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</si>
  <si>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</si>
  <si>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</si>
  <si>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</si>
  <si>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</si>
  <si>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</si>
  <si>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</si>
  <si>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</si>
  <si>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</si>
  <si>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</si>
  <si>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</si>
  <si>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</si>
  <si>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</si>
  <si>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</si>
  <si>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</si>
  <si>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</si>
  <si>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</si>
  <si>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</si>
  <si>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</si>
  <si>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</si>
  <si>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</si>
  <si>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</si>
  <si>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</si>
  <si>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</si>
  <si>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</si>
  <si>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</si>
  <si>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</si>
  <si>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</si>
  <si>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</si>
  <si>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</si>
  <si>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</si>
  <si>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</si>
  <si>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</si>
  <si>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</si>
  <si>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</si>
  <si>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</si>
  <si>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</si>
  <si>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</si>
  <si>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</si>
  <si>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</si>
  <si>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</si>
  <si>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</si>
  <si>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</si>
  <si>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</si>
  <si>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</si>
  <si>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</si>
  <si>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</si>
  <si>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</si>
  <si>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</si>
  <si>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</si>
  <si>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</si>
  <si>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</si>
  <si>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</si>
  <si>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</si>
  <si>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</si>
  <si>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</si>
  <si>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</si>
  <si>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</si>
  <si>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</si>
  <si>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</si>
  <si>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</si>
  <si>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</si>
  <si>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</si>
  <si>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</si>
  <si>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</si>
  <si>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</si>
  <si>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</si>
  <si>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</si>
  <si>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</si>
  <si>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</si>
  <si>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</si>
  <si>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</si>
  <si>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</si>
  <si>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</si>
  <si>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</si>
  <si>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</si>
  <si>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</si>
  <si>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</si>
  <si>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</si>
  <si>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</si>
  <si>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</si>
  <si>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</si>
  <si>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</si>
  <si>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</si>
  <si>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</si>
  <si>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</si>
  <si>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</si>
  <si>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</si>
  <si>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</si>
  <si>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</si>
  <si>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</si>
  <si>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</si>
  <si>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</si>
  <si>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</si>
  <si>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</si>
  <si>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</si>
  <si>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</si>
  <si>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</si>
  <si>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</si>
  <si>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</si>
  <si>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</si>
  <si>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</si>
  <si>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</si>
  <si>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</si>
  <si>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</si>
  <si>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</si>
  <si>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</si>
  <si>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</si>
  <si>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</si>
  <si>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</si>
  <si>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</si>
  <si>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</si>
  <si>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</si>
  <si>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</si>
  <si>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</si>
  <si>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</si>
  <si>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</si>
  <si>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</si>
  <si>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</si>
  <si>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</si>
  <si>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</si>
  <si>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</si>
  <si>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</si>
  <si>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</si>
  <si>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</si>
  <si>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</si>
  <si>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</si>
  <si>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</si>
  <si>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</si>
  <si>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</si>
  <si>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</si>
  <si>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</si>
  <si>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</si>
  <si>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</si>
  <si>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</si>
  <si>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</si>
  <si>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</si>
  <si>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</si>
  <si>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</si>
  <si>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</si>
  <si>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</si>
  <si>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</si>
  <si>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</si>
  <si>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</si>
  <si>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</si>
  <si>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</si>
  <si>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</si>
  <si>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</si>
  <si>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</si>
  <si>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</si>
  <si>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</si>
  <si>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</si>
  <si>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</si>
  <si>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</si>
  <si>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</si>
  <si>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</si>
  <si>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</si>
  <si>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</si>
  <si>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</si>
  <si>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</si>
  <si>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</si>
  <si>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</si>
  <si>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</si>
  <si>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</si>
  <si>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</si>
  <si>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</si>
  <si>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</si>
  <si>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</si>
  <si>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</si>
  <si>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</si>
  <si>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</si>
  <si>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</si>
  <si>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</si>
  <si>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</si>
  <si>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</si>
  <si>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</si>
  <si>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</si>
  <si>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</si>
  <si>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</si>
  <si>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</si>
  <si>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</si>
  <si>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</si>
  <si>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</si>
  <si>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</si>
  <si>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</si>
  <si>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</si>
  <si>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</si>
  <si>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</si>
  <si>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</si>
  <si>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</si>
  <si>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</si>
  <si>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</si>
  <si>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</si>
  <si>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</si>
  <si>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2010-11</t>
  </si>
  <si>
    <t>2012-13</t>
  </si>
  <si>
    <t>PI-1523 (Rev. 7-11)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</si>
  <si>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2011 Annual Report</t>
    </r>
  </si>
  <si>
    <t>Treasurer for the year ending June 30, 2011</t>
  </si>
  <si>
    <t>position and operations on and for the period ending June 30, 2011.</t>
  </si>
  <si>
    <t>CESA 07</t>
  </si>
  <si>
    <t>595 Baeten Road</t>
  </si>
  <si>
    <t>Fidelity and Deposit Company of Maryland   </t>
  </si>
  <si>
    <t>WI</t>
  </si>
  <si>
    <t>Green Bay</t>
  </si>
  <si>
    <t>Andrew Maertz</t>
  </si>
  <si>
    <t>21017 Cty Hwy K, Reedsville, WI 54230</t>
  </si>
  <si>
    <t>fund transfers</t>
  </si>
  <si>
    <t>230/239</t>
  </si>
  <si>
    <t>payments from other CESA 7 projects</t>
  </si>
  <si>
    <t>from 501(c)(3)s</t>
  </si>
  <si>
    <t>revenue codes other than 230's</t>
  </si>
  <si>
    <t>balance sheet entries should have been 960's</t>
  </si>
  <si>
    <t>coded as 230's</t>
  </si>
  <si>
    <t>payments from districts for services</t>
  </si>
  <si>
    <t>9**</t>
  </si>
  <si>
    <t>Misc</t>
  </si>
  <si>
    <t>Collaborative Workshop</t>
  </si>
  <si>
    <t xml:space="preserve">Need to look at 1505 and enter </t>
  </si>
  <si>
    <t>payments from districts (paid to another district)</t>
  </si>
  <si>
    <t>this figure.</t>
  </si>
  <si>
    <t>royaltees/commisions</t>
  </si>
  <si>
    <t>tuition fees</t>
  </si>
  <si>
    <t>custom reports</t>
  </si>
  <si>
    <t>license fees</t>
  </si>
  <si>
    <t>265/267/268/269</t>
  </si>
  <si>
    <t>sales</t>
  </si>
  <si>
    <t>student fees</t>
  </si>
  <si>
    <t>leased space</t>
  </si>
  <si>
    <t>297/298</t>
  </si>
  <si>
    <t>workshop registrations</t>
  </si>
  <si>
    <t>fixed asset loss/sales</t>
  </si>
  <si>
    <t>misc local revenues</t>
  </si>
  <si>
    <t>payments from others for services</t>
  </si>
  <si>
    <t>donations</t>
  </si>
  <si>
    <t>insurance refunds</t>
  </si>
  <si>
    <t>Need to check ETP &amp; WIAD &amp; ACE</t>
  </si>
  <si>
    <t>federal grants through another entity</t>
  </si>
  <si>
    <t>IDEA - Third Party Admin</t>
  </si>
  <si>
    <t>exp on books</t>
  </si>
  <si>
    <t>difference</t>
  </si>
  <si>
    <t>total</t>
  </si>
  <si>
    <t>390"s</t>
  </si>
  <si>
    <t>non 390 transfers</t>
  </si>
  <si>
    <t>390's to 501(c)(3)'s</t>
  </si>
  <si>
    <t>Adjusted Total</t>
  </si>
  <si>
    <t>SB = Rev Adm</t>
  </si>
  <si>
    <t>800 fund transfers</t>
  </si>
  <si>
    <t>indirect</t>
  </si>
  <si>
    <t>insurance trans</t>
  </si>
  <si>
    <t>Student Trans</t>
  </si>
  <si>
    <t>non 390 transfers fd 81</t>
  </si>
  <si>
    <t>399 to 501(c)(3)</t>
  </si>
  <si>
    <t>postage trans</t>
  </si>
  <si>
    <t>copy transfer</t>
  </si>
  <si>
    <t>fax transfer</t>
  </si>
  <si>
    <t>supply transfer</t>
  </si>
  <si>
    <t>393 + 394 transfers</t>
  </si>
  <si>
    <t>vehicle transfer</t>
  </si>
  <si>
    <t>Luxemburg-Casco</t>
  </si>
  <si>
    <t>Pulaski</t>
  </si>
  <si>
    <t>West DePere</t>
  </si>
  <si>
    <t>Wrightstown</t>
  </si>
  <si>
    <t>New Holstein</t>
  </si>
  <si>
    <t>Payments from CDEBS</t>
  </si>
  <si>
    <t>County</t>
  </si>
  <si>
    <t>Calumet</t>
  </si>
  <si>
    <t>Brillion</t>
  </si>
  <si>
    <t>Payments to CDEBS</t>
  </si>
  <si>
    <t xml:space="preserve">Brown </t>
  </si>
  <si>
    <t xml:space="preserve">Adjustments </t>
  </si>
  <si>
    <t>OTHER fund 82 &amp; 85</t>
  </si>
  <si>
    <t xml:space="preserve">   Personnel costs</t>
  </si>
  <si>
    <t xml:space="preserve">   Purchased srvcs 310-379</t>
  </si>
  <si>
    <t xml:space="preserve">   Non-Capital</t>
  </si>
  <si>
    <t xml:space="preserve">   Insurance</t>
  </si>
  <si>
    <t xml:space="preserve">   Memberships</t>
  </si>
  <si>
    <t xml:space="preserve">   Bank Fees</t>
  </si>
  <si>
    <t>non-Admin</t>
  </si>
  <si>
    <t xml:space="preserve">fund 25  </t>
  </si>
  <si>
    <t>other funds</t>
  </si>
  <si>
    <t>insurance 81 fund</t>
  </si>
  <si>
    <t>source 23? In funds 81 and 83 not coded 39?</t>
  </si>
  <si>
    <t>revenue from 501(c)(3)s</t>
  </si>
  <si>
    <t>cat aid payments</t>
  </si>
  <si>
    <t>SERVICES</t>
  </si>
  <si>
    <t>Patsy Ann Darnick</t>
  </si>
  <si>
    <t>alio</t>
  </si>
  <si>
    <t xml:space="preserve">payments to districts </t>
  </si>
  <si>
    <t>non package</t>
  </si>
  <si>
    <t>CESA 7 Director of Business Services</t>
  </si>
  <si>
    <t xml:space="preserve">  ????????</t>
  </si>
  <si>
    <t>Appleton</t>
  </si>
  <si>
    <t>Hilbert</t>
  </si>
  <si>
    <t>aje Capitalize Roof &amp; Carpet</t>
  </si>
  <si>
    <t>aje Depreciation Roof &amp; Carpet</t>
  </si>
  <si>
    <t>fund 81 &amp; 83</t>
  </si>
  <si>
    <t>fund 82 &amp; 85</t>
  </si>
  <si>
    <t>fund 75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</si>
</sst>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u val="single"/>
      <sz val="1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dashed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/>
      <right style="dashed"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3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4" fontId="15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0" fillId="35" borderId="0" xfId="57" applyFill="1" applyAlignment="1">
      <alignment horizontal="left" indent="1"/>
      <protection/>
    </xf>
    <xf numFmtId="0" fontId="0" fillId="35" borderId="0" xfId="57" applyFill="1">
      <alignment/>
      <protection/>
    </xf>
    <xf numFmtId="43" fontId="0" fillId="35" borderId="0" xfId="44" applyFont="1" applyFill="1" applyAlignment="1">
      <alignment/>
    </xf>
    <xf numFmtId="43" fontId="0" fillId="0" borderId="0" xfId="57" applyNumberFormat="1">
      <alignment/>
      <protection/>
    </xf>
    <xf numFmtId="0" fontId="0" fillId="35" borderId="0" xfId="57" applyFill="1" applyAlignment="1">
      <alignment horizontal="right" indent="1"/>
      <protection/>
    </xf>
    <xf numFmtId="0" fontId="0" fillId="0" borderId="0" xfId="57" applyAlignment="1">
      <alignment horizontal="right" indent="1"/>
      <protection/>
    </xf>
    <xf numFmtId="0" fontId="0" fillId="36" borderId="0" xfId="57" applyFill="1" applyAlignment="1">
      <alignment horizontal="left" indent="1"/>
      <protection/>
    </xf>
    <xf numFmtId="0" fontId="0" fillId="36" borderId="0" xfId="57" applyFill="1">
      <alignment/>
      <protection/>
    </xf>
    <xf numFmtId="43" fontId="0" fillId="36" borderId="0" xfId="44" applyFont="1" applyFill="1" applyAlignment="1">
      <alignment/>
    </xf>
    <xf numFmtId="0" fontId="0" fillId="36" borderId="0" xfId="57" applyFill="1" applyAlignment="1">
      <alignment horizontal="right" indent="1"/>
      <protection/>
    </xf>
    <xf numFmtId="0" fontId="0" fillId="13" borderId="0" xfId="57" applyFill="1" applyAlignment="1">
      <alignment horizontal="left" indent="1"/>
      <protection/>
    </xf>
    <xf numFmtId="0" fontId="0" fillId="13" borderId="0" xfId="57" applyFill="1">
      <alignment/>
      <protection/>
    </xf>
    <xf numFmtId="43" fontId="0" fillId="13" borderId="0" xfId="44" applyFont="1" applyFill="1" applyAlignment="1">
      <alignment/>
    </xf>
    <xf numFmtId="0" fontId="0" fillId="13" borderId="0" xfId="57" applyFill="1" applyAlignment="1">
      <alignment horizontal="right" indent="1"/>
      <protection/>
    </xf>
    <xf numFmtId="0" fontId="0" fillId="0" borderId="0" xfId="57" applyAlignment="1">
      <alignment horizontal="left" indent="1"/>
      <protection/>
    </xf>
    <xf numFmtId="0" fontId="0" fillId="15" borderId="0" xfId="57" applyFill="1" applyAlignment="1">
      <alignment horizontal="left" indent="1"/>
      <protection/>
    </xf>
    <xf numFmtId="0" fontId="0" fillId="15" borderId="0" xfId="57" applyFill="1">
      <alignment/>
      <protection/>
    </xf>
    <xf numFmtId="43" fontId="0" fillId="15" borderId="0" xfId="44" applyFont="1" applyFill="1" applyAlignment="1">
      <alignment/>
    </xf>
    <xf numFmtId="0" fontId="59" fillId="0" borderId="0" xfId="0" applyFont="1" applyAlignment="1">
      <alignment/>
    </xf>
    <xf numFmtId="0" fontId="0" fillId="15" borderId="0" xfId="57" applyFill="1" applyAlignment="1">
      <alignment horizontal="right" indent="1"/>
      <protection/>
    </xf>
    <xf numFmtId="0" fontId="0" fillId="37" borderId="0" xfId="57" applyFill="1" applyAlignment="1">
      <alignment horizontal="left" indent="1"/>
      <protection/>
    </xf>
    <xf numFmtId="0" fontId="0" fillId="37" borderId="0" xfId="57" applyFill="1">
      <alignment/>
      <protection/>
    </xf>
    <xf numFmtId="43" fontId="0" fillId="37" borderId="0" xfId="44" applyFont="1" applyFill="1" applyAlignment="1">
      <alignment/>
    </xf>
    <xf numFmtId="0" fontId="0" fillId="37" borderId="0" xfId="57" applyFill="1" applyAlignment="1">
      <alignment horizontal="right" indent="1"/>
      <protection/>
    </xf>
    <xf numFmtId="0" fontId="0" fillId="37" borderId="0" xfId="57" applyFont="1" applyFill="1" applyAlignment="1">
      <alignment horizontal="right" indent="1"/>
      <protection/>
    </xf>
    <xf numFmtId="0" fontId="0" fillId="18" borderId="0" xfId="57" applyFill="1" applyAlignment="1">
      <alignment horizontal="left" indent="1"/>
      <protection/>
    </xf>
    <xf numFmtId="0" fontId="0" fillId="18" borderId="0" xfId="57" applyFill="1">
      <alignment/>
      <protection/>
    </xf>
    <xf numFmtId="43" fontId="0" fillId="18" borderId="0" xfId="44" applyFont="1" applyFill="1" applyAlignment="1">
      <alignment/>
    </xf>
    <xf numFmtId="0" fontId="0" fillId="18" borderId="0" xfId="57" applyFill="1" applyAlignment="1">
      <alignment horizontal="right" indent="1"/>
      <protection/>
    </xf>
    <xf numFmtId="0" fontId="0" fillId="35" borderId="0" xfId="0" applyFill="1" applyAlignment="1">
      <alignment horizontal="left" indent="1"/>
    </xf>
    <xf numFmtId="2" fontId="9" fillId="35" borderId="0" xfId="0" applyNumberFormat="1" applyFont="1" applyFill="1" applyAlignment="1">
      <alignment/>
    </xf>
    <xf numFmtId="0" fontId="0" fillId="36" borderId="0" xfId="0" applyFill="1" applyAlignment="1">
      <alignment horizontal="left" indent="1"/>
    </xf>
    <xf numFmtId="2" fontId="9" fillId="36" borderId="0" xfId="0" applyNumberFormat="1" applyFont="1" applyFill="1" applyAlignment="1">
      <alignment/>
    </xf>
    <xf numFmtId="0" fontId="0" fillId="9" borderId="0" xfId="0" applyFill="1" applyAlignment="1">
      <alignment horizontal="left" indent="1"/>
    </xf>
    <xf numFmtId="2" fontId="9" fillId="9" borderId="0" xfId="0" applyNumberFormat="1" applyFont="1" applyFill="1" applyAlignment="1">
      <alignment/>
    </xf>
    <xf numFmtId="0" fontId="0" fillId="38" borderId="0" xfId="0" applyFill="1" applyAlignment="1">
      <alignment horizontal="left" indent="1"/>
    </xf>
    <xf numFmtId="2" fontId="9" fillId="38" borderId="0" xfId="0" applyNumberFormat="1" applyFont="1" applyFill="1" applyAlignment="1">
      <alignment/>
    </xf>
    <xf numFmtId="0" fontId="0" fillId="39" borderId="0" xfId="0" applyFill="1" applyAlignment="1">
      <alignment horizontal="left" indent="1"/>
    </xf>
    <xf numFmtId="2" fontId="9" fillId="39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2" fontId="9" fillId="3" borderId="0" xfId="0" applyNumberFormat="1" applyFont="1" applyFill="1" applyAlignment="1">
      <alignment/>
    </xf>
    <xf numFmtId="0" fontId="0" fillId="11" borderId="0" xfId="0" applyFill="1" applyAlignment="1">
      <alignment horizontal="left" indent="1"/>
    </xf>
    <xf numFmtId="2" fontId="9" fillId="11" borderId="10" xfId="0" applyNumberFormat="1" applyFont="1" applyFill="1" applyBorder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43" fontId="0" fillId="0" borderId="0" xfId="42" applyFont="1" applyAlignment="1">
      <alignment/>
    </xf>
    <xf numFmtId="0" fontId="23" fillId="0" borderId="0" xfId="57" applyFont="1">
      <alignment/>
      <protection/>
    </xf>
    <xf numFmtId="43" fontId="0" fillId="0" borderId="0" xfId="44" applyFont="1" applyAlignment="1">
      <alignment horizontal="center"/>
    </xf>
    <xf numFmtId="43" fontId="0" fillId="0" borderId="0" xfId="44" applyFont="1" applyBorder="1" applyAlignment="1">
      <alignment horizontal="center"/>
    </xf>
    <xf numFmtId="43" fontId="0" fillId="0" borderId="0" xfId="44" applyFont="1" applyBorder="1" applyAlignment="1">
      <alignment/>
    </xf>
    <xf numFmtId="43" fontId="0" fillId="0" borderId="0" xfId="44" applyFont="1" applyAlignment="1">
      <alignment/>
    </xf>
    <xf numFmtId="43" fontId="4" fillId="0" borderId="0" xfId="44" applyFont="1" applyAlignment="1">
      <alignment/>
    </xf>
    <xf numFmtId="43" fontId="0" fillId="0" borderId="21" xfId="44" applyFont="1" applyBorder="1" applyAlignment="1">
      <alignment/>
    </xf>
    <xf numFmtId="0" fontId="0" fillId="0" borderId="0" xfId="57">
      <alignment/>
      <protection/>
    </xf>
    <xf numFmtId="0" fontId="4" fillId="0" borderId="0" xfId="57" applyFont="1" applyAlignment="1">
      <alignment horizontal="left" indent="1"/>
      <protection/>
    </xf>
    <xf numFmtId="0" fontId="4" fillId="0" borderId="21" xfId="57" applyFont="1" applyBorder="1">
      <alignment/>
      <protection/>
    </xf>
    <xf numFmtId="43" fontId="4" fillId="0" borderId="21" xfId="44" applyFont="1" applyBorder="1" applyAlignment="1">
      <alignment/>
    </xf>
    <xf numFmtId="0" fontId="4" fillId="0" borderId="0" xfId="57" applyFont="1">
      <alignment/>
      <protection/>
    </xf>
    <xf numFmtId="0" fontId="4" fillId="0" borderId="0" xfId="57" applyFont="1" applyAlignment="1">
      <alignment horizontal="left" indent="2"/>
      <protection/>
    </xf>
    <xf numFmtId="43" fontId="0" fillId="0" borderId="0" xfId="44" applyFont="1" applyAlignment="1">
      <alignment/>
    </xf>
    <xf numFmtId="43" fontId="0" fillId="0" borderId="0" xfId="0" applyNumberFormat="1" applyAlignment="1">
      <alignment/>
    </xf>
    <xf numFmtId="43" fontId="0" fillId="0" borderId="22" xfId="0" applyNumberFormat="1" applyBorder="1" applyAlignment="1" applyProtection="1">
      <alignment/>
      <protection locked="0"/>
    </xf>
    <xf numFmtId="43" fontId="6" fillId="0" borderId="0" xfId="42" applyFont="1" applyAlignment="1">
      <alignment/>
    </xf>
    <xf numFmtId="0" fontId="0" fillId="35" borderId="0" xfId="57" applyFill="1" applyAlignment="1">
      <alignment horizontal="center"/>
      <protection/>
    </xf>
    <xf numFmtId="0" fontId="0" fillId="0" borderId="0" xfId="57" applyAlignment="1">
      <alignment wrapText="1"/>
      <protection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37" fontId="0" fillId="0" borderId="0" xfId="0" applyNumberFormat="1" applyAlignment="1">
      <alignment/>
    </xf>
    <xf numFmtId="0" fontId="0" fillId="0" borderId="0" xfId="0" applyFont="1" applyAlignment="1" applyProtection="1">
      <alignment horizontal="left" indent="3"/>
      <protection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 applyProtection="1">
      <alignment horizontal="left" indent="3"/>
      <protection/>
    </xf>
    <xf numFmtId="0" fontId="0" fillId="35" borderId="0" xfId="0" applyFont="1" applyFill="1" applyAlignment="1">
      <alignment/>
    </xf>
    <xf numFmtId="0" fontId="0" fillId="35" borderId="21" xfId="0" applyFont="1" applyFill="1" applyBorder="1" applyAlignment="1" applyProtection="1">
      <alignment horizontal="left" indent="3"/>
      <protection/>
    </xf>
    <xf numFmtId="0" fontId="0" fillId="35" borderId="21" xfId="0" applyFill="1" applyBorder="1" applyAlignment="1">
      <alignment/>
    </xf>
    <xf numFmtId="0" fontId="0" fillId="38" borderId="0" xfId="0" applyFill="1" applyAlignment="1" applyProtection="1">
      <alignment horizontal="left" indent="3"/>
      <protection/>
    </xf>
    <xf numFmtId="0" fontId="0" fillId="38" borderId="0" xfId="0" applyFill="1" applyAlignment="1">
      <alignment/>
    </xf>
    <xf numFmtId="0" fontId="0" fillId="38" borderId="21" xfId="0" applyFill="1" applyBorder="1" applyAlignment="1" applyProtection="1">
      <alignment horizontal="left" indent="3"/>
      <protection/>
    </xf>
    <xf numFmtId="0" fontId="0" fillId="38" borderId="21" xfId="0" applyFill="1" applyBorder="1" applyAlignment="1">
      <alignment/>
    </xf>
    <xf numFmtId="0" fontId="0" fillId="36" borderId="21" xfId="0" applyFont="1" applyFill="1" applyBorder="1" applyAlignment="1" applyProtection="1">
      <alignment horizontal="left" indent="3"/>
      <protection/>
    </xf>
    <xf numFmtId="37" fontId="0" fillId="36" borderId="21" xfId="0" applyNumberForma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ont="1" applyFill="1" applyAlignment="1" applyProtection="1">
      <alignment horizontal="left" indent="3"/>
      <protection/>
    </xf>
    <xf numFmtId="37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40" borderId="21" xfId="0" applyFill="1" applyBorder="1" applyAlignment="1" applyProtection="1">
      <alignment horizontal="left" indent="3"/>
      <protection/>
    </xf>
    <xf numFmtId="0" fontId="0" fillId="40" borderId="21" xfId="0" applyFill="1" applyBorder="1" applyAlignment="1">
      <alignment/>
    </xf>
    <xf numFmtId="0" fontId="0" fillId="40" borderId="0" xfId="0" applyFill="1" applyAlignment="1" applyProtection="1">
      <alignment horizontal="left" indent="5"/>
      <protection/>
    </xf>
    <xf numFmtId="0" fontId="0" fillId="40" borderId="0" xfId="0" applyFill="1" applyAlignment="1">
      <alignment/>
    </xf>
    <xf numFmtId="14" fontId="0" fillId="0" borderId="0" xfId="0" applyNumberFormat="1" applyAlignment="1">
      <alignment horizontal="left"/>
    </xf>
    <xf numFmtId="43" fontId="0" fillId="38" borderId="0" xfId="0" applyNumberFormat="1" applyFill="1" applyAlignment="1">
      <alignment/>
    </xf>
    <xf numFmtId="43" fontId="0" fillId="13" borderId="0" xfId="44" applyFont="1" applyFill="1" applyAlignment="1">
      <alignment/>
    </xf>
    <xf numFmtId="43" fontId="0" fillId="7" borderId="0" xfId="44" applyFont="1" applyFill="1" applyAlignment="1">
      <alignment/>
    </xf>
    <xf numFmtId="0" fontId="0" fillId="7" borderId="0" xfId="0" applyFill="1" applyAlignment="1">
      <alignment/>
    </xf>
    <xf numFmtId="43" fontId="0" fillId="7" borderId="0" xfId="44" applyFont="1" applyFill="1" applyAlignment="1">
      <alignment horizontal="center"/>
    </xf>
    <xf numFmtId="43" fontId="0" fillId="7" borderId="0" xfId="44" applyFont="1" applyFill="1" applyAlignment="1">
      <alignment/>
    </xf>
    <xf numFmtId="43" fontId="0" fillId="7" borderId="0" xfId="0" applyNumberFormat="1" applyFill="1" applyAlignment="1">
      <alignment/>
    </xf>
    <xf numFmtId="0" fontId="25" fillId="7" borderId="0" xfId="57" applyFont="1" applyFill="1">
      <alignment/>
      <protection/>
    </xf>
    <xf numFmtId="2" fontId="0" fillId="23" borderId="0" xfId="0" applyNumberFormat="1" applyFill="1" applyAlignment="1">
      <alignment/>
    </xf>
    <xf numFmtId="43" fontId="0" fillId="23" borderId="0" xfId="44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9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3" fontId="0" fillId="0" borderId="0" xfId="44" applyFont="1" applyFill="1" applyAlignment="1">
      <alignment/>
    </xf>
    <xf numFmtId="43" fontId="4" fillId="0" borderId="21" xfId="44" applyFont="1" applyFill="1" applyBorder="1" applyAlignment="1">
      <alignment/>
    </xf>
    <xf numFmtId="43" fontId="4" fillId="0" borderId="0" xfId="44" applyFont="1" applyFill="1" applyAlignment="1">
      <alignment/>
    </xf>
    <xf numFmtId="43" fontId="0" fillId="0" borderId="0" xfId="44" applyFont="1" applyFill="1" applyAlignment="1">
      <alignment/>
    </xf>
    <xf numFmtId="43" fontId="0" fillId="41" borderId="0" xfId="44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0" fillId="0" borderId="0" xfId="57" applyFont="1">
      <alignment/>
      <protection/>
    </xf>
    <xf numFmtId="6" fontId="15" fillId="0" borderId="0" xfId="0" applyNumberFormat="1" applyFont="1" applyBorder="1" applyAlignment="1" applyProtection="1">
      <alignment horizontal="center"/>
      <protection locked="0"/>
    </xf>
    <xf numFmtId="6" fontId="15" fillId="0" borderId="16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0" sqref="C10:E10"/>
    </sheetView>
  </sheetViews>
  <sheetFormatPr defaultColWidth="8.8515625" defaultRowHeight="12.75"/>
  <cols>
    <col min="1" max="1" width="5.421875" style="65" customWidth="1"/>
    <col min="2" max="2" width="7.57421875" style="65" customWidth="1"/>
    <col min="3" max="3" width="9.00390625" style="65" customWidth="1"/>
    <col min="4" max="4" width="11.421875" style="65" bestFit="1" customWidth="1"/>
    <col min="5" max="5" width="5.421875" style="65" customWidth="1"/>
    <col min="6" max="6" width="7.7109375" style="65" customWidth="1"/>
    <col min="7" max="7" width="2.28125" style="65" customWidth="1"/>
    <col min="8" max="8" width="3.00390625" style="65" customWidth="1"/>
    <col min="9" max="16384" width="8.8515625" style="65" customWidth="1"/>
  </cols>
  <sheetData>
    <row r="1" spans="1:13" ht="12.75">
      <c r="A1" s="36"/>
      <c r="B1" s="36"/>
      <c r="C1" s="87" t="s">
        <v>241</v>
      </c>
      <c r="D1" s="87"/>
      <c r="E1" s="36"/>
      <c r="F1" s="36"/>
      <c r="G1" s="36"/>
      <c r="H1" s="88" t="s">
        <v>277</v>
      </c>
      <c r="I1" s="89"/>
      <c r="J1" s="89"/>
      <c r="K1" s="89"/>
      <c r="L1" s="36"/>
      <c r="M1" s="36"/>
    </row>
    <row r="2" spans="1:15" ht="12.75">
      <c r="A2" s="36"/>
      <c r="B2" s="36"/>
      <c r="C2" s="90" t="s">
        <v>242</v>
      </c>
      <c r="D2" s="87"/>
      <c r="E2" s="36"/>
      <c r="F2" s="36"/>
      <c r="G2" s="36"/>
      <c r="H2" s="91" t="s">
        <v>261</v>
      </c>
      <c r="I2" s="242" t="s">
        <v>276</v>
      </c>
      <c r="J2" s="243"/>
      <c r="K2" s="243"/>
      <c r="L2" s="243"/>
      <c r="M2" s="243"/>
      <c r="N2" s="108"/>
      <c r="O2" s="108"/>
    </row>
    <row r="3" spans="1:15" ht="12.75">
      <c r="A3" s="36"/>
      <c r="B3" s="36"/>
      <c r="C3" s="87" t="s">
        <v>280</v>
      </c>
      <c r="D3" s="87"/>
      <c r="E3" s="36"/>
      <c r="F3" s="36"/>
      <c r="G3" s="36"/>
      <c r="H3" s="36"/>
      <c r="I3" s="243"/>
      <c r="J3" s="243"/>
      <c r="K3" s="243"/>
      <c r="L3" s="243"/>
      <c r="M3" s="243"/>
      <c r="N3" s="108"/>
      <c r="O3" s="108"/>
    </row>
    <row r="4" spans="1:15" ht="12.75">
      <c r="A4" s="36"/>
      <c r="B4" s="36"/>
      <c r="C4" s="36"/>
      <c r="D4" s="36"/>
      <c r="E4" s="36"/>
      <c r="F4" s="36"/>
      <c r="G4" s="36"/>
      <c r="H4" s="91" t="s">
        <v>260</v>
      </c>
      <c r="I4" s="242" t="s">
        <v>275</v>
      </c>
      <c r="J4" s="243"/>
      <c r="K4" s="243"/>
      <c r="L4" s="243"/>
      <c r="M4" s="243"/>
      <c r="N4" s="109"/>
      <c r="O4" s="109"/>
    </row>
    <row r="5" spans="1:15" ht="12.75">
      <c r="A5" s="36"/>
      <c r="B5" s="36"/>
      <c r="C5" s="36"/>
      <c r="D5" s="36"/>
      <c r="E5" s="36"/>
      <c r="F5" s="36"/>
      <c r="G5" s="36"/>
      <c r="H5" s="91"/>
      <c r="I5" s="243"/>
      <c r="J5" s="243"/>
      <c r="K5" s="243"/>
      <c r="L5" s="243"/>
      <c r="M5" s="243"/>
      <c r="N5" s="109"/>
      <c r="O5" s="109"/>
    </row>
    <row r="6" spans="1:15" ht="12.75">
      <c r="A6" s="36"/>
      <c r="B6" s="36"/>
      <c r="C6" s="36"/>
      <c r="D6" s="36"/>
      <c r="E6" s="36"/>
      <c r="F6" s="36"/>
      <c r="G6" s="36"/>
      <c r="H6" s="89"/>
      <c r="I6" s="85" t="s">
        <v>274</v>
      </c>
      <c r="J6" s="89"/>
      <c r="K6" s="36"/>
      <c r="L6" s="92"/>
      <c r="M6" s="92"/>
      <c r="N6" s="109"/>
      <c r="O6" s="109"/>
    </row>
    <row r="7" spans="1:13" s="108" customFormat="1" ht="11.25">
      <c r="A7" s="93"/>
      <c r="B7" s="94"/>
      <c r="C7" s="94"/>
      <c r="D7" s="94"/>
      <c r="E7" s="94"/>
      <c r="F7" s="94"/>
      <c r="G7" s="94"/>
      <c r="H7" s="89"/>
      <c r="I7" s="95" t="s">
        <v>281</v>
      </c>
      <c r="J7" s="89"/>
      <c r="K7" s="89"/>
      <c r="L7" s="92"/>
      <c r="M7" s="94"/>
    </row>
    <row r="8" spans="1:13" s="108" customFormat="1" ht="12" thickBot="1">
      <c r="A8" s="96"/>
      <c r="B8" s="97"/>
      <c r="C8" s="97"/>
      <c r="D8" s="97"/>
      <c r="E8" s="97"/>
      <c r="F8" s="97"/>
      <c r="G8" s="97"/>
      <c r="H8" s="89"/>
      <c r="I8" s="98"/>
      <c r="J8" s="89"/>
      <c r="K8" s="89"/>
      <c r="L8" s="92"/>
      <c r="M8" s="97"/>
    </row>
    <row r="9" spans="1:13" s="108" customFormat="1" ht="11.25" customHeight="1" thickTop="1">
      <c r="A9" s="94" t="s">
        <v>53</v>
      </c>
      <c r="B9" s="99"/>
      <c r="C9" s="94"/>
      <c r="D9" s="94"/>
      <c r="E9" s="94"/>
      <c r="F9" s="94"/>
      <c r="G9" s="94"/>
      <c r="H9" s="100"/>
      <c r="I9" s="100"/>
      <c r="J9" s="100"/>
      <c r="K9" s="100"/>
      <c r="L9" s="100"/>
      <c r="M9" s="94"/>
    </row>
    <row r="10" spans="3:5" s="108" customFormat="1" ht="15.75">
      <c r="C10" s="241" t="s">
        <v>284</v>
      </c>
      <c r="D10" s="241"/>
      <c r="E10" s="241"/>
    </row>
    <row r="11" spans="1:13" s="108" customFormat="1" ht="11.25" customHeight="1" thickBo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s="108" customFormat="1" ht="14.25" customHeight="1" thickTop="1">
      <c r="A12" s="89" t="s">
        <v>243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3:5" s="108" customFormat="1" ht="15.75">
      <c r="C13" s="241" t="s">
        <v>285</v>
      </c>
      <c r="D13" s="241"/>
      <c r="E13" s="241"/>
    </row>
    <row r="14" spans="1:13" s="108" customFormat="1" ht="11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8" customFormat="1" ht="14.25" customHeight="1">
      <c r="A15" s="89" t="s">
        <v>244</v>
      </c>
      <c r="B15" s="89"/>
      <c r="C15" s="89"/>
      <c r="D15" s="89"/>
      <c r="E15" s="89"/>
      <c r="F15" s="89"/>
      <c r="G15" s="89"/>
      <c r="H15" s="89"/>
      <c r="I15" s="89"/>
      <c r="J15" s="101" t="s">
        <v>246</v>
      </c>
      <c r="K15" s="102"/>
      <c r="L15" s="101" t="s">
        <v>245</v>
      </c>
      <c r="M15" s="89"/>
    </row>
    <row r="16" spans="3:13" s="108" customFormat="1" ht="15.75">
      <c r="C16" s="241" t="s">
        <v>288</v>
      </c>
      <c r="D16" s="241"/>
      <c r="E16" s="241"/>
      <c r="J16" s="112"/>
      <c r="K16" s="121" t="s">
        <v>287</v>
      </c>
      <c r="L16" s="122"/>
      <c r="M16" s="118">
        <v>54304</v>
      </c>
    </row>
    <row r="17" spans="1:13" s="108" customFormat="1" ht="12" thickBot="1">
      <c r="A17" s="86"/>
      <c r="B17" s="86"/>
      <c r="C17" s="86"/>
      <c r="D17" s="86"/>
      <c r="E17" s="86"/>
      <c r="F17" s="86"/>
      <c r="G17" s="86"/>
      <c r="H17" s="86"/>
      <c r="I17" s="86"/>
      <c r="J17" s="113"/>
      <c r="K17" s="86"/>
      <c r="L17" s="113"/>
      <c r="M17" s="86"/>
    </row>
    <row r="18" spans="1:13" s="108" customFormat="1" ht="14.25" customHeight="1" thickTop="1">
      <c r="A18" s="87" t="s">
        <v>282</v>
      </c>
      <c r="B18" s="89"/>
      <c r="C18" s="89"/>
      <c r="D18" s="89"/>
      <c r="E18" s="89"/>
      <c r="F18" s="89"/>
      <c r="G18" s="100"/>
      <c r="H18" s="103" t="s">
        <v>247</v>
      </c>
      <c r="I18" s="89"/>
      <c r="J18" s="89"/>
      <c r="K18" s="89"/>
      <c r="L18" s="89"/>
      <c r="M18" s="89"/>
    </row>
    <row r="19" spans="3:9" s="108" customFormat="1" ht="15.75">
      <c r="C19" s="118" t="s">
        <v>289</v>
      </c>
      <c r="G19" s="110"/>
      <c r="H19" s="112"/>
      <c r="I19" s="118" t="s">
        <v>290</v>
      </c>
    </row>
    <row r="20" spans="1:13" s="108" customFormat="1" ht="11.25">
      <c r="A20" s="111"/>
      <c r="B20" s="111"/>
      <c r="C20" s="111"/>
      <c r="D20" s="111"/>
      <c r="E20" s="111"/>
      <c r="F20" s="111"/>
      <c r="G20" s="111"/>
      <c r="H20" s="114"/>
      <c r="I20" s="111"/>
      <c r="J20" s="111"/>
      <c r="K20" s="111"/>
      <c r="L20" s="111"/>
      <c r="M20" s="111"/>
    </row>
    <row r="21" spans="1:13" s="108" customFormat="1" ht="14.25" customHeight="1">
      <c r="A21" s="89"/>
      <c r="B21" s="89"/>
      <c r="C21" s="89"/>
      <c r="D21" s="89"/>
      <c r="E21" s="89"/>
      <c r="F21" s="88" t="s">
        <v>250</v>
      </c>
      <c r="G21" s="89"/>
      <c r="H21" s="89"/>
      <c r="I21" s="89"/>
      <c r="J21" s="89"/>
      <c r="K21" s="89"/>
      <c r="L21" s="89"/>
      <c r="M21" s="89"/>
    </row>
    <row r="22" spans="1:13" s="108" customFormat="1" ht="11.25">
      <c r="A22" s="89" t="s">
        <v>248</v>
      </c>
      <c r="B22" s="104"/>
      <c r="C22" s="89" t="s">
        <v>249</v>
      </c>
      <c r="D22" s="89"/>
      <c r="E22" s="104"/>
      <c r="F22" s="89" t="s">
        <v>251</v>
      </c>
      <c r="G22" s="89"/>
      <c r="H22" s="89"/>
      <c r="I22" s="89"/>
      <c r="J22" s="89"/>
      <c r="K22" s="89"/>
      <c r="L22" s="89"/>
      <c r="M22" s="89"/>
    </row>
    <row r="23" spans="1:8" s="108" customFormat="1" ht="15.75">
      <c r="A23" s="239">
        <v>100000</v>
      </c>
      <c r="B23" s="240"/>
      <c r="C23" s="119"/>
      <c r="D23" s="120">
        <v>40724</v>
      </c>
      <c r="E23" s="115"/>
      <c r="H23" s="118" t="s">
        <v>286</v>
      </c>
    </row>
    <row r="24" spans="1:13" s="108" customFormat="1" ht="12" thickBot="1">
      <c r="A24" s="86"/>
      <c r="B24" s="116"/>
      <c r="C24" s="86"/>
      <c r="D24" s="86"/>
      <c r="E24" s="116"/>
      <c r="F24" s="86"/>
      <c r="G24" s="86"/>
      <c r="H24" s="86"/>
      <c r="I24" s="86"/>
      <c r="J24" s="86"/>
      <c r="K24" s="86"/>
      <c r="L24" s="86"/>
      <c r="M24" s="86"/>
    </row>
    <row r="25" spans="1:13" s="108" customFormat="1" ht="13.5" customHeight="1" thickTop="1">
      <c r="A25" s="89"/>
      <c r="B25" s="89"/>
      <c r="C25" s="89"/>
      <c r="D25" s="89"/>
      <c r="E25" s="89"/>
      <c r="F25" s="88" t="s">
        <v>252</v>
      </c>
      <c r="G25" s="89"/>
      <c r="H25" s="89"/>
      <c r="I25" s="89"/>
      <c r="J25" s="89"/>
      <c r="K25" s="89"/>
      <c r="L25" s="89"/>
      <c r="M25" s="89"/>
    </row>
    <row r="26" spans="1:13" s="108" customFormat="1" ht="11.25">
      <c r="A26" s="89" t="s">
        <v>248</v>
      </c>
      <c r="B26" s="104"/>
      <c r="C26" s="89" t="s">
        <v>249</v>
      </c>
      <c r="D26" s="89"/>
      <c r="E26" s="104"/>
      <c r="F26" s="89" t="s">
        <v>251</v>
      </c>
      <c r="G26" s="89"/>
      <c r="H26" s="89"/>
      <c r="I26" s="89"/>
      <c r="J26" s="89"/>
      <c r="K26" s="89"/>
      <c r="L26" s="89"/>
      <c r="M26" s="89"/>
    </row>
    <row r="27" spans="1:8" s="108" customFormat="1" ht="15.75">
      <c r="A27" s="239">
        <v>100000</v>
      </c>
      <c r="B27" s="240"/>
      <c r="D27" s="120">
        <v>40724</v>
      </c>
      <c r="E27" s="115"/>
      <c r="H27" s="118" t="s">
        <v>286</v>
      </c>
    </row>
    <row r="28" spans="1:13" s="108" customFormat="1" ht="12" thickBot="1">
      <c r="A28" s="86"/>
      <c r="B28" s="116"/>
      <c r="C28" s="86"/>
      <c r="D28" s="86"/>
      <c r="E28" s="116"/>
      <c r="F28" s="86"/>
      <c r="G28" s="86"/>
      <c r="H28" s="86"/>
      <c r="I28" s="86"/>
      <c r="J28" s="86"/>
      <c r="K28" s="86"/>
      <c r="L28" s="86"/>
      <c r="M28" s="86"/>
    </row>
    <row r="29" spans="1:13" s="108" customFormat="1" ht="14.25" customHeight="1" thickTop="1">
      <c r="A29" s="88" t="s">
        <v>253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s="108" customFormat="1" ht="11.25">
      <c r="A30" s="89" t="s">
        <v>254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s="108" customFormat="1" ht="11.25">
      <c r="A31" s="94" t="s">
        <v>255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s="108" customFormat="1" ht="11.25">
      <c r="A32" s="105" t="s">
        <v>283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s="108" customFormat="1" ht="14.25" customHeight="1">
      <c r="A33" s="89" t="s">
        <v>256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101" t="s">
        <v>259</v>
      </c>
      <c r="M33" s="89"/>
    </row>
    <row r="34" s="108" customFormat="1" ht="11.25">
      <c r="L34" s="112"/>
    </row>
    <row r="35" spans="1:13" s="108" customFormat="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8" customFormat="1" ht="14.25" customHeight="1">
      <c r="A36" s="89" t="s">
        <v>257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107" t="s">
        <v>259</v>
      </c>
      <c r="M36" s="89"/>
    </row>
    <row r="37" s="108" customFormat="1" ht="11.25">
      <c r="L37" s="112"/>
    </row>
    <row r="38" spans="1:13" s="108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8" customFormat="1" ht="14.25" customHeight="1">
      <c r="A39" s="89" t="s">
        <v>258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107" t="s">
        <v>259</v>
      </c>
      <c r="M39" s="89"/>
    </row>
    <row r="40" s="108" customFormat="1" ht="11.25">
      <c r="L40" s="112"/>
    </row>
    <row r="41" spans="1:13" s="108" customFormat="1" ht="12" thickBo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113"/>
      <c r="M41" s="86"/>
    </row>
    <row r="42" s="108" customFormat="1" ht="14.25" customHeight="1" thickTop="1"/>
    <row r="43" s="108" customFormat="1" ht="14.25" customHeight="1"/>
    <row r="44" spans="9:10" s="108" customFormat="1" ht="14.25" customHeight="1">
      <c r="I44" s="109"/>
      <c r="J44" s="109"/>
    </row>
    <row r="45" spans="9:10" s="108" customFormat="1" ht="11.25">
      <c r="I45" s="109"/>
      <c r="J45" s="109"/>
    </row>
    <row r="46" spans="4:10" s="108" customFormat="1" ht="11.25">
      <c r="D46" s="117"/>
      <c r="E46" s="109"/>
      <c r="F46" s="109"/>
      <c r="G46" s="109"/>
      <c r="H46" s="109"/>
      <c r="I46" s="109"/>
      <c r="J46" s="109"/>
    </row>
    <row r="47" s="108" customFormat="1" ht="11.25"/>
    <row r="48" s="108" customFormat="1" ht="11.25"/>
    <row r="49" s="108" customFormat="1" ht="11.25"/>
    <row r="50" s="108" customFormat="1" ht="11.25"/>
    <row r="51" s="108" customFormat="1" ht="11.25"/>
    <row r="52" s="108" customFormat="1" ht="11.25"/>
    <row r="53" s="108" customFormat="1" ht="11.25"/>
    <row r="54" s="108" customFormat="1" ht="11.25"/>
    <row r="55" s="108" customFormat="1" ht="11.25"/>
    <row r="56" s="108" customFormat="1" ht="11.25"/>
    <row r="57" s="108" customFormat="1" ht="11.25"/>
    <row r="58" s="108" customFormat="1" ht="11.25"/>
    <row r="59" s="108" customFormat="1" ht="11.25"/>
    <row r="60" s="108" customFormat="1" ht="11.25"/>
    <row r="61" s="108" customFormat="1" ht="11.25"/>
    <row r="62" s="108" customFormat="1" ht="11.25"/>
    <row r="63" s="108" customFormat="1" ht="11.25"/>
    <row r="64" s="108" customFormat="1" ht="11.25"/>
    <row r="65" s="108" customFormat="1" ht="11.25"/>
    <row r="66" s="108" customFormat="1" ht="11.25"/>
  </sheetData>
  <sheetProtection sheet="1" objects="1" scenarios="1" selectLockedCells="1"/>
  <mergeCells count="7">
    <mergeCell ref="A27:B27"/>
    <mergeCell ref="C16:E16"/>
    <mergeCell ref="I2:M3"/>
    <mergeCell ref="I4:M5"/>
    <mergeCell ref="C10:E10"/>
    <mergeCell ref="C13:E13"/>
    <mergeCell ref="A23:B23"/>
  </mergeCells>
  <hyperlinks>
    <hyperlink ref="I6" r:id="rId1" display="dpisfsreports@dpi.state.wi.us"/>
  </hyperlinks>
  <printOptions/>
  <pageMargins left="0.5" right="0.2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1"/>
  <sheetViews>
    <sheetView zoomScalePageLayoutView="0" workbookViewId="0" topLeftCell="C1">
      <selection activeCell="I40" sqref="I40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59" t="s">
        <v>53</v>
      </c>
      <c r="B1" s="62">
        <f>'Signature Page'!$B$9</f>
        <v>0</v>
      </c>
    </row>
    <row r="2" spans="1:2" ht="18">
      <c r="A2" s="60" t="s">
        <v>54</v>
      </c>
      <c r="B2" s="63" t="str">
        <f>Revenues!B2</f>
        <v>2010-11</v>
      </c>
    </row>
    <row r="3" spans="1:2" ht="18">
      <c r="A3" s="60"/>
      <c r="B3" s="61"/>
    </row>
    <row r="4" spans="1:7" ht="12.75">
      <c r="A4" s="21" t="s">
        <v>74</v>
      </c>
      <c r="E4" t="s">
        <v>75</v>
      </c>
      <c r="F4" t="s">
        <v>370</v>
      </c>
      <c r="G4" s="19" t="s">
        <v>374</v>
      </c>
    </row>
    <row r="5" spans="1:3" ht="12.75">
      <c r="A5" s="21" t="s">
        <v>239</v>
      </c>
      <c r="C5" s="19" t="s">
        <v>279</v>
      </c>
    </row>
    <row r="6" spans="1:6" ht="12.75">
      <c r="A6" s="21" t="s">
        <v>238</v>
      </c>
      <c r="E6" t="s">
        <v>76</v>
      </c>
      <c r="F6" s="213">
        <v>40877</v>
      </c>
    </row>
    <row r="8" spans="1:9" ht="12.75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.75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.75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f>+I11</f>
        <v>184885.26</v>
      </c>
      <c r="H11" s="26"/>
      <c r="I11" s="25">
        <v>184885.26</v>
      </c>
    </row>
    <row r="12" spans="1:9" ht="12.75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f>+I12</f>
        <v>68361.63</v>
      </c>
      <c r="H12" s="24"/>
      <c r="I12" s="25">
        <v>68361.63</v>
      </c>
    </row>
    <row r="13" spans="1:9" ht="12.75">
      <c r="A13" s="23" t="s">
        <v>87</v>
      </c>
      <c r="B13" s="23" t="s">
        <v>88</v>
      </c>
      <c r="C13" s="23" t="s">
        <v>92</v>
      </c>
      <c r="D13" s="21" t="s">
        <v>93</v>
      </c>
      <c r="E13" s="25">
        <f>+I13</f>
        <v>6287.59</v>
      </c>
      <c r="F13" s="25">
        <f>+I13</f>
        <v>6287.59</v>
      </c>
      <c r="G13" s="24"/>
      <c r="H13" s="24"/>
      <c r="I13" s="25">
        <v>6287.59</v>
      </c>
    </row>
    <row r="14" spans="1:9" ht="12.75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f>+I14</f>
        <v>0</v>
      </c>
      <c r="G14" s="24"/>
      <c r="H14" s="26"/>
      <c r="I14" s="25">
        <v>0</v>
      </c>
    </row>
    <row r="15" spans="1:9" ht="12.75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f>+I16</f>
        <v>18919.12</v>
      </c>
      <c r="H16" s="26"/>
      <c r="I16" s="25">
        <v>18919.12</v>
      </c>
    </row>
    <row r="17" spans="1:9" ht="12.75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5491.49</v>
      </c>
      <c r="F17" s="25">
        <f>+I17</f>
        <v>5491.49</v>
      </c>
      <c r="G17" s="24"/>
      <c r="H17" s="24"/>
      <c r="I17" s="25">
        <v>5491.49</v>
      </c>
    </row>
    <row r="18" spans="1:9" ht="12.75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649.82</v>
      </c>
      <c r="F18" s="25">
        <f>+I18</f>
        <v>649.82</v>
      </c>
      <c r="G18" s="24"/>
      <c r="H18" s="24"/>
      <c r="I18" s="25">
        <v>649.82</v>
      </c>
    </row>
    <row r="19" spans="1:9" ht="12.75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2277.18</v>
      </c>
      <c r="I20" s="25">
        <v>2277.18</v>
      </c>
    </row>
    <row r="21" spans="1:9" s="45" customFormat="1" ht="12.75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44982.86</v>
      </c>
      <c r="F21" s="44">
        <f>+I21</f>
        <v>44982.86</v>
      </c>
      <c r="G21" s="44"/>
      <c r="H21" s="44"/>
      <c r="I21" s="44">
        <v>44982.86</v>
      </c>
    </row>
    <row r="22" spans="1:9" ht="12.75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8657.85</v>
      </c>
      <c r="F22" s="25">
        <f>+I22</f>
        <v>8657.85</v>
      </c>
      <c r="G22" s="24"/>
      <c r="H22" s="24"/>
      <c r="I22" s="25">
        <v>8657.85</v>
      </c>
    </row>
    <row r="23" spans="1:9" ht="12.75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.75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20111.94</v>
      </c>
      <c r="H29" s="24"/>
      <c r="I29" s="25">
        <v>20111.94</v>
      </c>
    </row>
    <row r="30" spans="1:9" ht="12.75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66069.61</v>
      </c>
      <c r="F32" s="25">
        <f>SUM(F11:F31)</f>
        <v>66069.61</v>
      </c>
      <c r="G32" s="25">
        <f>SUM(G11:G31)</f>
        <v>292277.95</v>
      </c>
      <c r="H32" s="25">
        <f>SUM(H11:H31)</f>
        <v>2277.18</v>
      </c>
      <c r="I32" s="25">
        <f>SUM(I11:I31)</f>
        <v>360624.74</v>
      </c>
    </row>
    <row r="33" spans="1:9" ht="12.75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13300</v>
      </c>
      <c r="H33" s="24"/>
      <c r="I33" s="25">
        <v>13300</v>
      </c>
    </row>
    <row r="34" spans="1:9" ht="12.75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0</v>
      </c>
      <c r="H34" s="24"/>
      <c r="I34" s="25">
        <v>0</v>
      </c>
    </row>
    <row r="35" spans="1:9" ht="12.75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9555241.1</v>
      </c>
      <c r="H35" s="24"/>
      <c r="I35" s="25">
        <f>8923728.03+631513.07</f>
        <v>9555241.1</v>
      </c>
    </row>
    <row r="36" spans="1:9" ht="12.75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0</v>
      </c>
      <c r="H36" s="24"/>
      <c r="I36" s="25">
        <v>0</v>
      </c>
    </row>
    <row r="37" spans="1:9" ht="12.75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10" ht="12.75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392378.81</v>
      </c>
      <c r="H40" s="24"/>
      <c r="I40" s="25">
        <f>185020.41+207358.4</f>
        <v>392378.81</v>
      </c>
      <c r="J40" t="s">
        <v>380</v>
      </c>
    </row>
    <row r="41" spans="1:10" ht="12.75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89422.62</v>
      </c>
      <c r="I41" s="25">
        <f>6067.33+83355.29</f>
        <v>89422.62</v>
      </c>
      <c r="J41" t="s">
        <v>382</v>
      </c>
    </row>
    <row r="42" spans="1:10" ht="12.75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671072.5700000001</v>
      </c>
      <c r="I42" s="25">
        <f>504656+166416.57</f>
        <v>671072.5700000001</v>
      </c>
      <c r="J42" t="s">
        <v>381</v>
      </c>
    </row>
    <row r="43" spans="1:9" ht="12.75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7653837.550000001</v>
      </c>
      <c r="H44" s="26"/>
      <c r="I44" s="25">
        <f>3136083.08+123510.9+7096.42+728763.17+212289.55+119619.9+1550607.86+354489+1421377.67-I43</f>
        <v>7653837.550000001</v>
      </c>
    </row>
    <row r="45" spans="1:9" ht="12.75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1463773.1500000001</v>
      </c>
      <c r="H45" s="24"/>
      <c r="I45" s="25">
        <f>332938.3+194744.79+313130+526426.22+96533.84</f>
        <v>1463773.1500000001</v>
      </c>
    </row>
    <row r="46" spans="1:9" ht="12.75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0</v>
      </c>
      <c r="H46" s="24"/>
      <c r="I46" s="25">
        <v>0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80</v>
      </c>
      <c r="E48" s="25">
        <f>SUM(E32:E47)</f>
        <v>66069.61</v>
      </c>
      <c r="F48" s="25">
        <f>SUM(F32:F47)</f>
        <v>66069.61</v>
      </c>
      <c r="G48" s="25">
        <f>SUM(G32:G47)</f>
        <v>19370808.56</v>
      </c>
      <c r="H48" s="25">
        <f>SUM(H32:H47)</f>
        <v>762772.3700000001</v>
      </c>
      <c r="I48" s="25">
        <f>SUM(I32:I47)</f>
        <v>20199650.54</v>
      </c>
    </row>
    <row r="51" ht="12.75">
      <c r="D51" s="21" t="s">
        <v>140</v>
      </c>
    </row>
    <row r="52" ht="12.75">
      <c r="I52" s="29" t="s">
        <v>135</v>
      </c>
    </row>
    <row r="53" spans="4:5" ht="12.75">
      <c r="D53" s="21" t="s">
        <v>85</v>
      </c>
      <c r="E53" s="33">
        <f>F48/G48</f>
        <v>0.003410782249762733</v>
      </c>
    </row>
    <row r="55" spans="4:5" ht="12.75">
      <c r="D55" s="21" t="s">
        <v>84</v>
      </c>
      <c r="E55" s="33">
        <f>E48/(+G48+F48-E48)</f>
        <v>0.003410782249762733</v>
      </c>
    </row>
    <row r="56" ht="9" customHeight="1"/>
    <row r="57" spans="4:5" ht="12.75">
      <c r="D57" s="20"/>
      <c r="E57" s="21"/>
    </row>
    <row r="58" ht="12.75">
      <c r="D58" s="21" t="s">
        <v>141</v>
      </c>
    </row>
    <row r="59" spans="4:7" ht="12.75">
      <c r="D59" s="39" t="s">
        <v>177</v>
      </c>
      <c r="E59">
        <v>62524.82</v>
      </c>
      <c r="F59">
        <v>62524.82</v>
      </c>
      <c r="G59">
        <v>-62524.82</v>
      </c>
    </row>
    <row r="60" spans="4:7" ht="12.75">
      <c r="D60" s="39" t="s">
        <v>142</v>
      </c>
      <c r="E60">
        <v>12038</v>
      </c>
      <c r="F60">
        <v>12038</v>
      </c>
      <c r="G60">
        <v>-12038</v>
      </c>
    </row>
    <row r="61" spans="4:7" ht="12.75">
      <c r="D61" s="39" t="s">
        <v>143</v>
      </c>
      <c r="E61">
        <v>760.5</v>
      </c>
      <c r="F61">
        <v>760.5</v>
      </c>
      <c r="G61">
        <v>-760.5</v>
      </c>
    </row>
    <row r="62" spans="4:9" ht="12.75">
      <c r="D62" s="39" t="s">
        <v>144</v>
      </c>
      <c r="E62" s="22">
        <v>0</v>
      </c>
      <c r="F62" s="22">
        <v>0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145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146</v>
      </c>
    </row>
    <row r="65" spans="1:9" ht="12.75">
      <c r="A65" s="23"/>
      <c r="B65" s="23"/>
      <c r="C65" s="23"/>
      <c r="D65" s="40" t="s">
        <v>147</v>
      </c>
      <c r="E65" s="22">
        <v>0</v>
      </c>
      <c r="F65" s="22">
        <v>0</v>
      </c>
      <c r="G65" s="22">
        <v>0</v>
      </c>
      <c r="H65" s="25"/>
      <c r="I65" s="25"/>
    </row>
    <row r="66" spans="1:9" ht="12.75">
      <c r="A66" s="23"/>
      <c r="B66" s="23"/>
      <c r="C66" s="23"/>
      <c r="D66" s="192" t="s">
        <v>187</v>
      </c>
      <c r="E66" s="22">
        <v>0</v>
      </c>
      <c r="F66" s="22">
        <v>0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149</v>
      </c>
      <c r="E69" s="25">
        <f>-'indirect backup'!B5</f>
        <v>0</v>
      </c>
      <c r="F69" s="25">
        <f>-'indirect backup'!C5</f>
        <v>0</v>
      </c>
      <c r="G69" s="25">
        <f>-'indirect backup'!D5</f>
        <v>1957534.13</v>
      </c>
      <c r="H69" s="25">
        <f>-'indirect backup'!E5</f>
        <v>-1957534.13</v>
      </c>
      <c r="I69" s="25"/>
    </row>
    <row r="70" spans="1:9" ht="12.75">
      <c r="A70" s="23"/>
      <c r="B70" s="23"/>
      <c r="C70" s="23"/>
      <c r="D70" s="40" t="s">
        <v>150</v>
      </c>
      <c r="E70" s="25"/>
      <c r="F70" s="25"/>
      <c r="G70" s="25"/>
      <c r="H70" s="25"/>
      <c r="I70" s="25"/>
    </row>
    <row r="71" spans="1:9" ht="12.75">
      <c r="A71" s="23"/>
      <c r="B71" s="23"/>
      <c r="C71" s="23"/>
      <c r="D71" s="39" t="s">
        <v>151</v>
      </c>
      <c r="E71" s="25">
        <f>-'indirect backup'!B9</f>
        <v>44982.86</v>
      </c>
      <c r="F71" s="25">
        <f>-'indirect backup'!C9</f>
        <v>44982.86</v>
      </c>
      <c r="G71" s="25">
        <f>-'indirect backup'!D9</f>
        <v>1370616.27</v>
      </c>
      <c r="H71" s="25">
        <f>-'indirect backup'!E9</f>
        <v>-1415599.13</v>
      </c>
      <c r="I71" s="25"/>
    </row>
    <row r="72" spans="1:9" ht="12.75">
      <c r="A72" s="23"/>
      <c r="B72" s="23"/>
      <c r="C72" s="23"/>
      <c r="D72" s="39" t="s">
        <v>152</v>
      </c>
      <c r="E72" s="25">
        <f>-'indirect backup'!B14</f>
        <v>0</v>
      </c>
      <c r="F72" s="25">
        <f>-'indirect backup'!C14</f>
        <v>0</v>
      </c>
      <c r="G72" s="25">
        <f>-'indirect backup'!D14</f>
        <v>222433.11</v>
      </c>
      <c r="H72" s="25">
        <f>-'indirect backup'!E14</f>
        <v>-222433.11</v>
      </c>
      <c r="I72" s="25"/>
    </row>
    <row r="73" spans="1:9" ht="12.75">
      <c r="A73" s="23"/>
      <c r="B73" s="23"/>
      <c r="C73" s="23"/>
      <c r="D73" s="39" t="s">
        <v>153</v>
      </c>
      <c r="E73" s="25">
        <f>-'indirect backup'!B21</f>
        <v>0</v>
      </c>
      <c r="F73" s="25">
        <f>-'indirect backup'!C21</f>
        <v>0</v>
      </c>
      <c r="G73" s="25">
        <f>-'indirect backup'!D21</f>
        <v>0</v>
      </c>
      <c r="H73" s="25">
        <f>-'indirect backup'!E21</f>
        <v>0</v>
      </c>
      <c r="I73" s="25"/>
    </row>
    <row r="74" spans="1:9" ht="12.75">
      <c r="A74" s="23"/>
      <c r="B74" s="23"/>
      <c r="C74" s="23"/>
      <c r="D74" s="39" t="s">
        <v>187</v>
      </c>
      <c r="E74" s="25">
        <f>-'indirect backup'!B22</f>
        <v>-601365.08</v>
      </c>
      <c r="F74" s="25">
        <f>-'indirect backup'!C22</f>
        <v>-601365.08</v>
      </c>
      <c r="G74" s="25">
        <f>-'indirect backup'!D22</f>
        <v>1472041</v>
      </c>
      <c r="H74" s="25">
        <f>-'indirect backup'!E22</f>
        <v>-870675.92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154</v>
      </c>
      <c r="E76" s="25">
        <f>+E48+SUM(E59:E67)-SUM(E69:E75)</f>
        <v>697775.1499999999</v>
      </c>
      <c r="F76" s="25">
        <f>+F48+SUM(F59:F67)-SUM(F69:F75)</f>
        <v>697775.1499999999</v>
      </c>
      <c r="G76" s="25">
        <f>+G48+SUM(G59:G67)-SUM(G69:G75)</f>
        <v>14272860.729999999</v>
      </c>
      <c r="H76" s="25">
        <f>+H48+SUM(H59:H67)-SUM(H69:H75)</f>
        <v>5229014.66</v>
      </c>
      <c r="I76" s="25">
        <f>+I48+SUM(I59:I65)-SUM(I69:I73)</f>
        <v>20199650.54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85</v>
      </c>
      <c r="E80" s="33">
        <f>F76/G76</f>
        <v>0.04888824764704335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84</v>
      </c>
      <c r="E82" s="33">
        <f>E76/(+G76+F76-E76)</f>
        <v>0.04888824764704335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/>
      <c r="E86" s="25"/>
      <c r="F86" s="25"/>
      <c r="G86" s="25"/>
      <c r="H86" s="25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46" r:id="rId3"/>
  <headerFooter alignWithMargins="0">
    <oddFooter>&amp;L&amp;Z&amp;F&amp;R&amp;D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7.57421875" style="0" bestFit="1" customWidth="1"/>
    <col min="2" max="6" width="14.57421875" style="0" customWidth="1"/>
    <col min="8" max="8" width="10.140625" style="0" bestFit="1" customWidth="1"/>
  </cols>
  <sheetData>
    <row r="1" ht="23.25">
      <c r="A1" s="189" t="s">
        <v>354</v>
      </c>
    </row>
    <row r="2" spans="2:6" ht="12.75">
      <c r="B2" s="22" t="s">
        <v>77</v>
      </c>
      <c r="C2" s="22" t="s">
        <v>77</v>
      </c>
      <c r="D2" s="22" t="s">
        <v>78</v>
      </c>
      <c r="E2" s="22" t="s">
        <v>79</v>
      </c>
      <c r="F2" s="22" t="s">
        <v>80</v>
      </c>
    </row>
    <row r="3" spans="2:6" ht="12.75">
      <c r="B3" s="190" t="s">
        <v>84</v>
      </c>
      <c r="C3" s="22" t="s">
        <v>85</v>
      </c>
      <c r="D3" s="22" t="s">
        <v>86</v>
      </c>
      <c r="E3" s="22" t="s">
        <v>86</v>
      </c>
      <c r="F3" s="22" t="s">
        <v>86</v>
      </c>
    </row>
    <row r="4" spans="1:6" ht="12.75">
      <c r="A4" s="21" t="s">
        <v>148</v>
      </c>
      <c r="F4">
        <f>SUM(C4:E4)</f>
        <v>0</v>
      </c>
    </row>
    <row r="5" spans="1:6" ht="13.5" thickBot="1">
      <c r="A5" s="209" t="s">
        <v>149</v>
      </c>
      <c r="B5" s="210"/>
      <c r="C5" s="210"/>
      <c r="D5" s="210">
        <f>SUM(D6:D7)</f>
        <v>-1957534.13</v>
      </c>
      <c r="E5" s="210">
        <f>SUM(E6:E7)</f>
        <v>1957534.13</v>
      </c>
      <c r="F5" s="210">
        <f>SUM(C5:E5)</f>
        <v>0</v>
      </c>
    </row>
    <row r="6" spans="1:6" ht="13.5" thickTop="1">
      <c r="A6" s="211" t="s">
        <v>150</v>
      </c>
      <c r="B6" s="212"/>
      <c r="C6" s="212"/>
      <c r="D6" s="212">
        <f>-E6</f>
        <v>-1325309</v>
      </c>
      <c r="E6" s="212">
        <v>1325309</v>
      </c>
      <c r="F6" s="212"/>
    </row>
    <row r="7" spans="1:6" ht="12.75">
      <c r="A7" s="211" t="s">
        <v>369</v>
      </c>
      <c r="B7" s="212"/>
      <c r="C7" s="212"/>
      <c r="D7" s="212">
        <f>-E7</f>
        <v>-632225.13</v>
      </c>
      <c r="E7" s="212">
        <f>267869.66+5224.51+353675.78+5455.18</f>
        <v>632225.13</v>
      </c>
      <c r="F7" s="212">
        <f aca="true" t="shared" si="0" ref="F7:F36">SUM(C7:E7)</f>
        <v>0</v>
      </c>
    </row>
    <row r="8" spans="1:6" ht="12.75">
      <c r="A8" s="40"/>
      <c r="F8">
        <f t="shared" si="0"/>
        <v>0</v>
      </c>
    </row>
    <row r="9" spans="1:6" ht="13.5" thickBot="1">
      <c r="A9" s="203" t="s">
        <v>151</v>
      </c>
      <c r="B9" s="204">
        <f>SUM(B10:B12)</f>
        <v>-44982.86</v>
      </c>
      <c r="C9" s="204">
        <f>SUM(C10:C12)</f>
        <v>-44982.86</v>
      </c>
      <c r="D9" s="204">
        <f>SUM(D10:D12)</f>
        <v>-1370616.27</v>
      </c>
      <c r="E9" s="204">
        <f>SUM(E10:E12)</f>
        <v>1415599.13</v>
      </c>
      <c r="F9" s="205">
        <f t="shared" si="0"/>
        <v>0</v>
      </c>
    </row>
    <row r="10" spans="1:6" ht="13.5" thickTop="1">
      <c r="A10" s="206" t="s">
        <v>363</v>
      </c>
      <c r="B10" s="207">
        <f>-'Indirect cost worksheet'!E21</f>
        <v>-44982.86</v>
      </c>
      <c r="C10" s="207">
        <f>-'Indirect cost worksheet'!F21</f>
        <v>-44982.86</v>
      </c>
      <c r="D10" s="208"/>
      <c r="E10" s="207">
        <f>-B10</f>
        <v>44982.86</v>
      </c>
      <c r="F10" s="208">
        <f t="shared" si="0"/>
        <v>0</v>
      </c>
    </row>
    <row r="11" spans="1:6" ht="12.75">
      <c r="A11" s="206" t="s">
        <v>366</v>
      </c>
      <c r="B11" s="207"/>
      <c r="C11" s="207"/>
      <c r="D11" s="207">
        <f>-E11</f>
        <v>-361832.55</v>
      </c>
      <c r="E11" s="207">
        <v>361832.55</v>
      </c>
      <c r="F11" s="208"/>
    </row>
    <row r="12" spans="1:6" ht="12.75">
      <c r="A12" s="206" t="s">
        <v>364</v>
      </c>
      <c r="B12" s="207"/>
      <c r="C12" s="207"/>
      <c r="D12" s="207">
        <f>-E12</f>
        <v>-1008783.72</v>
      </c>
      <c r="E12" s="207">
        <f>587940.5+90444.45+124025.01+206373.76</f>
        <v>1008783.72</v>
      </c>
      <c r="F12" s="208"/>
    </row>
    <row r="13" spans="1:5" ht="12.75">
      <c r="A13" s="192"/>
      <c r="B13" s="191"/>
      <c r="C13" s="191"/>
      <c r="E13" s="191"/>
    </row>
    <row r="14" spans="1:6" ht="13.5" thickBot="1">
      <c r="A14" s="201" t="s">
        <v>152</v>
      </c>
      <c r="B14" s="202"/>
      <c r="C14" s="202"/>
      <c r="D14" s="202">
        <f>SUM(D15:D19)</f>
        <v>-222433.11</v>
      </c>
      <c r="E14" s="202">
        <f>SUM(E15:E19)</f>
        <v>222433.11</v>
      </c>
      <c r="F14" s="202">
        <f aca="true" t="shared" si="1" ref="F14:F19">SUM(C14:E14)</f>
        <v>0</v>
      </c>
    </row>
    <row r="15" spans="1:8" ht="13.5" thickTop="1">
      <c r="A15" s="199" t="s">
        <v>362</v>
      </c>
      <c r="B15" s="200"/>
      <c r="C15" s="200"/>
      <c r="D15" s="200">
        <f>-E15</f>
        <v>-222433.11</v>
      </c>
      <c r="E15" s="200">
        <v>222433.11</v>
      </c>
      <c r="F15" s="200">
        <f t="shared" si="1"/>
        <v>0</v>
      </c>
      <c r="H15" s="79">
        <v>256366.38</v>
      </c>
    </row>
    <row r="16" spans="1:6" ht="12.75">
      <c r="A16" s="199"/>
      <c r="B16" s="200"/>
      <c r="C16" s="200"/>
      <c r="D16" s="200">
        <f>-E16</f>
        <v>0</v>
      </c>
      <c r="E16" s="200"/>
      <c r="F16" s="200">
        <f t="shared" si="1"/>
        <v>0</v>
      </c>
    </row>
    <row r="17" spans="1:6" ht="12.75">
      <c r="A17" s="199"/>
      <c r="B17" s="200"/>
      <c r="C17" s="200"/>
      <c r="D17" s="200">
        <f>-E17</f>
        <v>0</v>
      </c>
      <c r="E17" s="200"/>
      <c r="F17" s="200">
        <f t="shared" si="1"/>
        <v>0</v>
      </c>
    </row>
    <row r="18" spans="1:6" ht="12.75">
      <c r="A18" s="199"/>
      <c r="B18" s="200"/>
      <c r="C18" s="200"/>
      <c r="D18" s="200">
        <f>-E18</f>
        <v>0</v>
      </c>
      <c r="E18" s="200"/>
      <c r="F18" s="200">
        <f t="shared" si="1"/>
        <v>0</v>
      </c>
    </row>
    <row r="19" spans="1:6" ht="12.75">
      <c r="A19" s="199"/>
      <c r="B19" s="200"/>
      <c r="C19" s="200"/>
      <c r="D19" s="200">
        <f>-E19</f>
        <v>0</v>
      </c>
      <c r="E19" s="200"/>
      <c r="F19" s="200">
        <f t="shared" si="1"/>
        <v>0</v>
      </c>
    </row>
    <row r="20" ht="12.75">
      <c r="A20" s="39"/>
    </row>
    <row r="21" spans="1:6" ht="12.75">
      <c r="A21" s="39" t="s">
        <v>153</v>
      </c>
      <c r="F21">
        <f t="shared" si="0"/>
        <v>0</v>
      </c>
    </row>
    <row r="22" spans="1:6" ht="13.5" thickBot="1">
      <c r="A22" s="197" t="s">
        <v>355</v>
      </c>
      <c r="B22" s="198">
        <f>SUM(B23:B30)</f>
        <v>601365.08</v>
      </c>
      <c r="C22" s="198">
        <f>SUM(C23:C30)</f>
        <v>601365.08</v>
      </c>
      <c r="D22" s="198">
        <f>SUM(D23:D30)</f>
        <v>-1472041</v>
      </c>
      <c r="E22" s="198">
        <f>SUM(E23:E30)</f>
        <v>870675.92</v>
      </c>
      <c r="F22" s="198">
        <f t="shared" si="0"/>
        <v>0</v>
      </c>
    </row>
    <row r="23" spans="1:6" ht="13.5" thickTop="1">
      <c r="A23" s="195" t="s">
        <v>356</v>
      </c>
      <c r="B23" s="194">
        <f>266138.93+150110.28</f>
        <v>416249.20999999996</v>
      </c>
      <c r="C23" s="194">
        <f aca="true" t="shared" si="2" ref="C23:C30">+B23</f>
        <v>416249.20999999996</v>
      </c>
      <c r="D23" s="194">
        <v>0</v>
      </c>
      <c r="E23" s="196">
        <f aca="true" t="shared" si="3" ref="E23:E28">-SUM(C23:D23)</f>
        <v>-416249.20999999996</v>
      </c>
      <c r="F23" s="194">
        <f t="shared" si="0"/>
        <v>0</v>
      </c>
    </row>
    <row r="24" spans="1:6" ht="12.75">
      <c r="A24" s="195" t="s">
        <v>357</v>
      </c>
      <c r="B24" s="194">
        <f>173441.01-49366.84-26191-28683</f>
        <v>69200.17000000001</v>
      </c>
      <c r="C24" s="194">
        <f t="shared" si="2"/>
        <v>69200.17000000001</v>
      </c>
      <c r="D24" s="194">
        <v>0</v>
      </c>
      <c r="E24" s="196">
        <f t="shared" si="3"/>
        <v>-69200.17000000001</v>
      </c>
      <c r="F24" s="194">
        <f t="shared" si="0"/>
        <v>0</v>
      </c>
    </row>
    <row r="25" spans="1:6" ht="12.75">
      <c r="A25" s="195" t="s">
        <v>358</v>
      </c>
      <c r="B25" s="194">
        <v>29801.35</v>
      </c>
      <c r="C25" s="194">
        <f t="shared" si="2"/>
        <v>29801.35</v>
      </c>
      <c r="D25" s="194">
        <v>0</v>
      </c>
      <c r="E25" s="196">
        <f t="shared" si="3"/>
        <v>-29801.35</v>
      </c>
      <c r="F25" s="194">
        <f t="shared" si="0"/>
        <v>0</v>
      </c>
    </row>
    <row r="26" spans="1:6" ht="12.75">
      <c r="A26" s="195" t="s">
        <v>359</v>
      </c>
      <c r="B26" s="194">
        <v>2548</v>
      </c>
      <c r="C26" s="194">
        <f t="shared" si="2"/>
        <v>2548</v>
      </c>
      <c r="D26" s="194">
        <v>0</v>
      </c>
      <c r="E26" s="196">
        <f t="shared" si="3"/>
        <v>-2548</v>
      </c>
      <c r="F26" s="194">
        <f t="shared" si="0"/>
        <v>0</v>
      </c>
    </row>
    <row r="27" spans="1:6" ht="12.75">
      <c r="A27" s="195" t="s">
        <v>360</v>
      </c>
      <c r="B27" s="194">
        <v>2022.74</v>
      </c>
      <c r="C27" s="194">
        <f t="shared" si="2"/>
        <v>2022.74</v>
      </c>
      <c r="D27" s="194">
        <v>0</v>
      </c>
      <c r="E27" s="196">
        <f t="shared" si="3"/>
        <v>-2022.74</v>
      </c>
      <c r="F27" s="194">
        <f t="shared" si="0"/>
        <v>0</v>
      </c>
    </row>
    <row r="28" spans="1:6" ht="12.75">
      <c r="A28" s="195" t="s">
        <v>361</v>
      </c>
      <c r="B28" s="194">
        <v>8177.61</v>
      </c>
      <c r="C28" s="194">
        <f t="shared" si="2"/>
        <v>8177.61</v>
      </c>
      <c r="D28" s="194">
        <v>0</v>
      </c>
      <c r="E28" s="196">
        <f t="shared" si="3"/>
        <v>-8177.61</v>
      </c>
      <c r="F28" s="194">
        <f t="shared" si="0"/>
        <v>0</v>
      </c>
    </row>
    <row r="29" spans="1:6" ht="12.75">
      <c r="A29" s="195" t="s">
        <v>368</v>
      </c>
      <c r="B29" s="194"/>
      <c r="C29" s="194"/>
      <c r="D29" s="194">
        <f>-E29</f>
        <v>-1398675</v>
      </c>
      <c r="E29" s="196">
        <v>1398675</v>
      </c>
      <c r="F29" s="194"/>
    </row>
    <row r="30" spans="1:6" ht="12.75">
      <c r="A30" s="194" t="s">
        <v>365</v>
      </c>
      <c r="B30" s="194">
        <v>73366</v>
      </c>
      <c r="C30" s="194">
        <f t="shared" si="2"/>
        <v>73366</v>
      </c>
      <c r="D30" s="194">
        <f>-C30</f>
        <v>-73366</v>
      </c>
      <c r="E30" s="196"/>
      <c r="F30" s="194">
        <f t="shared" si="0"/>
        <v>0</v>
      </c>
    </row>
    <row r="31" ht="12.75">
      <c r="F31">
        <f t="shared" si="0"/>
        <v>0</v>
      </c>
    </row>
    <row r="32" ht="12.75">
      <c r="F32">
        <f t="shared" si="0"/>
        <v>0</v>
      </c>
    </row>
    <row r="33" ht="12.75">
      <c r="F33">
        <f t="shared" si="0"/>
        <v>0</v>
      </c>
    </row>
    <row r="34" spans="1:6" ht="12.75">
      <c r="A34" s="19"/>
      <c r="E34" s="193"/>
      <c r="F34">
        <f t="shared" si="0"/>
        <v>0</v>
      </c>
    </row>
    <row r="35" ht="12.75">
      <c r="F35">
        <f t="shared" si="0"/>
        <v>0</v>
      </c>
    </row>
    <row r="36" ht="12.75">
      <c r="F36">
        <f t="shared" si="0"/>
        <v>0</v>
      </c>
    </row>
  </sheetData>
  <sheetProtection/>
  <printOptions/>
  <pageMargins left="0.7" right="0.7" top="0.75" bottom="0.75" header="0.3" footer="0.3"/>
  <pageSetup fitToHeight="1" fitToWidth="1"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174</v>
      </c>
    </row>
    <row r="2" ht="15.75">
      <c r="A2" s="43"/>
    </row>
    <row r="4" spans="1:13" ht="12.75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172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59" t="s">
        <v>53</v>
      </c>
      <c r="B1" s="64" t="str">
        <f>'Signature Page'!$C$10</f>
        <v>CESA 07</v>
      </c>
    </row>
    <row r="2" spans="1:2" ht="18">
      <c r="A2" s="9" t="s">
        <v>54</v>
      </c>
      <c r="B2" s="41" t="s">
        <v>278</v>
      </c>
    </row>
    <row r="3" spans="3:4" ht="18">
      <c r="C3" s="78" t="s">
        <v>0</v>
      </c>
      <c r="D3" s="11"/>
    </row>
    <row r="4" ht="15.75">
      <c r="C4" s="73" t="s">
        <v>45</v>
      </c>
    </row>
    <row r="5" ht="15.75">
      <c r="C5" s="1"/>
    </row>
    <row r="6" spans="2:4" ht="12.75">
      <c r="B6" s="56" t="s">
        <v>169</v>
      </c>
      <c r="C6" s="56" t="s">
        <v>171</v>
      </c>
      <c r="D6" s="57"/>
    </row>
    <row r="7" spans="2:4" ht="12.75">
      <c r="B7" s="58" t="s">
        <v>170</v>
      </c>
      <c r="C7" s="58" t="s">
        <v>63</v>
      </c>
      <c r="D7" s="58" t="s">
        <v>66</v>
      </c>
    </row>
    <row r="8" spans="2:4" ht="12.75">
      <c r="B8" s="56" t="s">
        <v>45</v>
      </c>
      <c r="C8" s="58" t="s">
        <v>64</v>
      </c>
      <c r="D8" s="58" t="s">
        <v>45</v>
      </c>
    </row>
    <row r="9" ht="12.75">
      <c r="A9" s="19" t="s">
        <v>1</v>
      </c>
    </row>
    <row r="10" spans="1:4" ht="12.75">
      <c r="A10" s="152" t="s">
        <v>2</v>
      </c>
      <c r="B10" s="153">
        <f>+'Revenue Worksheet'!D1</f>
        <v>1409134.3599999999</v>
      </c>
      <c r="C10" s="5"/>
      <c r="D10" s="5">
        <f aca="true" t="shared" si="0" ref="D10:D18">+B10+C10</f>
        <v>1409134.3599999999</v>
      </c>
    </row>
    <row r="11" spans="1:4" ht="12.75">
      <c r="A11" s="154" t="s">
        <v>47</v>
      </c>
      <c r="B11" s="155">
        <f>+'Revenue Worksheet'!D12</f>
        <v>8050164.2700000005</v>
      </c>
      <c r="C11" s="5"/>
      <c r="D11" s="5">
        <f t="shared" si="0"/>
        <v>8050164.2700000005</v>
      </c>
    </row>
    <row r="12" spans="1:4" ht="12.75">
      <c r="A12" s="162" t="s">
        <v>46</v>
      </c>
      <c r="B12" s="163">
        <f>+'Revenue Worksheet'!D18</f>
        <v>0</v>
      </c>
      <c r="C12" s="5"/>
      <c r="D12" s="5">
        <f t="shared" si="0"/>
        <v>0</v>
      </c>
    </row>
    <row r="13" spans="1:4" ht="12.75">
      <c r="A13" s="156" t="s">
        <v>5</v>
      </c>
      <c r="B13" s="157">
        <f>+'Revenue Worksheet'!D23</f>
        <v>16650.58</v>
      </c>
      <c r="C13" s="5"/>
      <c r="D13" s="5">
        <f t="shared" si="0"/>
        <v>16650.58</v>
      </c>
    </row>
    <row r="14" spans="1:4" ht="12.75">
      <c r="A14" s="158" t="s">
        <v>3</v>
      </c>
      <c r="B14" s="159">
        <f>+'Revenue Worksheet'!D26</f>
        <v>1221753.63</v>
      </c>
      <c r="C14" s="5"/>
      <c r="D14" s="5">
        <f t="shared" si="0"/>
        <v>1221753.63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160" t="s">
        <v>48</v>
      </c>
      <c r="B16" s="161">
        <f>+'Revenue Worksheet'!D39</f>
        <v>560361.18</v>
      </c>
      <c r="C16" s="5"/>
      <c r="D16" s="5">
        <f t="shared" si="0"/>
        <v>560361.18</v>
      </c>
    </row>
    <row r="17" spans="1:4" ht="12.75">
      <c r="A17" s="2" t="s">
        <v>29</v>
      </c>
      <c r="B17" s="13">
        <v>21839.95</v>
      </c>
      <c r="C17" s="5"/>
      <c r="D17" s="5">
        <f t="shared" si="0"/>
        <v>21839.95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11279903.969999999</v>
      </c>
      <c r="C19" s="5"/>
      <c r="D19" s="5">
        <f>SUM(D10:D18)</f>
        <v>11279903.969999999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f>3414523.76-B23</f>
        <v>582912.0199999996</v>
      </c>
      <c r="C22" s="5"/>
      <c r="D22" s="5">
        <f>+B22+C22</f>
        <v>582912.0199999996</v>
      </c>
    </row>
    <row r="23" spans="1:4" ht="12.75">
      <c r="A23" s="2" t="s">
        <v>7</v>
      </c>
      <c r="B23" s="14">
        <f>1686900+1138006.45+6705.29</f>
        <v>2831611.74</v>
      </c>
      <c r="C23" s="5"/>
      <c r="D23" s="17">
        <f>+B23+C23</f>
        <v>2831611.74</v>
      </c>
    </row>
    <row r="24" spans="1:4" ht="12.75">
      <c r="A24" s="4" t="s">
        <v>36</v>
      </c>
      <c r="B24" s="5">
        <f>SUM(B22:B23)</f>
        <v>3414523.76</v>
      </c>
      <c r="C24" s="5"/>
      <c r="D24" s="5">
        <f>SUM(D22:D23)</f>
        <v>3414523.76</v>
      </c>
    </row>
    <row r="25" spans="1:3" ht="12.75">
      <c r="A25" s="5"/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273832.28</v>
      </c>
      <c r="C27" s="5"/>
      <c r="D27" s="5">
        <f>+B27+C27</f>
        <v>273832.28</v>
      </c>
    </row>
    <row r="28" spans="1:4" ht="12.75">
      <c r="A28" s="2" t="s">
        <v>32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1325309</v>
      </c>
      <c r="C30" s="5"/>
      <c r="D30" s="17">
        <f>+B30+C30</f>
        <v>1325309</v>
      </c>
    </row>
    <row r="31" spans="1:4" ht="12.75">
      <c r="A31" s="4" t="s">
        <v>37</v>
      </c>
      <c r="B31" s="5">
        <f>SUM(B27:B30)</f>
        <v>1623266.28</v>
      </c>
      <c r="C31" s="5"/>
      <c r="D31" s="5">
        <f>SUM(D27:D30)</f>
        <v>1623266.28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2611270.87</v>
      </c>
      <c r="C34" s="5"/>
      <c r="D34" s="5">
        <f>+B34+C34</f>
        <v>2611270.87</v>
      </c>
    </row>
    <row r="35" spans="1:4" ht="12.75">
      <c r="A35" s="2" t="s">
        <v>49</v>
      </c>
      <c r="B35" s="12">
        <f>4053864.19-B34</f>
        <v>1442593.3199999998</v>
      </c>
      <c r="C35" s="5"/>
      <c r="D35" s="5">
        <f>+B35+C35</f>
        <v>1442593.3199999998</v>
      </c>
    </row>
    <row r="36" spans="1:4" ht="12.75">
      <c r="A36" s="164" t="s">
        <v>33</v>
      </c>
      <c r="B36" s="165">
        <f>+'Revenue Worksheet'!C46</f>
        <v>0</v>
      </c>
      <c r="C36" s="5"/>
      <c r="D36" s="17">
        <f>+B36+C36</f>
        <v>0</v>
      </c>
    </row>
    <row r="37" spans="1:4" ht="12.75">
      <c r="A37" s="4" t="s">
        <v>38</v>
      </c>
      <c r="B37" s="5">
        <f>SUM(B34:B36)</f>
        <v>4053864.19</v>
      </c>
      <c r="C37" s="5"/>
      <c r="D37" s="5">
        <f>SUM(D34:D36)</f>
        <v>4053864.19</v>
      </c>
    </row>
    <row r="38" ht="12.75">
      <c r="C38" s="5"/>
    </row>
    <row r="39" spans="1:4" ht="12.75">
      <c r="A39" s="7" t="s">
        <v>34</v>
      </c>
      <c r="B39" s="8">
        <f>+B19+B24+B31+B37</f>
        <v>20371558.2</v>
      </c>
      <c r="C39" s="5"/>
      <c r="D39" s="8">
        <f>+D19+D24+D31+D37</f>
        <v>20371558.2</v>
      </c>
    </row>
    <row r="41" ht="12.75">
      <c r="B41" s="168">
        <f>20371558.2-B39</f>
        <v>0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0.57421875" style="0" bestFit="1" customWidth="1"/>
    <col min="2" max="2" width="41.57421875" style="0" bestFit="1" customWidth="1"/>
    <col min="3" max="4" width="12.8515625" style="0" bestFit="1" customWidth="1"/>
    <col min="5" max="5" width="18.28125" style="0" customWidth="1"/>
    <col min="6" max="6" width="31.421875" style="0" bestFit="1" customWidth="1"/>
  </cols>
  <sheetData>
    <row r="1" spans="1:6" ht="12.75">
      <c r="A1" s="123" t="s">
        <v>2</v>
      </c>
      <c r="B1" s="124"/>
      <c r="C1" s="125"/>
      <c r="D1" s="125">
        <f>SUM(C2:C10)</f>
        <v>1409134.3599999999</v>
      </c>
      <c r="E1" s="126"/>
      <c r="F1" s="126">
        <v>8845138.43</v>
      </c>
    </row>
    <row r="2" spans="1:4" ht="12.75">
      <c r="A2" s="127">
        <v>100</v>
      </c>
      <c r="B2" s="124" t="s">
        <v>291</v>
      </c>
      <c r="C2" s="125">
        <v>97790.88</v>
      </c>
      <c r="D2" s="125"/>
    </row>
    <row r="3" spans="1:4" ht="12.75">
      <c r="A3" s="127" t="s">
        <v>292</v>
      </c>
      <c r="B3" s="124" t="s">
        <v>293</v>
      </c>
      <c r="C3" s="125">
        <f>1092015.52+244442.88</f>
        <v>1336458.4</v>
      </c>
      <c r="D3" s="125"/>
    </row>
    <row r="4" spans="1:4" ht="12.75">
      <c r="A4" s="127">
        <v>230</v>
      </c>
      <c r="B4" s="124" t="s">
        <v>367</v>
      </c>
      <c r="C4" s="125">
        <f>-C43</f>
        <v>-23495.92</v>
      </c>
      <c r="D4" s="125"/>
    </row>
    <row r="5" spans="1:4" ht="12.75">
      <c r="A5" s="124"/>
      <c r="B5" s="124" t="s">
        <v>295</v>
      </c>
      <c r="C5" s="125"/>
      <c r="D5" s="125"/>
    </row>
    <row r="6" spans="1:4" ht="12.75" hidden="1">
      <c r="A6" s="124"/>
      <c r="B6" s="186"/>
      <c r="C6" s="125"/>
      <c r="D6" s="125"/>
    </row>
    <row r="7" spans="1:4" ht="12.75" hidden="1">
      <c r="A7" s="124"/>
      <c r="B7" s="124"/>
      <c r="C7" s="125"/>
      <c r="D7" s="125"/>
    </row>
    <row r="8" spans="1:4" ht="12.75" hidden="1">
      <c r="A8" s="124"/>
      <c r="B8" s="124"/>
      <c r="C8" s="125"/>
      <c r="D8" s="125"/>
    </row>
    <row r="9" spans="1:4" ht="12.75">
      <c r="A9" s="125" t="s">
        <v>296</v>
      </c>
      <c r="B9" s="125"/>
      <c r="C9" s="125"/>
      <c r="D9" s="125"/>
    </row>
    <row r="10" spans="1:5" ht="12.75">
      <c r="A10" s="125"/>
      <c r="B10" s="125" t="s">
        <v>297</v>
      </c>
      <c r="C10" s="125">
        <f>-1962.35+343.35</f>
        <v>-1619</v>
      </c>
      <c r="D10" s="125"/>
      <c r="E10" s="200"/>
    </row>
    <row r="11" ht="12.75">
      <c r="A11" s="128"/>
    </row>
    <row r="12" spans="1:4" ht="12.75">
      <c r="A12" s="129" t="s">
        <v>47</v>
      </c>
      <c r="B12" s="130"/>
      <c r="C12" s="131"/>
      <c r="D12" s="131">
        <f>SUM(C12:C16)</f>
        <v>8050164.2700000005</v>
      </c>
    </row>
    <row r="13" spans="1:4" ht="12.75">
      <c r="A13" s="132">
        <v>248</v>
      </c>
      <c r="B13" s="130" t="s">
        <v>298</v>
      </c>
      <c r="C13" s="131">
        <f>6601286.57-C24</f>
        <v>6584635.99</v>
      </c>
      <c r="D13" s="131"/>
    </row>
    <row r="14" spans="1:4" ht="12.75">
      <c r="A14" s="132" t="s">
        <v>299</v>
      </c>
      <c r="B14" s="130" t="s">
        <v>300</v>
      </c>
      <c r="C14" s="131">
        <v>547600.4</v>
      </c>
      <c r="D14" s="131"/>
    </row>
    <row r="15" spans="1:4" ht="12.75">
      <c r="A15" s="131" t="s">
        <v>296</v>
      </c>
      <c r="B15" s="131"/>
      <c r="C15" s="131"/>
      <c r="D15" s="131"/>
    </row>
    <row r="16" spans="1:4" ht="12.75">
      <c r="A16" s="131">
        <v>244</v>
      </c>
      <c r="B16" s="131" t="s">
        <v>322</v>
      </c>
      <c r="C16" s="131">
        <v>917927.88</v>
      </c>
      <c r="D16" s="131"/>
    </row>
    <row r="17" ht="12.75">
      <c r="A17" s="128"/>
    </row>
    <row r="18" spans="1:4" ht="12.75">
      <c r="A18" s="133" t="s">
        <v>46</v>
      </c>
      <c r="B18" s="134"/>
      <c r="C18" s="135"/>
      <c r="D18" s="135">
        <f>+C19</f>
        <v>0</v>
      </c>
    </row>
    <row r="19" spans="1:4" ht="12.75">
      <c r="A19" s="136">
        <v>247</v>
      </c>
      <c r="B19" s="134" t="s">
        <v>301</v>
      </c>
      <c r="C19" s="135">
        <v>0</v>
      </c>
      <c r="D19" s="135"/>
    </row>
    <row r="20" ht="12.75">
      <c r="A20" s="137"/>
    </row>
    <row r="21" ht="12.75">
      <c r="A21" s="137"/>
    </row>
    <row r="22" ht="12.75">
      <c r="A22" s="137"/>
    </row>
    <row r="23" spans="1:6" ht="12.75">
      <c r="A23" s="138" t="s">
        <v>5</v>
      </c>
      <c r="B23" s="139"/>
      <c r="C23" s="140"/>
      <c r="D23" s="140">
        <f>+C24</f>
        <v>16650.58</v>
      </c>
      <c r="F23" s="141" t="s">
        <v>302</v>
      </c>
    </row>
    <row r="24" spans="1:6" ht="12.75">
      <c r="A24" s="142"/>
      <c r="B24" s="139" t="s">
        <v>303</v>
      </c>
      <c r="C24" s="140">
        <v>16650.58</v>
      </c>
      <c r="D24" s="140"/>
      <c r="F24" s="141" t="s">
        <v>304</v>
      </c>
    </row>
    <row r="25" ht="12.75">
      <c r="A25" s="128"/>
    </row>
    <row r="26" spans="1:4" ht="12.75">
      <c r="A26" s="143" t="s">
        <v>3</v>
      </c>
      <c r="B26" s="144"/>
      <c r="C26" s="145"/>
      <c r="D26" s="145">
        <f>SUM(C26:C37)</f>
        <v>1221753.63</v>
      </c>
    </row>
    <row r="27" spans="1:4" ht="12.75">
      <c r="A27" s="146">
        <v>262</v>
      </c>
      <c r="B27" s="144" t="s">
        <v>305</v>
      </c>
      <c r="C27" s="145">
        <v>180306.72</v>
      </c>
      <c r="D27" s="145"/>
    </row>
    <row r="28" spans="1:4" ht="12.75">
      <c r="A28" s="146">
        <v>242</v>
      </c>
      <c r="B28" s="144" t="s">
        <v>306</v>
      </c>
      <c r="C28" s="145">
        <v>141897.33</v>
      </c>
      <c r="D28" s="145"/>
    </row>
    <row r="29" spans="1:4" ht="12.75">
      <c r="A29" s="146">
        <v>240</v>
      </c>
      <c r="B29" s="144" t="s">
        <v>307</v>
      </c>
      <c r="C29" s="145"/>
      <c r="D29" s="145"/>
    </row>
    <row r="30" spans="1:4" ht="12.75">
      <c r="A30" s="146">
        <v>263</v>
      </c>
      <c r="B30" s="144" t="s">
        <v>308</v>
      </c>
      <c r="C30" s="145">
        <v>100956.12</v>
      </c>
      <c r="D30" s="145"/>
    </row>
    <row r="31" spans="1:4" ht="12.75">
      <c r="A31" s="147" t="s">
        <v>309</v>
      </c>
      <c r="B31" s="144" t="s">
        <v>310</v>
      </c>
      <c r="C31" s="145">
        <f>201513.9+14280+2478.36</f>
        <v>218272.25999999998</v>
      </c>
      <c r="D31" s="145"/>
    </row>
    <row r="32" spans="1:4" ht="12.75">
      <c r="A32" s="146">
        <v>292</v>
      </c>
      <c r="B32" s="144" t="s">
        <v>311</v>
      </c>
      <c r="C32" s="145">
        <v>102719.64</v>
      </c>
      <c r="D32" s="145"/>
    </row>
    <row r="33" spans="1:4" ht="12.75">
      <c r="A33" s="146">
        <v>394</v>
      </c>
      <c r="B33" s="144" t="s">
        <v>312</v>
      </c>
      <c r="C33" s="145">
        <v>415</v>
      </c>
      <c r="D33" s="145"/>
    </row>
    <row r="34" spans="1:4" ht="12.75">
      <c r="A34" s="146" t="s">
        <v>313</v>
      </c>
      <c r="B34" s="144" t="s">
        <v>314</v>
      </c>
      <c r="C34" s="145">
        <f>48166.5+418390.65</f>
        <v>466557.15</v>
      </c>
      <c r="D34" s="145"/>
    </row>
    <row r="35" spans="1:4" ht="12.75">
      <c r="A35" s="146">
        <v>860</v>
      </c>
      <c r="B35" s="144" t="s">
        <v>315</v>
      </c>
      <c r="C35" s="145">
        <v>400</v>
      </c>
      <c r="D35" s="145"/>
    </row>
    <row r="36" spans="1:4" ht="12.75">
      <c r="A36" s="146">
        <v>299</v>
      </c>
      <c r="B36" s="144" t="s">
        <v>316</v>
      </c>
      <c r="C36" s="145">
        <v>8610.41</v>
      </c>
      <c r="D36" s="145"/>
    </row>
    <row r="37" spans="1:5" ht="12.75">
      <c r="A37" s="144"/>
      <c r="B37" s="144" t="s">
        <v>295</v>
      </c>
      <c r="C37" s="235">
        <f>-C10</f>
        <v>1619</v>
      </c>
      <c r="D37" s="145"/>
      <c r="E37" s="237" t="s">
        <v>375</v>
      </c>
    </row>
    <row r="38" ht="12.75">
      <c r="A38" s="128"/>
    </row>
    <row r="39" spans="1:4" ht="12.75">
      <c r="A39" s="148" t="s">
        <v>48</v>
      </c>
      <c r="B39" s="149"/>
      <c r="C39" s="150"/>
      <c r="D39" s="150">
        <f>SUM(C40:C43)</f>
        <v>560361.18</v>
      </c>
    </row>
    <row r="40" spans="1:4" ht="12.75">
      <c r="A40" s="151">
        <v>249</v>
      </c>
      <c r="B40" s="149" t="s">
        <v>317</v>
      </c>
      <c r="C40" s="150">
        <v>500072.91</v>
      </c>
      <c r="D40" s="150"/>
    </row>
    <row r="41" spans="1:4" ht="12.75">
      <c r="A41" s="151">
        <v>291</v>
      </c>
      <c r="B41" s="149" t="s">
        <v>318</v>
      </c>
      <c r="C41" s="150">
        <v>36792.35</v>
      </c>
      <c r="D41" s="150"/>
    </row>
    <row r="42" spans="1:4" ht="12.75">
      <c r="A42" s="151">
        <v>970</v>
      </c>
      <c r="B42" s="149" t="s">
        <v>319</v>
      </c>
      <c r="C42" s="150"/>
      <c r="D42" s="150"/>
    </row>
    <row r="43" spans="1:6" ht="12.75">
      <c r="A43" s="151">
        <v>230</v>
      </c>
      <c r="B43" s="149" t="s">
        <v>294</v>
      </c>
      <c r="C43" s="125">
        <f>16792.42+6703.5</f>
        <v>23495.92</v>
      </c>
      <c r="D43" s="150"/>
      <c r="F43" s="141" t="s">
        <v>320</v>
      </c>
    </row>
    <row r="45" spans="1:4" ht="12.75">
      <c r="A45" s="167" t="s">
        <v>321</v>
      </c>
      <c r="B45" s="166"/>
      <c r="C45" s="166"/>
      <c r="D45" s="166"/>
    </row>
    <row r="46" spans="1:4" ht="12.75">
      <c r="A46" s="166"/>
      <c r="B46" s="167"/>
      <c r="C46" s="166"/>
      <c r="D46" s="16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5.140625" style="0" customWidth="1"/>
    <col min="2" max="8" width="13.28125" style="0" customWidth="1"/>
    <col min="9" max="9" width="21.421875" style="0" bestFit="1" customWidth="1"/>
    <col min="10" max="11" width="13.28125" style="0" customWidth="1"/>
  </cols>
  <sheetData>
    <row r="1" spans="1:2" ht="18">
      <c r="A1" s="59" t="s">
        <v>53</v>
      </c>
      <c r="B1" s="62" t="str">
        <f>'Signature Page'!$C$10</f>
        <v>CESA 07</v>
      </c>
    </row>
    <row r="2" spans="1:2" ht="18">
      <c r="A2" s="9" t="s">
        <v>54</v>
      </c>
      <c r="B2" s="41" t="str">
        <f>Revenues!B2</f>
        <v>2010-11</v>
      </c>
    </row>
    <row r="3" spans="3:10" ht="18">
      <c r="C3" s="78" t="s">
        <v>0</v>
      </c>
      <c r="D3" s="6"/>
      <c r="E3" s="6"/>
      <c r="F3" s="6"/>
      <c r="G3" s="6"/>
      <c r="H3" s="6"/>
      <c r="J3" s="10"/>
    </row>
    <row r="4" ht="15.75">
      <c r="C4" s="73" t="s">
        <v>50</v>
      </c>
    </row>
    <row r="5" ht="15.75">
      <c r="J5" s="1"/>
    </row>
    <row r="6" spans="9:11" ht="12.75">
      <c r="I6" s="56" t="s">
        <v>221</v>
      </c>
      <c r="J6" s="56" t="s">
        <v>223</v>
      </c>
      <c r="K6" s="57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6" t="s">
        <v>220</v>
      </c>
      <c r="J7" s="58" t="s">
        <v>63</v>
      </c>
      <c r="K7" s="58" t="s">
        <v>225</v>
      </c>
    </row>
    <row r="8" spans="2:11" ht="12.75">
      <c r="B8" s="74"/>
      <c r="C8" s="75" t="s">
        <v>215</v>
      </c>
      <c r="D8" s="75" t="s">
        <v>216</v>
      </c>
      <c r="E8" s="75" t="s">
        <v>217</v>
      </c>
      <c r="F8" s="75" t="s">
        <v>218</v>
      </c>
      <c r="G8" s="74"/>
      <c r="H8" s="74"/>
      <c r="I8" s="58" t="s">
        <v>222</v>
      </c>
      <c r="J8" s="58" t="s">
        <v>224</v>
      </c>
      <c r="K8" s="58" t="s">
        <v>222</v>
      </c>
    </row>
    <row r="9" spans="1:9" ht="14.25">
      <c r="A9" s="76" t="s">
        <v>14</v>
      </c>
      <c r="B9" s="224"/>
      <c r="C9" s="224"/>
      <c r="D9" s="224"/>
      <c r="E9" s="224"/>
      <c r="F9" s="224"/>
      <c r="G9" s="224"/>
      <c r="H9" s="224"/>
      <c r="I9" s="45"/>
    </row>
    <row r="10" spans="1:11" ht="12.75">
      <c r="A10" s="2" t="s">
        <v>51</v>
      </c>
      <c r="B10" s="225"/>
      <c r="C10" s="225"/>
      <c r="D10" s="226">
        <f>+'Expense Worksheet'!C3</f>
        <v>16650.58</v>
      </c>
      <c r="E10" s="225"/>
      <c r="F10" s="225"/>
      <c r="G10" s="225"/>
      <c r="H10" s="225"/>
      <c r="I10" s="227">
        <f>SUM(B10:H10)</f>
        <v>16650.58</v>
      </c>
      <c r="J10" s="69"/>
      <c r="K10" s="5">
        <f>+I10+J10</f>
        <v>16650.58</v>
      </c>
    </row>
    <row r="11" spans="1:11" ht="12.75">
      <c r="A11" s="2" t="s">
        <v>25</v>
      </c>
      <c r="B11" s="228">
        <v>6129987.78</v>
      </c>
      <c r="C11" s="228">
        <f>2253514.88+7252.56</f>
        <v>2260767.44</v>
      </c>
      <c r="D11" s="228">
        <f>+'Expense Worksheet'!C10</f>
        <v>767287.32</v>
      </c>
      <c r="E11" s="228">
        <f>+'Expense Worksheet'!D10</f>
        <v>215477.6</v>
      </c>
      <c r="F11" s="228">
        <v>71756.65</v>
      </c>
      <c r="G11" s="228">
        <v>0</v>
      </c>
      <c r="H11" s="228">
        <f>9993.87+4397.17</f>
        <v>14391.04</v>
      </c>
      <c r="I11" s="229">
        <f>SUM(B11:H11)</f>
        <v>9459667.83</v>
      </c>
      <c r="J11" s="69"/>
      <c r="K11" s="17">
        <f>+I11+J11</f>
        <v>9459667.83</v>
      </c>
    </row>
    <row r="12" spans="1:11" ht="12.75">
      <c r="A12" s="4" t="s">
        <v>26</v>
      </c>
      <c r="B12" s="227">
        <f>SUM(B10:B11)</f>
        <v>6129987.78</v>
      </c>
      <c r="C12" s="227">
        <f aca="true" t="shared" si="0" ref="C12:H12">SUM(C10:C11)</f>
        <v>2260767.44</v>
      </c>
      <c r="D12" s="227">
        <f t="shared" si="0"/>
        <v>783937.8999999999</v>
      </c>
      <c r="E12" s="227">
        <f t="shared" si="0"/>
        <v>215477.6</v>
      </c>
      <c r="F12" s="227">
        <f t="shared" si="0"/>
        <v>71756.65</v>
      </c>
      <c r="G12" s="227">
        <f t="shared" si="0"/>
        <v>0</v>
      </c>
      <c r="H12" s="227">
        <f t="shared" si="0"/>
        <v>14391.04</v>
      </c>
      <c r="I12" s="227">
        <f>SUM(B12:H12)</f>
        <v>9476318.41</v>
      </c>
      <c r="J12" s="69"/>
      <c r="K12" s="5">
        <f>SUM(K10:K11)</f>
        <v>9476318.41</v>
      </c>
    </row>
    <row r="13" spans="1:10" ht="14.25">
      <c r="A13" s="76" t="s">
        <v>15</v>
      </c>
      <c r="B13" s="45"/>
      <c r="C13" s="45"/>
      <c r="D13" s="45"/>
      <c r="E13" s="45"/>
      <c r="F13" s="45"/>
      <c r="G13" s="45"/>
      <c r="H13" s="225"/>
      <c r="I13" s="45"/>
      <c r="J13" s="69"/>
    </row>
    <row r="14" spans="1:11" ht="12.75">
      <c r="A14" s="2" t="s">
        <v>41</v>
      </c>
      <c r="B14" s="226">
        <v>952506.85</v>
      </c>
      <c r="C14" s="226">
        <v>318753.45</v>
      </c>
      <c r="D14" s="226">
        <f>+'Expense Worksheet'!C18</f>
        <v>41014.73</v>
      </c>
      <c r="E14" s="226">
        <f>+'Expense Worksheet'!D18</f>
        <v>13103.18</v>
      </c>
      <c r="F14" s="226">
        <v>0</v>
      </c>
      <c r="G14" s="226">
        <v>0</v>
      </c>
      <c r="H14" s="226">
        <f>1511.18</f>
        <v>1511.18</v>
      </c>
      <c r="I14" s="227">
        <f aca="true" t="shared" si="1" ref="I14:I20">SUM(B14:H14)</f>
        <v>1326889.39</v>
      </c>
      <c r="J14" s="69"/>
      <c r="K14" s="5">
        <f aca="true" t="shared" si="2" ref="K14:K19">+I14+J14</f>
        <v>1326889.39</v>
      </c>
    </row>
    <row r="15" spans="1:11" ht="12.75">
      <c r="A15" s="2" t="s">
        <v>42</v>
      </c>
      <c r="B15" s="226">
        <v>1869354.25</v>
      </c>
      <c r="C15" s="226">
        <v>692960.48</v>
      </c>
      <c r="D15" s="226">
        <f>+'Expense Worksheet'!C24</f>
        <v>1156700.1799999997</v>
      </c>
      <c r="E15" s="226">
        <f>+'Expense Worksheet'!D24</f>
        <v>251814.11</v>
      </c>
      <c r="F15" s="226">
        <v>94139.19</v>
      </c>
      <c r="G15" s="226">
        <v>0</v>
      </c>
      <c r="H15" s="226">
        <f>783.64+53064.23</f>
        <v>53847.87</v>
      </c>
      <c r="I15" s="230">
        <f t="shared" si="1"/>
        <v>4118816.0799999996</v>
      </c>
      <c r="J15" s="69"/>
      <c r="K15" s="5">
        <f t="shared" si="2"/>
        <v>4118816.0799999996</v>
      </c>
    </row>
    <row r="16" spans="1:11" ht="12.75">
      <c r="A16" s="2" t="s">
        <v>16</v>
      </c>
      <c r="B16" s="226">
        <v>184885.26</v>
      </c>
      <c r="C16" s="226">
        <v>68361.63</v>
      </c>
      <c r="D16" s="226">
        <f>+'Expense Worksheet'!C30</f>
        <v>33625.200000000004</v>
      </c>
      <c r="E16" s="226">
        <f>+'Expense Worksheet'!D30</f>
        <v>8657.85</v>
      </c>
      <c r="F16" s="226">
        <v>0</v>
      </c>
      <c r="G16" s="226">
        <v>0</v>
      </c>
      <c r="H16" s="226">
        <f>20111.94</f>
        <v>20111.94</v>
      </c>
      <c r="I16" s="230">
        <f t="shared" si="1"/>
        <v>315641.88</v>
      </c>
      <c r="J16" s="69"/>
      <c r="K16" s="5">
        <f t="shared" si="2"/>
        <v>315641.88</v>
      </c>
    </row>
    <row r="17" spans="1:11" ht="12.75">
      <c r="A17" s="2" t="s">
        <v>52</v>
      </c>
      <c r="B17" s="226">
        <v>259459.02</v>
      </c>
      <c r="C17" s="226">
        <v>153053.53</v>
      </c>
      <c r="D17" s="226">
        <f>+'Expense Worksheet'!C38</f>
        <v>130192.74999999997</v>
      </c>
      <c r="E17" s="226">
        <f>+'Expense Worksheet'!D38</f>
        <v>61547.77</v>
      </c>
      <c r="F17" s="226">
        <v>53817.66</v>
      </c>
      <c r="G17" s="226">
        <v>0</v>
      </c>
      <c r="H17" s="226">
        <f>241+15806.47+108496.73</f>
        <v>124544.2</v>
      </c>
      <c r="I17" s="230">
        <f t="shared" si="1"/>
        <v>782614.9299999999</v>
      </c>
      <c r="J17" s="69"/>
      <c r="K17" s="5">
        <f t="shared" si="2"/>
        <v>782614.9299999999</v>
      </c>
    </row>
    <row r="18" spans="1:11" ht="12.75">
      <c r="A18" s="2" t="s">
        <v>39</v>
      </c>
      <c r="B18" s="226">
        <v>0</v>
      </c>
      <c r="C18" s="226">
        <v>0</v>
      </c>
      <c r="D18" s="226">
        <f>+'Expense Worksheet'!C39</f>
        <v>209965.78</v>
      </c>
      <c r="E18" s="226">
        <f>+'Expense Worksheet'!D39</f>
        <v>0</v>
      </c>
      <c r="F18" s="226">
        <v>0</v>
      </c>
      <c r="G18" s="226">
        <v>0</v>
      </c>
      <c r="H18" s="226">
        <v>0</v>
      </c>
      <c r="I18" s="230">
        <f t="shared" si="1"/>
        <v>209965.78</v>
      </c>
      <c r="J18" s="69"/>
      <c r="K18" s="5">
        <f t="shared" si="2"/>
        <v>209965.78</v>
      </c>
    </row>
    <row r="19" spans="1:11" ht="12.75">
      <c r="A19" s="2" t="s">
        <v>40</v>
      </c>
      <c r="B19" s="228">
        <v>473211.25</v>
      </c>
      <c r="C19" s="228">
        <v>210299.98</v>
      </c>
      <c r="D19" s="228">
        <f>+'Expense Worksheet'!C45</f>
        <v>449711.37</v>
      </c>
      <c r="E19" s="228">
        <f>+'Expense Worksheet'!D45</f>
        <v>50920.11</v>
      </c>
      <c r="F19" s="228">
        <v>46135.6</v>
      </c>
      <c r="G19" s="228">
        <v>0</v>
      </c>
      <c r="H19" s="228">
        <f>4682.4+1325309</f>
        <v>1329991.4</v>
      </c>
      <c r="I19" s="229">
        <f t="shared" si="1"/>
        <v>2560269.71</v>
      </c>
      <c r="J19" s="69"/>
      <c r="K19" s="17">
        <f t="shared" si="2"/>
        <v>2560269.71</v>
      </c>
    </row>
    <row r="20" spans="1:11" ht="12.75">
      <c r="A20" s="4" t="s">
        <v>17</v>
      </c>
      <c r="B20" s="5">
        <f aca="true" t="shared" si="3" ref="B20:H20">SUM(B14:B19)</f>
        <v>3739416.6300000004</v>
      </c>
      <c r="C20" s="5">
        <f t="shared" si="3"/>
        <v>1443429.07</v>
      </c>
      <c r="D20" s="5">
        <f t="shared" si="3"/>
        <v>2021210.0099999998</v>
      </c>
      <c r="E20" s="5">
        <f t="shared" si="3"/>
        <v>386043.01999999996</v>
      </c>
      <c r="F20" s="5">
        <f t="shared" si="3"/>
        <v>194092.45</v>
      </c>
      <c r="G20" s="5">
        <f t="shared" si="3"/>
        <v>0</v>
      </c>
      <c r="H20" s="5">
        <f t="shared" si="3"/>
        <v>1530006.5899999999</v>
      </c>
      <c r="I20" s="5">
        <f t="shared" si="1"/>
        <v>9314197.77</v>
      </c>
      <c r="J20" s="69"/>
      <c r="K20" s="5">
        <f>SUM(K14:K19)</f>
        <v>9314197.77</v>
      </c>
    </row>
    <row r="21" ht="12.75">
      <c r="J21" s="69"/>
    </row>
    <row r="22" spans="1:10" ht="14.25">
      <c r="A22" s="76" t="s">
        <v>18</v>
      </c>
      <c r="J22" s="69"/>
    </row>
    <row r="23" spans="1:11" ht="12.75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 ht="12.75">
      <c r="A24" s="2" t="s">
        <v>219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 ht="12.75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7">
        <f>SUM(B25:H25)</f>
        <v>0</v>
      </c>
      <c r="J25" s="69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3:10" ht="12.75">
      <c r="C27" s="5"/>
      <c r="J27" s="69"/>
    </row>
    <row r="28" spans="1:10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 ht="12.75">
      <c r="A29" s="2" t="s">
        <v>22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0</v>
      </c>
      <c r="J29" s="69"/>
      <c r="K29" s="5">
        <f>+I29+J29</f>
        <v>0</v>
      </c>
    </row>
    <row r="30" spans="1:11" ht="12.75">
      <c r="A30" s="2" t="s">
        <v>23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5">
        <f>SUM(B30:H30)</f>
        <v>0</v>
      </c>
      <c r="J30" s="69"/>
      <c r="K30" s="5">
        <f>+I30+J30</f>
        <v>0</v>
      </c>
    </row>
    <row r="31" spans="1:11" ht="12.75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7">
        <f>SUM(B31:H31)</f>
        <v>0</v>
      </c>
      <c r="J31" s="69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9"/>
      <c r="K32" s="5">
        <f>SUM(K29:K31)</f>
        <v>0</v>
      </c>
    </row>
    <row r="33" ht="12.75">
      <c r="J33" s="69"/>
    </row>
    <row r="34" spans="1:10" ht="12.75">
      <c r="A34" s="19" t="s">
        <v>43</v>
      </c>
      <c r="G34" s="12"/>
      <c r="J34" s="69"/>
    </row>
    <row r="35" spans="1:11" ht="12.75">
      <c r="A35" s="2" t="s">
        <v>55</v>
      </c>
      <c r="G35" s="72">
        <v>0</v>
      </c>
      <c r="I35" s="67">
        <f>SUM(G35)</f>
        <v>0</v>
      </c>
      <c r="J35" s="69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7">
        <f>+I36+J36</f>
        <v>0</v>
      </c>
    </row>
    <row r="37" spans="1:11" ht="12.75">
      <c r="A37" s="7" t="s">
        <v>44</v>
      </c>
      <c r="D37" s="8"/>
      <c r="G37" s="54">
        <f>SUM(G35:G36)</f>
        <v>0</v>
      </c>
      <c r="I37" s="55">
        <f>SUM(G37)</f>
        <v>0</v>
      </c>
      <c r="J37" s="69"/>
      <c r="K37" s="5">
        <f>SUM(K35:K36)</f>
        <v>0</v>
      </c>
    </row>
    <row r="38" ht="12.75">
      <c r="J38" s="69"/>
    </row>
    <row r="39" spans="1:11" ht="13.5" thickBot="1">
      <c r="A39" t="s">
        <v>65</v>
      </c>
      <c r="I39" s="18">
        <f>+I12+I20+I26+I32+I37</f>
        <v>18790516.18</v>
      </c>
      <c r="J39" s="69"/>
      <c r="K39" s="18">
        <f>+K12+K20+K26+K32+K37</f>
        <v>18790516.18</v>
      </c>
    </row>
    <row r="40" ht="13.5" thickTop="1"/>
    <row r="41" spans="1:11" ht="12.75">
      <c r="A41" t="s">
        <v>262</v>
      </c>
      <c r="I41" s="184">
        <f>+'Revenue Worksheet'!D1</f>
        <v>1409134.3599999999</v>
      </c>
      <c r="J41" s="65"/>
      <c r="K41" s="65">
        <f>+I41+J41</f>
        <v>1409134.3599999999</v>
      </c>
    </row>
    <row r="42" ht="12.75">
      <c r="I42" s="5"/>
    </row>
    <row r="43" spans="1:11" ht="12.75">
      <c r="A43" t="s">
        <v>263</v>
      </c>
      <c r="I43" s="5">
        <f>+I39+I41</f>
        <v>20199650.54</v>
      </c>
      <c r="K43" s="5">
        <f>+K39+K41</f>
        <v>20199650.54</v>
      </c>
    </row>
    <row r="45" spans="9:10" ht="18">
      <c r="I45" s="185">
        <v>20228333.26</v>
      </c>
      <c r="J45" t="s">
        <v>371</v>
      </c>
    </row>
    <row r="46" ht="18">
      <c r="I46" s="185">
        <f>I45-I43</f>
        <v>28682.720000002533</v>
      </c>
    </row>
    <row r="50" ht="18">
      <c r="I50" s="185"/>
    </row>
    <row r="51" ht="18">
      <c r="I51" s="185"/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E37" sqref="E37"/>
    </sheetView>
  </sheetViews>
  <sheetFormatPr defaultColWidth="9.140625" defaultRowHeight="12.75"/>
  <cols>
    <col min="2" max="2" width="27.140625" style="0" customWidth="1"/>
    <col min="3" max="3" width="12.8515625" style="0" bestFit="1" customWidth="1"/>
    <col min="4" max="4" width="11.421875" style="0" bestFit="1" customWidth="1"/>
    <col min="5" max="5" width="8.421875" style="0" bestFit="1" customWidth="1"/>
    <col min="8" max="8" width="32.8515625" style="0" bestFit="1" customWidth="1"/>
    <col min="9" max="9" width="14.00390625" style="0" bestFit="1" customWidth="1"/>
    <col min="10" max="10" width="6.00390625" style="0" customWidth="1"/>
    <col min="11" max="11" width="11.28125" style="0" bestFit="1" customWidth="1"/>
    <col min="12" max="12" width="10.28125" style="0" bestFit="1" customWidth="1"/>
  </cols>
  <sheetData>
    <row r="1" spans="1:7" ht="14.25">
      <c r="A1" s="169" t="s">
        <v>14</v>
      </c>
      <c r="C1" s="170" t="s">
        <v>210</v>
      </c>
      <c r="D1" s="170" t="s">
        <v>211</v>
      </c>
      <c r="E1" s="170" t="s">
        <v>212</v>
      </c>
      <c r="F1" s="170"/>
      <c r="G1" s="170"/>
    </row>
    <row r="2" spans="1:9" ht="14.25">
      <c r="A2" s="169"/>
      <c r="C2" s="171" t="s">
        <v>216</v>
      </c>
      <c r="D2" s="171" t="s">
        <v>217</v>
      </c>
      <c r="E2" s="171" t="s">
        <v>218</v>
      </c>
      <c r="F2" s="172"/>
      <c r="I2" s="173"/>
    </row>
    <row r="3" spans="1:9" ht="12.75">
      <c r="A3" s="137" t="s">
        <v>51</v>
      </c>
      <c r="C3" s="183">
        <f>+'Revenue Worksheet'!C24</f>
        <v>16650.58</v>
      </c>
      <c r="G3" s="174"/>
      <c r="H3" s="174" t="s">
        <v>323</v>
      </c>
      <c r="I3" s="174">
        <v>20228333.26</v>
      </c>
    </row>
    <row r="4" spans="1:9" ht="13.5" thickBot="1">
      <c r="A4" s="137" t="s">
        <v>25</v>
      </c>
      <c r="F4" s="175"/>
      <c r="H4" s="173" t="s">
        <v>324</v>
      </c>
      <c r="I4" s="173">
        <f>+Expenses!I43-'Expense Worksheet'!I3</f>
        <v>-28682.720000002533</v>
      </c>
    </row>
    <row r="5" spans="1:5" ht="13.5" thickTop="1">
      <c r="A5" s="137"/>
      <c r="B5" s="176" t="s">
        <v>325</v>
      </c>
      <c r="C5" s="231">
        <f>768488.86-C3-7252.56</f>
        <v>744585.72</v>
      </c>
      <c r="D5" s="231">
        <v>215477.6</v>
      </c>
      <c r="E5" s="45"/>
    </row>
    <row r="6" spans="1:11" ht="12.75">
      <c r="A6" s="137"/>
      <c r="B6" s="176" t="s">
        <v>326</v>
      </c>
      <c r="C6" s="231">
        <f>-30-7806-10409.1-545-247-102-1500-962.06</f>
        <v>-21601.16</v>
      </c>
      <c r="D6" s="45"/>
      <c r="E6" s="45"/>
      <c r="F6" s="173"/>
      <c r="K6" s="183"/>
    </row>
    <row r="7" spans="1:6" ht="12.75">
      <c r="A7" s="137"/>
      <c r="B7" s="176" t="s">
        <v>372</v>
      </c>
      <c r="C7" s="231">
        <v>44302.76</v>
      </c>
      <c r="D7" s="45" t="s">
        <v>373</v>
      </c>
      <c r="E7" s="45"/>
      <c r="F7" s="173"/>
    </row>
    <row r="8" spans="1:6" ht="12.75">
      <c r="A8" s="137"/>
      <c r="B8" s="187" t="s">
        <v>335</v>
      </c>
      <c r="C8" s="45"/>
      <c r="D8" s="45"/>
      <c r="E8" s="45"/>
      <c r="F8" s="173"/>
    </row>
    <row r="9" spans="1:6" ht="12.75">
      <c r="A9" s="137"/>
      <c r="B9" s="176" t="s">
        <v>328</v>
      </c>
      <c r="C9" s="45"/>
      <c r="D9" s="45"/>
      <c r="E9" s="45"/>
      <c r="F9" s="173"/>
    </row>
    <row r="10" spans="1:9" ht="13.5" thickBot="1">
      <c r="A10" s="177"/>
      <c r="B10" s="178" t="s">
        <v>329</v>
      </c>
      <c r="C10" s="232">
        <f>SUM(C5:C9)</f>
        <v>767287.32</v>
      </c>
      <c r="D10" s="232">
        <f>SUM(D5:D9)</f>
        <v>215477.6</v>
      </c>
      <c r="E10" s="233"/>
      <c r="F10" s="180"/>
      <c r="G10" s="180"/>
      <c r="H10" s="180" t="s">
        <v>330</v>
      </c>
      <c r="I10" s="174">
        <f>+Revenues!B10</f>
        <v>1409134.3599999999</v>
      </c>
    </row>
    <row r="11" spans="1:9" ht="13.5" thickTop="1">
      <c r="A11" s="181" t="s">
        <v>26</v>
      </c>
      <c r="C11" s="45"/>
      <c r="D11" s="45"/>
      <c r="E11" s="45"/>
      <c r="H11" t="s">
        <v>262</v>
      </c>
      <c r="I11" s="231">
        <f>+I10-SUM(I12:I23)</f>
        <v>0</v>
      </c>
    </row>
    <row r="12" spans="1:9" ht="14.25">
      <c r="A12" s="169" t="s">
        <v>15</v>
      </c>
      <c r="C12" s="45"/>
      <c r="D12" s="45"/>
      <c r="E12" s="45"/>
      <c r="H12" s="182" t="s">
        <v>331</v>
      </c>
      <c r="I12" s="231">
        <v>97790.88</v>
      </c>
    </row>
    <row r="13" spans="1:9" ht="12.75">
      <c r="A13" s="137" t="s">
        <v>41</v>
      </c>
      <c r="C13" s="45"/>
      <c r="D13" s="45"/>
      <c r="E13" s="45"/>
      <c r="H13" s="182" t="s">
        <v>341</v>
      </c>
      <c r="I13" s="231">
        <f>-(C6+C21+C27+C34+C42)</f>
        <v>578193.8</v>
      </c>
    </row>
    <row r="14" spans="1:9" ht="12.75">
      <c r="A14" s="137"/>
      <c r="B14" s="176" t="s">
        <v>325</v>
      </c>
      <c r="C14" s="231">
        <v>41014.73</v>
      </c>
      <c r="D14" s="231">
        <v>13103.18</v>
      </c>
      <c r="E14" s="45"/>
      <c r="H14" s="182" t="s">
        <v>332</v>
      </c>
      <c r="I14" s="231">
        <v>598734.71</v>
      </c>
    </row>
    <row r="15" spans="1:11" ht="12.75">
      <c r="A15" s="137"/>
      <c r="B15" s="176" t="s">
        <v>326</v>
      </c>
      <c r="C15" s="231"/>
      <c r="D15" s="45"/>
      <c r="E15" s="45"/>
      <c r="F15" s="173"/>
      <c r="H15" s="176" t="s">
        <v>336</v>
      </c>
      <c r="I15" s="214">
        <f>-16792.42-1128.47</f>
        <v>-17920.89</v>
      </c>
      <c r="K15" s="183"/>
    </row>
    <row r="16" spans="1:12" ht="12.75">
      <c r="A16" s="137"/>
      <c r="B16" s="176" t="s">
        <v>327</v>
      </c>
      <c r="C16" s="234"/>
      <c r="D16" s="45"/>
      <c r="E16" s="45"/>
      <c r="F16" s="173"/>
      <c r="H16" s="221" t="s">
        <v>327</v>
      </c>
      <c r="I16" s="219"/>
      <c r="J16" s="217"/>
      <c r="K16" s="217"/>
      <c r="L16" s="217"/>
    </row>
    <row r="17" spans="1:12" ht="12.75">
      <c r="A17" s="137"/>
      <c r="B17" s="176" t="s">
        <v>328</v>
      </c>
      <c r="C17" s="45"/>
      <c r="D17" s="45"/>
      <c r="E17" s="45"/>
      <c r="F17" s="173"/>
      <c r="H17" s="216" t="s">
        <v>333</v>
      </c>
      <c r="I17" s="216">
        <f>53283.83-7614.56</f>
        <v>45669.270000000004</v>
      </c>
      <c r="J17" s="217"/>
      <c r="K17" s="218" t="s">
        <v>210</v>
      </c>
      <c r="L17" s="218" t="s">
        <v>211</v>
      </c>
    </row>
    <row r="18" spans="1:12" ht="13.5" thickBot="1">
      <c r="A18" s="177"/>
      <c r="B18" s="178" t="s">
        <v>329</v>
      </c>
      <c r="C18" s="232">
        <f>SUM(C14:C17)</f>
        <v>41014.73</v>
      </c>
      <c r="D18" s="232">
        <f>SUM(D14:D17)</f>
        <v>13103.18</v>
      </c>
      <c r="E18" s="233"/>
      <c r="F18" s="174"/>
      <c r="G18" s="174"/>
      <c r="H18" s="216" t="s">
        <v>337</v>
      </c>
      <c r="I18" s="219">
        <v>8528.99</v>
      </c>
      <c r="J18" s="217"/>
      <c r="K18" s="219">
        <f>SUM(I17:I20)+I22</f>
        <v>148513.26</v>
      </c>
      <c r="L18" s="220">
        <f>+I21</f>
        <v>3822.6</v>
      </c>
    </row>
    <row r="19" spans="1:12" ht="13.5" thickTop="1">
      <c r="A19" s="137" t="s">
        <v>42</v>
      </c>
      <c r="C19" s="45"/>
      <c r="D19" s="45"/>
      <c r="E19" s="45"/>
      <c r="H19" s="216" t="s">
        <v>338</v>
      </c>
      <c r="I19" s="219">
        <v>54457.15</v>
      </c>
      <c r="J19" s="217"/>
      <c r="K19" s="217"/>
      <c r="L19" s="217"/>
    </row>
    <row r="20" spans="1:12" ht="12.75">
      <c r="A20" s="137"/>
      <c r="B20" s="176" t="s">
        <v>325</v>
      </c>
      <c r="C20" s="231">
        <v>1573202.41</v>
      </c>
      <c r="D20" s="231">
        <v>255636.71</v>
      </c>
      <c r="E20" s="234"/>
      <c r="H20" s="216" t="s">
        <v>339</v>
      </c>
      <c r="I20" s="219">
        <v>401.25</v>
      </c>
      <c r="J20" s="217"/>
      <c r="K20" s="217"/>
      <c r="L20" s="217"/>
    </row>
    <row r="21" spans="1:12" ht="12.75">
      <c r="A21" s="137"/>
      <c r="B21" s="176" t="s">
        <v>326</v>
      </c>
      <c r="C21" s="231">
        <f>-1648.65-61652.45-70479.01-152129.75</f>
        <v>-285909.86</v>
      </c>
      <c r="D21" s="45"/>
      <c r="E21" s="45"/>
      <c r="F21" s="173"/>
      <c r="H21" s="216" t="s">
        <v>340</v>
      </c>
      <c r="I21" s="219">
        <v>3822.6</v>
      </c>
      <c r="J21" s="217"/>
      <c r="K21" s="217"/>
      <c r="L21" s="217"/>
    </row>
    <row r="22" spans="1:12" ht="12.75">
      <c r="A22" s="137"/>
      <c r="B22" s="176" t="s">
        <v>327</v>
      </c>
      <c r="C22" s="215">
        <f>-K18</f>
        <v>-148513.26</v>
      </c>
      <c r="D22" s="215">
        <f>-L18</f>
        <v>-3822.6</v>
      </c>
      <c r="F22" s="173"/>
      <c r="H22" s="216" t="s">
        <v>342</v>
      </c>
      <c r="I22" s="219">
        <f>36441.6+3015</f>
        <v>39456.6</v>
      </c>
      <c r="J22" s="217"/>
      <c r="K22" s="217"/>
      <c r="L22" s="217"/>
    </row>
    <row r="23" spans="1:9" ht="12.75">
      <c r="A23" s="137"/>
      <c r="B23" s="176" t="s">
        <v>328</v>
      </c>
      <c r="C23" s="214">
        <f>-I15</f>
        <v>17920.89</v>
      </c>
      <c r="F23" s="173"/>
      <c r="H23" s="174"/>
      <c r="I23" s="174"/>
    </row>
    <row r="24" spans="1:9" ht="13.5" thickBot="1">
      <c r="A24" s="177"/>
      <c r="B24" s="178" t="s">
        <v>329</v>
      </c>
      <c r="C24" s="179">
        <f>SUM(C20:C23)</f>
        <v>1156700.1799999997</v>
      </c>
      <c r="D24" s="179">
        <f>SUM(D20:D23)</f>
        <v>251814.11</v>
      </c>
      <c r="E24" s="179"/>
      <c r="F24" s="174"/>
      <c r="G24" s="174"/>
      <c r="H24" s="174"/>
      <c r="I24" s="174"/>
    </row>
    <row r="25" spans="1:9" ht="13.5" thickTop="1">
      <c r="A25" s="137" t="s">
        <v>16</v>
      </c>
      <c r="H25" s="174"/>
      <c r="I25" s="174"/>
    </row>
    <row r="26" spans="1:9" ht="12.75">
      <c r="A26" s="137"/>
      <c r="B26" s="176" t="s">
        <v>325</v>
      </c>
      <c r="C26" s="231">
        <v>79018.96</v>
      </c>
      <c r="D26" s="231">
        <v>8657.85</v>
      </c>
      <c r="H26" s="174"/>
      <c r="I26" s="174"/>
    </row>
    <row r="27" spans="1:9" ht="12.75">
      <c r="A27" s="137"/>
      <c r="B27" s="176" t="s">
        <v>326</v>
      </c>
      <c r="C27" s="231">
        <f>-12190-19595-13608.76</f>
        <v>-45393.76</v>
      </c>
      <c r="D27" s="45"/>
      <c r="F27" s="173"/>
      <c r="H27" s="174"/>
      <c r="I27" s="174"/>
    </row>
    <row r="28" spans="1:9" ht="12.75">
      <c r="A28" s="137"/>
      <c r="B28" s="176" t="s">
        <v>327</v>
      </c>
      <c r="C28" s="173"/>
      <c r="F28" s="173"/>
      <c r="H28" s="174"/>
      <c r="I28" s="174"/>
    </row>
    <row r="29" spans="1:9" ht="12.75">
      <c r="A29" s="137"/>
      <c r="B29" s="176" t="s">
        <v>328</v>
      </c>
      <c r="F29" s="173"/>
      <c r="H29" s="174"/>
      <c r="I29" s="174"/>
    </row>
    <row r="30" spans="1:9" ht="13.5" thickBot="1">
      <c r="A30" s="177"/>
      <c r="B30" s="178" t="s">
        <v>329</v>
      </c>
      <c r="C30" s="179">
        <f>SUM(C26:C29)</f>
        <v>33625.200000000004</v>
      </c>
      <c r="D30" s="179">
        <f>SUM(D26:D29)</f>
        <v>8657.85</v>
      </c>
      <c r="E30" s="174"/>
      <c r="F30" s="174"/>
      <c r="G30" s="174"/>
      <c r="H30" s="174"/>
      <c r="I30" s="174"/>
    </row>
    <row r="31" spans="1:9" ht="13.5" thickTop="1">
      <c r="A31" s="137" t="s">
        <v>52</v>
      </c>
      <c r="H31" s="174"/>
      <c r="I31" s="174"/>
    </row>
    <row r="32" spans="1:9" ht="12.75">
      <c r="A32" s="137"/>
      <c r="B32" s="176" t="s">
        <v>325</v>
      </c>
      <c r="C32" s="231">
        <v>552809.27</v>
      </c>
      <c r="D32" s="231">
        <v>61547.77</v>
      </c>
      <c r="H32" s="174"/>
      <c r="I32" s="174"/>
    </row>
    <row r="33" spans="1:9" ht="12.75">
      <c r="A33" s="137"/>
      <c r="B33" s="176" t="s">
        <v>334</v>
      </c>
      <c r="C33" s="223">
        <f>-C39</f>
        <v>-209965.78</v>
      </c>
      <c r="D33" s="173">
        <f>-D39</f>
        <v>0</v>
      </c>
      <c r="H33" s="174"/>
      <c r="I33" s="174"/>
    </row>
    <row r="34" spans="1:6" ht="12.75">
      <c r="A34" s="137"/>
      <c r="B34" s="176" t="s">
        <v>326</v>
      </c>
      <c r="C34" s="231">
        <f>-23637-63324-97007.02</f>
        <v>-183968.02000000002</v>
      </c>
      <c r="F34" s="173"/>
    </row>
    <row r="35" spans="1:6" ht="12.75">
      <c r="A35" s="137"/>
      <c r="B35" s="238" t="s">
        <v>378</v>
      </c>
      <c r="C35">
        <f>-10457-19200</f>
        <v>-29657</v>
      </c>
      <c r="F35" s="173"/>
    </row>
    <row r="36" spans="1:6" ht="12.75">
      <c r="A36" s="137"/>
      <c r="B36" s="238" t="s">
        <v>379</v>
      </c>
      <c r="C36">
        <f>174.28+800</f>
        <v>974.28</v>
      </c>
      <c r="F36" s="173"/>
    </row>
    <row r="37" spans="1:9" ht="12.75">
      <c r="A37" s="137"/>
      <c r="B37" s="176" t="s">
        <v>328</v>
      </c>
      <c r="F37" s="173"/>
      <c r="H37" s="174"/>
      <c r="I37" s="174"/>
    </row>
    <row r="38" spans="1:9" ht="13.5" thickBot="1">
      <c r="A38" s="177"/>
      <c r="B38" s="178" t="s">
        <v>329</v>
      </c>
      <c r="C38" s="179">
        <f>SUM(C32:C37)</f>
        <v>130192.74999999997</v>
      </c>
      <c r="D38" s="179">
        <f>SUM(D32:D37)</f>
        <v>61547.77</v>
      </c>
      <c r="E38" s="174"/>
      <c r="F38" s="174"/>
      <c r="G38" s="174"/>
      <c r="H38" s="173"/>
      <c r="I38" s="173"/>
    </row>
    <row r="39" spans="1:4" ht="13.5" thickTop="1">
      <c r="A39" s="137" t="s">
        <v>39</v>
      </c>
      <c r="C39" s="222">
        <v>209965.78</v>
      </c>
      <c r="D39" s="5"/>
    </row>
    <row r="40" ht="12.75">
      <c r="A40" s="137" t="s">
        <v>40</v>
      </c>
    </row>
    <row r="41" spans="1:4" ht="12.75">
      <c r="A41" s="137"/>
      <c r="B41" s="176" t="s">
        <v>325</v>
      </c>
      <c r="C41" s="231">
        <v>491032.37</v>
      </c>
      <c r="D41" s="231">
        <v>50920.11</v>
      </c>
    </row>
    <row r="42" spans="1:6" ht="12.75">
      <c r="A42" s="137"/>
      <c r="B42" s="176" t="s">
        <v>326</v>
      </c>
      <c r="C42" s="45">
        <f>-33161-6860-1300</f>
        <v>-41321</v>
      </c>
      <c r="D42" s="45"/>
      <c r="F42" s="173"/>
    </row>
    <row r="43" spans="1:6" ht="12.75">
      <c r="A43" s="137"/>
      <c r="B43" s="176" t="s">
        <v>327</v>
      </c>
      <c r="C43" s="173"/>
      <c r="F43" s="173"/>
    </row>
    <row r="44" spans="1:9" ht="12.75">
      <c r="A44" s="137"/>
      <c r="B44" s="176" t="s">
        <v>328</v>
      </c>
      <c r="F44" s="173"/>
      <c r="H44" s="174"/>
      <c r="I44" s="174"/>
    </row>
    <row r="45" spans="1:9" ht="13.5" thickBot="1">
      <c r="A45" s="177"/>
      <c r="B45" s="178" t="s">
        <v>329</v>
      </c>
      <c r="C45" s="179">
        <f>SUM(C41:C44)</f>
        <v>449711.37</v>
      </c>
      <c r="D45" s="179">
        <f>SUM(D41:D44)</f>
        <v>50920.11</v>
      </c>
      <c r="E45" s="174"/>
      <c r="F45" s="174"/>
      <c r="G45" s="174"/>
      <c r="H45" s="173"/>
      <c r="I45" s="173"/>
    </row>
    <row r="46" ht="13.5" thickTop="1">
      <c r="A46" s="181" t="s">
        <v>17</v>
      </c>
    </row>
    <row r="47" spans="3:4" ht="12.75">
      <c r="C47" s="173">
        <f>+C45+C38+C30+C24+C18+C39</f>
        <v>2021210.0099999995</v>
      </c>
      <c r="D47" s="173">
        <f>+D45+D38+D30+D24+D18+D39</f>
        <v>386043.01999999996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59" t="s">
        <v>53</v>
      </c>
      <c r="B1" s="64">
        <f>'Signature Page'!$B$9</f>
        <v>0</v>
      </c>
    </row>
    <row r="2" spans="1:2" ht="18">
      <c r="A2" s="9" t="s">
        <v>54</v>
      </c>
      <c r="B2" s="41" t="str">
        <f>Revenues!B2</f>
        <v>2010-11</v>
      </c>
    </row>
    <row r="4" ht="18">
      <c r="B4" s="78" t="s">
        <v>0</v>
      </c>
    </row>
    <row r="5" ht="15.75">
      <c r="B5" s="73" t="s">
        <v>264</v>
      </c>
    </row>
    <row r="6" ht="12.75">
      <c r="C6" s="79"/>
    </row>
    <row r="7" spans="1:3" ht="12.75">
      <c r="A7" t="s">
        <v>265</v>
      </c>
      <c r="C7" s="79"/>
    </row>
    <row r="8" spans="1:3" ht="12.75">
      <c r="A8" t="s">
        <v>271</v>
      </c>
      <c r="C8" s="83">
        <v>0</v>
      </c>
    </row>
    <row r="9" spans="1:3" ht="12.75">
      <c r="A9" t="s">
        <v>272</v>
      </c>
      <c r="C9" s="83">
        <v>0</v>
      </c>
    </row>
    <row r="10" spans="1:3" ht="12.75">
      <c r="A10" t="s">
        <v>270</v>
      </c>
      <c r="C10" s="84">
        <v>1446</v>
      </c>
    </row>
    <row r="11" ht="12.75">
      <c r="C11" s="81"/>
    </row>
    <row r="12" ht="12.75">
      <c r="C12" s="80">
        <f>SUM(C8:C10)</f>
        <v>1446</v>
      </c>
    </row>
    <row r="13" ht="12.75">
      <c r="C13" s="79"/>
    </row>
    <row r="14" spans="1:3" ht="12.75">
      <c r="A14" t="s">
        <v>266</v>
      </c>
      <c r="C14" s="79"/>
    </row>
    <row r="15" spans="1:3" ht="12.75">
      <c r="A15" t="s">
        <v>273</v>
      </c>
      <c r="C15" s="84"/>
    </row>
    <row r="16" ht="12.75">
      <c r="C16" s="79"/>
    </row>
    <row r="17" spans="1:3" ht="12.75">
      <c r="A17" t="s">
        <v>267</v>
      </c>
      <c r="C17" s="79">
        <f>+C12-C15</f>
        <v>1446</v>
      </c>
    </row>
    <row r="18" ht="12.75">
      <c r="C18" s="79"/>
    </row>
    <row r="19" spans="1:3" ht="12.75">
      <c r="A19" t="s">
        <v>268</v>
      </c>
      <c r="C19" s="84">
        <v>88568</v>
      </c>
    </row>
    <row r="20" ht="12.75">
      <c r="C20" s="79"/>
    </row>
    <row r="21" spans="1:3" ht="13.5" thickBot="1">
      <c r="A21" t="s">
        <v>269</v>
      </c>
      <c r="C21" s="82">
        <f>+C17+C19</f>
        <v>90014</v>
      </c>
    </row>
    <row r="22" ht="13.5" thickTop="1">
      <c r="C22" s="79"/>
    </row>
    <row r="23" ht="12.75">
      <c r="C23" s="79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F29" sqref="F29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59" t="s">
        <v>53</v>
      </c>
      <c r="B1" s="62">
        <f>'Signature Page'!$B$9</f>
        <v>0</v>
      </c>
    </row>
    <row r="2" spans="1:2" ht="18">
      <c r="A2" s="60" t="s">
        <v>54</v>
      </c>
      <c r="B2" s="63" t="str">
        <f>Revenues!B2</f>
        <v>2010-11</v>
      </c>
    </row>
    <row r="3" ht="18">
      <c r="A3" s="15" t="s">
        <v>57</v>
      </c>
    </row>
    <row r="5" ht="15">
      <c r="A5" s="42" t="s">
        <v>60</v>
      </c>
    </row>
    <row r="7" spans="1:3" ht="12.75">
      <c r="A7" s="77" t="s">
        <v>58</v>
      </c>
      <c r="B7" s="77" t="s">
        <v>61</v>
      </c>
      <c r="C7" s="77" t="s">
        <v>59</v>
      </c>
    </row>
    <row r="8" spans="1:3" ht="12.75">
      <c r="A8" t="s">
        <v>343</v>
      </c>
      <c r="B8">
        <v>159100</v>
      </c>
      <c r="C8">
        <v>2598.94</v>
      </c>
    </row>
    <row r="9" spans="1:3" ht="12.75">
      <c r="A9" t="s">
        <v>344</v>
      </c>
      <c r="B9">
        <v>159100</v>
      </c>
      <c r="C9">
        <v>941.73</v>
      </c>
    </row>
    <row r="10" spans="1:3" ht="12.75">
      <c r="A10" t="s">
        <v>345</v>
      </c>
      <c r="B10">
        <v>159100</v>
      </c>
      <c r="C10">
        <v>841.92</v>
      </c>
    </row>
    <row r="11" spans="1:3" ht="12.75">
      <c r="A11" t="s">
        <v>346</v>
      </c>
      <c r="B11">
        <v>159100</v>
      </c>
      <c r="C11">
        <v>841.92</v>
      </c>
    </row>
    <row r="12" spans="1:3" ht="12.75">
      <c r="A12" t="s">
        <v>347</v>
      </c>
      <c r="B12">
        <v>159200</v>
      </c>
      <c r="C12">
        <f>43.06+193.3</f>
        <v>236.36</v>
      </c>
    </row>
    <row r="13" spans="1:3" ht="12.75">
      <c r="A13" s="57" t="s">
        <v>376</v>
      </c>
      <c r="B13">
        <v>152000</v>
      </c>
      <c r="C13" s="236"/>
    </row>
    <row r="16" spans="1:2" ht="15">
      <c r="A16" s="188" t="s">
        <v>348</v>
      </c>
      <c r="B16" s="16"/>
    </row>
    <row r="18" spans="1:3" ht="12.75">
      <c r="A18" s="77" t="s">
        <v>349</v>
      </c>
      <c r="B18" s="6" t="s">
        <v>61</v>
      </c>
      <c r="C18" s="77" t="s">
        <v>59</v>
      </c>
    </row>
    <row r="19" spans="1:3" ht="12.75">
      <c r="A19" t="s">
        <v>350</v>
      </c>
      <c r="B19">
        <v>159100</v>
      </c>
      <c r="C19">
        <f>83.23+995.29</f>
        <v>1078.52</v>
      </c>
    </row>
    <row r="20" spans="1:3" ht="12.75">
      <c r="A20" t="s">
        <v>350</v>
      </c>
      <c r="B20">
        <v>159200</v>
      </c>
      <c r="C20">
        <f>43.06+193.27+6584.61+484.42+86.12</f>
        <v>7391.48</v>
      </c>
    </row>
    <row r="25" spans="1:2" ht="15">
      <c r="A25" s="42" t="s">
        <v>6</v>
      </c>
      <c r="B25" s="16"/>
    </row>
    <row r="27" spans="1:3" ht="12.75">
      <c r="A27" s="77" t="s">
        <v>53</v>
      </c>
      <c r="B27" s="6" t="s">
        <v>61</v>
      </c>
      <c r="C27" s="77" t="s">
        <v>59</v>
      </c>
    </row>
    <row r="32" ht="15">
      <c r="A32" s="42" t="s">
        <v>62</v>
      </c>
    </row>
    <row r="34" spans="1:3" ht="12.75">
      <c r="A34" s="19" t="s">
        <v>58</v>
      </c>
      <c r="B34" s="56" t="s">
        <v>61</v>
      </c>
      <c r="C34" s="77" t="s">
        <v>59</v>
      </c>
    </row>
    <row r="35" spans="1:3" ht="12.75">
      <c r="A35" t="s">
        <v>351</v>
      </c>
      <c r="B35">
        <v>159100</v>
      </c>
      <c r="C35">
        <f>83.23+995.29</f>
        <v>1078.52</v>
      </c>
    </row>
    <row r="36" spans="1:3" ht="12.75">
      <c r="A36" t="s">
        <v>351</v>
      </c>
      <c r="B36">
        <v>159200</v>
      </c>
      <c r="C36">
        <f>6584.61+484.42</f>
        <v>7069.03</v>
      </c>
    </row>
    <row r="37" spans="1:3" ht="12.75">
      <c r="A37" t="s">
        <v>347</v>
      </c>
      <c r="B37">
        <v>159200</v>
      </c>
      <c r="C37">
        <f>43.06+193.27+43.06+193.3+86.12</f>
        <v>558.81</v>
      </c>
    </row>
    <row r="38" spans="1:3" ht="12.75">
      <c r="A38" s="57" t="s">
        <v>377</v>
      </c>
      <c r="B38">
        <v>152000</v>
      </c>
      <c r="C38">
        <f>+C13</f>
        <v>0</v>
      </c>
    </row>
    <row r="41" spans="1:2" ht="15">
      <c r="A41" s="188" t="s">
        <v>352</v>
      </c>
      <c r="B41" s="16"/>
    </row>
    <row r="43" spans="1:3" ht="12.75">
      <c r="A43" s="77" t="s">
        <v>349</v>
      </c>
      <c r="B43" s="6" t="s">
        <v>61</v>
      </c>
      <c r="C43" s="77" t="s">
        <v>59</v>
      </c>
    </row>
    <row r="44" spans="1:3" ht="12.75">
      <c r="A44" t="s">
        <v>353</v>
      </c>
      <c r="B44">
        <v>159100</v>
      </c>
      <c r="C44">
        <f>2598.94+941.73+841.92*2</f>
        <v>5224.51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2011-12-09T21:55:33Z</cp:lastPrinted>
  <dcterms:created xsi:type="dcterms:W3CDTF">2001-10-16T14:04:43Z</dcterms:created>
  <dcterms:modified xsi:type="dcterms:W3CDTF">2013-01-04T18:21:16Z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