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G:\FT\Accounting\Fiscal Year 2020-21\Open Enrollment\Website Publish\"/>
    </mc:Choice>
  </mc:AlternateContent>
  <xr:revisionPtr revIDLastSave="0" documentId="13_ncr:1_{AA06E3D6-2D42-4723-84F3-6A2DAFD07587}" xr6:coauthVersionLast="47" xr6:coauthVersionMax="47" xr10:uidLastSave="{00000000-0000-0000-0000-000000000000}"/>
  <bookViews>
    <workbookView xWindow="-28920" yWindow="-120" windowWidth="29040" windowHeight="15840" tabRatio="598" xr2:uid="{00000000-000D-0000-FFFF-FFFF00000000}"/>
  </bookViews>
  <sheets>
    <sheet name="Letter" sheetId="1" r:id="rId1"/>
    <sheet name="Withholding" sheetId="2" state="hidden" r:id="rId2"/>
    <sheet name="Eligibility" sheetId="8" state="hidden" r:id="rId3"/>
  </sheets>
  <definedNames>
    <definedName name="_xlnm._FilterDatabase" localSheetId="2" hidden="1">Eligibility!$A$1:$AA$423</definedName>
    <definedName name="_xlnm._FilterDatabase" localSheetId="1" hidden="1">Withholding!$AA$1:$AA$425</definedName>
    <definedName name="_xlnm.Print_Area" localSheetId="0">Letter!$A$1:$J$66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30" i="2" l="1"/>
  <c r="AK219" i="2"/>
  <c r="AK381" i="2"/>
  <c r="AE415" i="2" l="1"/>
  <c r="AE227" i="2" l="1"/>
  <c r="AE126" i="2"/>
  <c r="AE100" i="2"/>
  <c r="AE94" i="2"/>
  <c r="AE36" i="2"/>
  <c r="AA137" i="2"/>
  <c r="S118" i="2" l="1"/>
  <c r="S367" i="2" l="1"/>
  <c r="S212" i="2"/>
  <c r="S176" i="2"/>
  <c r="Z392" i="2"/>
  <c r="Z283" i="2"/>
  <c r="V275" i="2"/>
  <c r="V406" i="2"/>
  <c r="V370" i="2"/>
  <c r="Z378" i="2"/>
  <c r="S152" i="2" l="1"/>
  <c r="S19" i="2"/>
  <c r="S308" i="2"/>
  <c r="V132" i="2"/>
  <c r="R411" i="2" l="1"/>
  <c r="AA370" i="2"/>
  <c r="S274" i="2"/>
  <c r="AC425" i="2"/>
  <c r="R250" i="2"/>
  <c r="AA94" i="2"/>
  <c r="AA378" i="2"/>
  <c r="AA348" i="2"/>
  <c r="U406" i="2"/>
  <c r="AA36" i="2"/>
  <c r="R338" i="2"/>
  <c r="R65" i="2"/>
  <c r="AA392" i="2"/>
  <c r="S261" i="2" l="1"/>
  <c r="S213" i="2"/>
  <c r="N424" i="8" l="1"/>
  <c r="M424" i="8"/>
  <c r="R177" i="2" l="1"/>
  <c r="R352" i="2"/>
  <c r="S251" i="2"/>
  <c r="S101" i="2"/>
  <c r="S98" i="2"/>
  <c r="S413" i="2"/>
  <c r="S258" i="2"/>
  <c r="S292" i="2"/>
  <c r="S150" i="2"/>
  <c r="S209" i="2"/>
  <c r="S7" i="2"/>
  <c r="S193" i="2"/>
  <c r="S103" i="2"/>
  <c r="S242" i="2"/>
  <c r="S337" i="2"/>
  <c r="S256" i="2"/>
  <c r="S235" i="2"/>
  <c r="S80" i="2"/>
  <c r="S194" i="2"/>
  <c r="S360" i="2"/>
  <c r="S106" i="2"/>
  <c r="S202" i="2"/>
  <c r="S289" i="2"/>
  <c r="S188" i="2"/>
  <c r="S353" i="2"/>
  <c r="S408" i="2"/>
  <c r="S137" i="2"/>
  <c r="S130" i="2"/>
  <c r="S201" i="2"/>
  <c r="S222" i="2"/>
  <c r="S25" i="2"/>
  <c r="S53" i="2"/>
  <c r="S149" i="2"/>
  <c r="S167" i="2"/>
  <c r="S311" i="2"/>
  <c r="S20" i="2"/>
  <c r="S333" i="2"/>
  <c r="S271" i="2"/>
  <c r="S294" i="2"/>
  <c r="S48" i="2"/>
  <c r="S116" i="2"/>
  <c r="S63" i="2"/>
  <c r="S8" i="2"/>
  <c r="S66" i="2"/>
  <c r="S327" i="2"/>
  <c r="S165" i="2"/>
  <c r="S226" i="2"/>
  <c r="S173" i="2"/>
  <c r="S302" i="2"/>
  <c r="S56" i="2"/>
  <c r="S375" i="2"/>
  <c r="S91" i="2"/>
  <c r="S133" i="2"/>
  <c r="S255" i="2"/>
  <c r="S421" i="2"/>
  <c r="S22" i="2"/>
  <c r="S203" i="2"/>
  <c r="S46" i="2"/>
  <c r="S269" i="2"/>
  <c r="S112" i="2"/>
  <c r="S228" i="2"/>
  <c r="S59" i="2"/>
  <c r="S183" i="2"/>
  <c r="S241" i="2"/>
  <c r="S191" i="2"/>
  <c r="S383" i="2"/>
  <c r="S62" i="2"/>
  <c r="S263" i="2"/>
  <c r="S123" i="2"/>
  <c r="S164" i="2"/>
  <c r="S110" i="2"/>
  <c r="S371" i="2"/>
  <c r="S295" i="2"/>
  <c r="S82" i="2"/>
  <c r="S47" i="2"/>
  <c r="S301" i="2"/>
  <c r="S400" i="2"/>
  <c r="S380" i="2"/>
  <c r="S244" i="2"/>
  <c r="S37" i="2"/>
  <c r="S423" i="2"/>
  <c r="S217" i="2"/>
  <c r="S249" i="2"/>
  <c r="S335" i="2"/>
  <c r="S304" i="2"/>
  <c r="S83" i="2"/>
  <c r="S155" i="2"/>
  <c r="S163" i="2"/>
  <c r="S325" i="2"/>
  <c r="S281" i="2"/>
  <c r="S318" i="2"/>
  <c r="S277" i="2"/>
  <c r="S197" i="2"/>
  <c r="S412" i="2"/>
  <c r="S88" i="2"/>
  <c r="S102" i="2"/>
  <c r="S181" i="2"/>
  <c r="S70" i="2"/>
  <c r="S138" i="2"/>
  <c r="S282" i="2"/>
  <c r="S405" i="2"/>
  <c r="S16" i="2"/>
  <c r="S254" i="2"/>
  <c r="S154" i="2"/>
  <c r="S108" i="2"/>
  <c r="S208" i="2"/>
  <c r="S388" i="2"/>
  <c r="S146" i="2"/>
  <c r="S262" i="2"/>
  <c r="S10" i="2"/>
  <c r="S414" i="2"/>
  <c r="S410" i="2"/>
  <c r="S57" i="2"/>
  <c r="S270" i="2"/>
  <c r="S372" i="2"/>
  <c r="S321" i="2"/>
  <c r="S119" i="2"/>
  <c r="S170" i="2"/>
  <c r="S373" i="2"/>
  <c r="S323" i="2"/>
  <c r="S230" i="2"/>
  <c r="S268" i="2"/>
  <c r="S366" i="2"/>
  <c r="S89" i="2"/>
  <c r="S236" i="2"/>
  <c r="S192" i="2"/>
  <c r="S313" i="2"/>
  <c r="S156" i="2"/>
  <c r="S339" i="2"/>
  <c r="S33" i="2"/>
  <c r="S257" i="2"/>
  <c r="S175" i="2"/>
  <c r="S104" i="2"/>
  <c r="S387" i="2"/>
  <c r="S221" i="2"/>
  <c r="S13" i="2"/>
  <c r="S18" i="2"/>
  <c r="S135" i="2"/>
  <c r="S394" i="2"/>
  <c r="S211" i="2"/>
  <c r="S107" i="2"/>
  <c r="S384" i="2"/>
  <c r="S219" i="2"/>
  <c r="S190" i="2"/>
  <c r="S287" i="2"/>
  <c r="S342" i="2"/>
  <c r="S379" i="2"/>
  <c r="S362" i="2"/>
  <c r="S189" i="2"/>
  <c r="S382" i="2"/>
  <c r="S185" i="2"/>
  <c r="S79" i="2"/>
  <c r="S246" i="2"/>
  <c r="S330" i="2"/>
  <c r="S14" i="2"/>
  <c r="S229" i="2"/>
  <c r="S365" i="2"/>
  <c r="S314" i="2"/>
  <c r="S285" i="2"/>
  <c r="S93" i="2"/>
  <c r="S76" i="2"/>
  <c r="S186" i="2"/>
  <c r="S419" i="2"/>
  <c r="S361" i="2"/>
  <c r="S109" i="2"/>
  <c r="S396" i="2"/>
  <c r="S350" i="2"/>
  <c r="S141" i="2"/>
  <c r="S179" i="2"/>
  <c r="S31" i="2"/>
  <c r="S68" i="2"/>
  <c r="S214" i="2"/>
  <c r="S207" i="2"/>
  <c r="S117" i="2"/>
  <c r="S41" i="2"/>
  <c r="R219" i="2" l="1"/>
  <c r="S21" i="2" l="1"/>
  <c r="AB425" i="2" l="1"/>
  <c r="Q425" i="2" l="1"/>
  <c r="J425" i="2" l="1"/>
  <c r="L425" i="2" l="1"/>
  <c r="K424" i="8" l="1"/>
  <c r="L424" i="8"/>
  <c r="O424" i="8"/>
  <c r="P424" i="8"/>
  <c r="Q424" i="8"/>
  <c r="R424" i="8"/>
  <c r="S424" i="8"/>
  <c r="T424" i="8"/>
  <c r="U424" i="8"/>
  <c r="V424" i="8"/>
  <c r="W424" i="8"/>
  <c r="X424" i="8"/>
  <c r="Y424" i="8"/>
  <c r="Z424" i="8"/>
  <c r="AA424" i="8"/>
  <c r="D424" i="8"/>
  <c r="D431" i="8" s="1"/>
  <c r="E424" i="8"/>
  <c r="E431" i="8" s="1"/>
  <c r="F424" i="8"/>
  <c r="F431" i="8" s="1"/>
  <c r="G424" i="8"/>
  <c r="G431" i="8" s="1"/>
  <c r="C424" i="8"/>
  <c r="C431" i="8" s="1"/>
  <c r="J424" i="8"/>
  <c r="I424" i="8"/>
  <c r="H424" i="8" l="1"/>
  <c r="E411" i="2" l="1"/>
  <c r="H411" i="2"/>
  <c r="I411" i="2" l="1"/>
  <c r="P411" i="2" s="1"/>
  <c r="S411" i="2" s="1"/>
  <c r="AN411" i="2" l="1"/>
  <c r="C425" i="2" l="1"/>
  <c r="U425" i="2" l="1"/>
  <c r="F47" i="1" l="1"/>
  <c r="R425" i="2" l="1"/>
  <c r="X425" i="2" l="1"/>
  <c r="H19" i="1" l="1"/>
  <c r="H18" i="1" l="1"/>
  <c r="F63" i="1" l="1"/>
  <c r="F60" i="1"/>
  <c r="F59" i="1"/>
  <c r="F58" i="1"/>
  <c r="F57" i="1"/>
  <c r="F56" i="1"/>
  <c r="F55" i="1"/>
  <c r="F54" i="1"/>
  <c r="F51" i="1"/>
  <c r="F50" i="1"/>
  <c r="F49" i="1"/>
  <c r="F45" i="1"/>
  <c r="F42" i="1"/>
  <c r="F41" i="1"/>
  <c r="F40" i="1"/>
  <c r="F38" i="1"/>
  <c r="F35" i="1"/>
  <c r="F34" i="1"/>
  <c r="F33" i="1"/>
  <c r="F28" i="1"/>
  <c r="F27" i="1"/>
  <c r="H17" i="1" l="1"/>
  <c r="H15" i="1"/>
  <c r="A1" i="8" l="1"/>
  <c r="E26" i="1" s="1"/>
  <c r="F52" i="1"/>
  <c r="F61" i="1"/>
  <c r="F43" i="1"/>
  <c r="F36" i="1"/>
  <c r="E33" i="1" l="1"/>
  <c r="G33" i="1" s="1"/>
  <c r="E49" i="1"/>
  <c r="G49" i="1" s="1"/>
  <c r="E50" i="1"/>
  <c r="G50" i="1" s="1"/>
  <c r="E51" i="1"/>
  <c r="G51" i="1" s="1"/>
  <c r="E30" i="1"/>
  <c r="G30" i="1" s="1"/>
  <c r="E47" i="1"/>
  <c r="G47" i="1" s="1"/>
  <c r="E63" i="1"/>
  <c r="G63" i="1" s="1"/>
  <c r="E57" i="1"/>
  <c r="G57" i="1" s="1"/>
  <c r="E42" i="1"/>
  <c r="G42" i="1" s="1"/>
  <c r="E35" i="1"/>
  <c r="G35" i="1" s="1"/>
  <c r="E28" i="1"/>
  <c r="G28" i="1" s="1"/>
  <c r="E60" i="1"/>
  <c r="G60" i="1" s="1"/>
  <c r="E56" i="1"/>
  <c r="G56" i="1" s="1"/>
  <c r="E41" i="1"/>
  <c r="G41" i="1" s="1"/>
  <c r="E34" i="1"/>
  <c r="G34" i="1" s="1"/>
  <c r="E27" i="1"/>
  <c r="G27" i="1" s="1"/>
  <c r="E59" i="1"/>
  <c r="G59" i="1" s="1"/>
  <c r="E55" i="1"/>
  <c r="G55" i="1" s="1"/>
  <c r="E40" i="1"/>
  <c r="G40" i="1" s="1"/>
  <c r="E58" i="1"/>
  <c r="G58" i="1" s="1"/>
  <c r="E54" i="1"/>
  <c r="G54" i="1" s="1"/>
  <c r="E45" i="1"/>
  <c r="G45" i="1" s="1"/>
  <c r="E38" i="1"/>
  <c r="G38" i="1" s="1"/>
  <c r="E29" i="1"/>
  <c r="G26" i="1" l="1"/>
  <c r="E31" i="1"/>
  <c r="E36" i="1"/>
  <c r="E52" i="1"/>
  <c r="E43" i="1"/>
  <c r="G61" i="1"/>
  <c r="E61" i="1"/>
  <c r="G43" i="1"/>
  <c r="G36" i="1"/>
  <c r="H16" i="1"/>
  <c r="G52" i="1" l="1"/>
  <c r="H14" i="1" l="1"/>
  <c r="H20" i="1" s="1"/>
  <c r="E65" i="1"/>
  <c r="E275" i="2" l="1"/>
  <c r="H275" i="2"/>
  <c r="E190" i="2"/>
  <c r="H190" i="2"/>
  <c r="E348" i="2"/>
  <c r="H348" i="2"/>
  <c r="E415" i="2"/>
  <c r="H415" i="2"/>
  <c r="E370" i="2"/>
  <c r="H370" i="2"/>
  <c r="E220" i="2"/>
  <c r="H220" i="2"/>
  <c r="E258" i="2"/>
  <c r="H258" i="2"/>
  <c r="E259" i="2"/>
  <c r="H259" i="2"/>
  <c r="E378" i="2"/>
  <c r="H378" i="2"/>
  <c r="E94" i="2"/>
  <c r="H94" i="2"/>
  <c r="E243" i="2"/>
  <c r="H243" i="2"/>
  <c r="E416" i="2"/>
  <c r="H416" i="2"/>
  <c r="E152" i="2"/>
  <c r="H152" i="2"/>
  <c r="E36" i="2"/>
  <c r="H36" i="2"/>
  <c r="E343" i="2"/>
  <c r="H343" i="2"/>
  <c r="E65" i="2"/>
  <c r="H65" i="2"/>
  <c r="E352" i="2"/>
  <c r="H352" i="2"/>
  <c r="E100" i="2"/>
  <c r="H100" i="2"/>
  <c r="E225" i="2"/>
  <c r="H225" i="2"/>
  <c r="E136" i="2"/>
  <c r="H136" i="2"/>
  <c r="E300" i="2"/>
  <c r="H300" i="2"/>
  <c r="E198" i="2"/>
  <c r="H198" i="2"/>
  <c r="E168" i="2"/>
  <c r="H168" i="2"/>
  <c r="E87" i="2"/>
  <c r="H87" i="2"/>
  <c r="E32" i="2"/>
  <c r="H32" i="2"/>
  <c r="E143" i="2"/>
  <c r="H143" i="2"/>
  <c r="E169" i="2"/>
  <c r="H169" i="2"/>
  <c r="E264" i="2"/>
  <c r="H264" i="2"/>
  <c r="E115" i="2"/>
  <c r="H115" i="2"/>
  <c r="E399" i="2"/>
  <c r="H399" i="2"/>
  <c r="E398" i="2"/>
  <c r="H398" i="2"/>
  <c r="E97" i="2"/>
  <c r="H97" i="2"/>
  <c r="E52" i="2"/>
  <c r="H52" i="2"/>
  <c r="E151" i="2"/>
  <c r="H151" i="2"/>
  <c r="E331" i="2"/>
  <c r="H331" i="2"/>
  <c r="E351" i="2"/>
  <c r="H351" i="2"/>
  <c r="E386" i="2"/>
  <c r="H386" i="2"/>
  <c r="E239" i="2"/>
  <c r="H239" i="2"/>
  <c r="E215" i="2"/>
  <c r="H215" i="2"/>
  <c r="E204" i="2"/>
  <c r="H204" i="2"/>
  <c r="E324" i="2"/>
  <c r="H324" i="2"/>
  <c r="E50" i="2"/>
  <c r="H50" i="2"/>
  <c r="E354" i="2"/>
  <c r="H354" i="2"/>
  <c r="E310" i="2"/>
  <c r="H310" i="2"/>
  <c r="E390" i="2"/>
  <c r="H390" i="2"/>
  <c r="E26" i="2"/>
  <c r="H26" i="2"/>
  <c r="E299" i="2"/>
  <c r="H299" i="2"/>
  <c r="E200" i="2"/>
  <c r="H200" i="2"/>
  <c r="E96" i="2"/>
  <c r="H96" i="2"/>
  <c r="E153" i="2"/>
  <c r="H153" i="2"/>
  <c r="E346" i="2"/>
  <c r="H346" i="2"/>
  <c r="E402" i="2"/>
  <c r="H402" i="2"/>
  <c r="E67" i="2"/>
  <c r="H67" i="2"/>
  <c r="E144" i="2"/>
  <c r="H144" i="2"/>
  <c r="E81" i="2"/>
  <c r="H81" i="2"/>
  <c r="E418" i="2"/>
  <c r="H418" i="2"/>
  <c r="E391" i="2"/>
  <c r="H391" i="2"/>
  <c r="E166" i="2"/>
  <c r="H166" i="2"/>
  <c r="E124" i="2"/>
  <c r="H124" i="2"/>
  <c r="E267" i="2"/>
  <c r="H267" i="2"/>
  <c r="E245" i="2"/>
  <c r="H245" i="2"/>
  <c r="E5" i="2"/>
  <c r="H5" i="2"/>
  <c r="E272" i="2"/>
  <c r="H272" i="2"/>
  <c r="E4" i="2"/>
  <c r="H4" i="2"/>
  <c r="E39" i="2"/>
  <c r="H39" i="2"/>
  <c r="E247" i="2"/>
  <c r="H247" i="2"/>
  <c r="E99" i="2"/>
  <c r="H99" i="2"/>
  <c r="E114" i="2"/>
  <c r="H114" i="2"/>
  <c r="E401" i="2"/>
  <c r="H401" i="2"/>
  <c r="E307" i="2"/>
  <c r="H307" i="2"/>
  <c r="E265" i="2"/>
  <c r="H265" i="2"/>
  <c r="E92" i="2"/>
  <c r="H92" i="2"/>
  <c r="E12" i="2"/>
  <c r="H12" i="2"/>
  <c r="E278" i="2"/>
  <c r="H278" i="2"/>
  <c r="E409" i="2"/>
  <c r="H409" i="2"/>
  <c r="E120" i="2"/>
  <c r="H120" i="2"/>
  <c r="E127" i="2"/>
  <c r="H127" i="2"/>
  <c r="E44" i="2"/>
  <c r="H44" i="2"/>
  <c r="E276" i="2"/>
  <c r="H276" i="2"/>
  <c r="E358" i="2"/>
  <c r="H358" i="2"/>
  <c r="E157" i="2"/>
  <c r="H157" i="2"/>
  <c r="E303" i="2"/>
  <c r="H303" i="2"/>
  <c r="E306" i="2"/>
  <c r="H306" i="2"/>
  <c r="E273" i="2"/>
  <c r="H273" i="2"/>
  <c r="E224" i="2"/>
  <c r="H224" i="2"/>
  <c r="E199" i="2"/>
  <c r="H199" i="2"/>
  <c r="E111" i="2"/>
  <c r="H111" i="2"/>
  <c r="E78" i="2"/>
  <c r="H78" i="2"/>
  <c r="E317" i="2"/>
  <c r="H317" i="2"/>
  <c r="E320" i="2"/>
  <c r="H320" i="2"/>
  <c r="E218" i="2"/>
  <c r="H218" i="2"/>
  <c r="E316" i="2"/>
  <c r="H316" i="2"/>
  <c r="E347" i="2"/>
  <c r="H347" i="2"/>
  <c r="E71" i="2"/>
  <c r="H71" i="2"/>
  <c r="E266" i="2"/>
  <c r="H266" i="2"/>
  <c r="E297" i="2"/>
  <c r="H297" i="2"/>
  <c r="E364" i="2"/>
  <c r="H364" i="2"/>
  <c r="E171" i="2"/>
  <c r="H171" i="2"/>
  <c r="E174" i="2"/>
  <c r="H174" i="2"/>
  <c r="E122" i="2"/>
  <c r="H122" i="2"/>
  <c r="E9" i="2"/>
  <c r="H9" i="2"/>
  <c r="E105" i="2"/>
  <c r="H105" i="2"/>
  <c r="E61" i="2"/>
  <c r="H61" i="2"/>
  <c r="E231" i="2"/>
  <c r="H231" i="2"/>
  <c r="E379" i="2"/>
  <c r="H379" i="2"/>
  <c r="E128" i="2"/>
  <c r="H128" i="2"/>
  <c r="E43" i="2"/>
  <c r="H43" i="2"/>
  <c r="E77" i="2"/>
  <c r="H77" i="2"/>
  <c r="E95" i="2"/>
  <c r="H95" i="2"/>
  <c r="E11" i="2"/>
  <c r="H11" i="2"/>
  <c r="E109" i="2"/>
  <c r="H109" i="2"/>
  <c r="E385" i="2"/>
  <c r="H385" i="2"/>
  <c r="E113" i="2"/>
  <c r="H113" i="2"/>
  <c r="E232" i="2"/>
  <c r="H232" i="2"/>
  <c r="E279" i="2"/>
  <c r="H279" i="2"/>
  <c r="E51" i="2"/>
  <c r="H51" i="2"/>
  <c r="E344" i="2"/>
  <c r="H344" i="2"/>
  <c r="E328" i="2"/>
  <c r="H328" i="2"/>
  <c r="E216" i="2"/>
  <c r="H216" i="2"/>
  <c r="E27" i="2"/>
  <c r="H27" i="2"/>
  <c r="E195" i="2"/>
  <c r="H195" i="2"/>
  <c r="E42" i="2"/>
  <c r="H42" i="2"/>
  <c r="E58" i="2"/>
  <c r="H58" i="2"/>
  <c r="E196" i="2"/>
  <c r="H196" i="2"/>
  <c r="E60" i="2"/>
  <c r="H60" i="2"/>
  <c r="E296" i="2"/>
  <c r="H296" i="2"/>
  <c r="E140" i="2"/>
  <c r="H140" i="2"/>
  <c r="E160" i="2"/>
  <c r="H160" i="2"/>
  <c r="E248" i="2"/>
  <c r="H248" i="2"/>
  <c r="E19" i="2"/>
  <c r="H19" i="2"/>
  <c r="E131" i="2"/>
  <c r="H131" i="2"/>
  <c r="E90" i="2"/>
  <c r="H90" i="2"/>
  <c r="E223" i="2"/>
  <c r="H223" i="2"/>
  <c r="E393" i="2"/>
  <c r="H393" i="2"/>
  <c r="E121" i="2"/>
  <c r="H121" i="2"/>
  <c r="E214" i="2"/>
  <c r="H214" i="2"/>
  <c r="E368" i="2"/>
  <c r="H368" i="2"/>
  <c r="E205" i="2"/>
  <c r="H205" i="2"/>
  <c r="E145" i="2"/>
  <c r="H145" i="2"/>
  <c r="E35" i="2"/>
  <c r="H35" i="2"/>
  <c r="E172" i="2"/>
  <c r="H172" i="2"/>
  <c r="E189" i="2"/>
  <c r="H189" i="2"/>
  <c r="E161" i="2"/>
  <c r="H161" i="2"/>
  <c r="E420" i="2"/>
  <c r="H420" i="2"/>
  <c r="E349" i="2"/>
  <c r="H349" i="2"/>
  <c r="E417" i="2"/>
  <c r="H417" i="2"/>
  <c r="E30" i="2"/>
  <c r="H30" i="2"/>
  <c r="E125" i="2"/>
  <c r="H125" i="2"/>
  <c r="E73" i="2"/>
  <c r="H73" i="2"/>
  <c r="E34" i="2"/>
  <c r="H34" i="2"/>
  <c r="E54" i="2"/>
  <c r="H54" i="2"/>
  <c r="E206" i="2"/>
  <c r="H206" i="2"/>
  <c r="E45" i="2"/>
  <c r="H45" i="2"/>
  <c r="E103" i="2"/>
  <c r="H103" i="2"/>
  <c r="E17" i="2"/>
  <c r="H17" i="2"/>
  <c r="E24" i="2"/>
  <c r="H24" i="2"/>
  <c r="E403" i="2"/>
  <c r="H403" i="2"/>
  <c r="E241" i="2"/>
  <c r="H241" i="2"/>
  <c r="E253" i="2"/>
  <c r="H253" i="2"/>
  <c r="E309" i="2"/>
  <c r="H309" i="2"/>
  <c r="E315" i="2"/>
  <c r="H315" i="2"/>
  <c r="E359" i="2"/>
  <c r="H359" i="2"/>
  <c r="E38" i="2"/>
  <c r="H38" i="2"/>
  <c r="E284" i="2"/>
  <c r="H284" i="2"/>
  <c r="E107" i="2"/>
  <c r="H107" i="2"/>
  <c r="E180" i="2"/>
  <c r="H180" i="2"/>
  <c r="E49" i="2"/>
  <c r="H49" i="2"/>
  <c r="E234" i="2"/>
  <c r="H234" i="2"/>
  <c r="E312" i="2"/>
  <c r="H312" i="2"/>
  <c r="E213" i="2"/>
  <c r="H213" i="2"/>
  <c r="E23" i="2"/>
  <c r="H23" i="2"/>
  <c r="E207" i="2"/>
  <c r="H207" i="2"/>
  <c r="E233" i="2"/>
  <c r="H233" i="2"/>
  <c r="E86" i="2"/>
  <c r="H86" i="2"/>
  <c r="E75" i="2"/>
  <c r="H75" i="2"/>
  <c r="E69" i="2"/>
  <c r="H69" i="2"/>
  <c r="E363" i="2"/>
  <c r="H363" i="2"/>
  <c r="E322" i="2"/>
  <c r="H322" i="2"/>
  <c r="E6" i="2"/>
  <c r="H6" i="2"/>
  <c r="E147" i="2"/>
  <c r="H147" i="2"/>
  <c r="E182" i="2"/>
  <c r="H182" i="2"/>
  <c r="E53" i="2"/>
  <c r="H53" i="2"/>
  <c r="E250" i="2"/>
  <c r="H250" i="2"/>
  <c r="E283" i="2"/>
  <c r="H283" i="2"/>
  <c r="E84" i="2"/>
  <c r="H84" i="2"/>
  <c r="E260" i="2"/>
  <c r="H260" i="2"/>
  <c r="E41" i="2"/>
  <c r="H41" i="2"/>
  <c r="E85" i="2"/>
  <c r="H85" i="2"/>
  <c r="E134" i="2"/>
  <c r="H134" i="2"/>
  <c r="E345" i="2"/>
  <c r="H345" i="2"/>
  <c r="E280" i="2"/>
  <c r="H280" i="2"/>
  <c r="E129" i="2"/>
  <c r="H129" i="2"/>
  <c r="E252" i="2"/>
  <c r="H252" i="2"/>
  <c r="E240" i="2"/>
  <c r="H240" i="2"/>
  <c r="E162" i="2"/>
  <c r="H162" i="2"/>
  <c r="E142" i="2"/>
  <c r="H142" i="2"/>
  <c r="E64" i="2"/>
  <c r="H64" i="2"/>
  <c r="E334" i="2"/>
  <c r="H334" i="2"/>
  <c r="E149" i="2"/>
  <c r="H149" i="2"/>
  <c r="E389" i="2"/>
  <c r="H389" i="2"/>
  <c r="E3" i="2"/>
  <c r="H3" i="2"/>
  <c r="E148" i="2"/>
  <c r="H148" i="2"/>
  <c r="E336" i="2"/>
  <c r="H336" i="2"/>
  <c r="E350" i="2"/>
  <c r="H350" i="2"/>
  <c r="E80" i="2"/>
  <c r="H80" i="2"/>
  <c r="E91" i="2"/>
  <c r="H91" i="2"/>
  <c r="E251" i="2"/>
  <c r="H251" i="2"/>
  <c r="E305" i="2"/>
  <c r="H305" i="2"/>
  <c r="E187" i="2"/>
  <c r="H187" i="2"/>
  <c r="E319" i="2"/>
  <c r="H319" i="2"/>
  <c r="E384" i="2"/>
  <c r="H384" i="2"/>
  <c r="E377" i="2"/>
  <c r="H377" i="2"/>
  <c r="E355" i="2"/>
  <c r="H355" i="2"/>
  <c r="E165" i="2"/>
  <c r="H165" i="2"/>
  <c r="E132" i="2"/>
  <c r="H132" i="2"/>
  <c r="E407" i="2"/>
  <c r="H407" i="2"/>
  <c r="E302" i="2"/>
  <c r="H302" i="2"/>
  <c r="E40" i="2"/>
  <c r="H40" i="2"/>
  <c r="E158" i="2"/>
  <c r="H158" i="2"/>
  <c r="E338" i="2"/>
  <c r="H338" i="2"/>
  <c r="E193" i="2"/>
  <c r="H193" i="2"/>
  <c r="E406" i="2"/>
  <c r="H406" i="2"/>
  <c r="E15" i="2"/>
  <c r="H15" i="2"/>
  <c r="E177" i="2"/>
  <c r="H177" i="2"/>
  <c r="E392" i="2"/>
  <c r="H392" i="2"/>
  <c r="E340" i="2"/>
  <c r="H340" i="2"/>
  <c r="E79" i="2"/>
  <c r="H79" i="2"/>
  <c r="E298" i="2"/>
  <c r="H298" i="2"/>
  <c r="E29" i="2"/>
  <c r="H29" i="2"/>
  <c r="E374" i="2"/>
  <c r="H374" i="2"/>
  <c r="E369" i="2"/>
  <c r="H369" i="2"/>
  <c r="E396" i="2"/>
  <c r="H396" i="2"/>
  <c r="E381" i="2"/>
  <c r="H381" i="2"/>
  <c r="E285" i="2"/>
  <c r="H285" i="2"/>
  <c r="E63" i="2"/>
  <c r="H63" i="2"/>
  <c r="E395" i="2"/>
  <c r="H395" i="2"/>
  <c r="E326" i="2"/>
  <c r="H326" i="2"/>
  <c r="E288" i="2"/>
  <c r="H288" i="2"/>
  <c r="E293" i="2"/>
  <c r="H293" i="2"/>
  <c r="E419" i="2"/>
  <c r="H419" i="2"/>
  <c r="E93" i="2"/>
  <c r="H93" i="2"/>
  <c r="E159" i="2"/>
  <c r="H159" i="2"/>
  <c r="E186" i="2"/>
  <c r="H186" i="2"/>
  <c r="E55" i="2"/>
  <c r="H55" i="2"/>
  <c r="E14" i="2"/>
  <c r="H14" i="2"/>
  <c r="E332" i="2"/>
  <c r="H332" i="2"/>
  <c r="E404" i="2"/>
  <c r="H404" i="2"/>
  <c r="E238" i="2"/>
  <c r="H238" i="2"/>
  <c r="E286" i="2"/>
  <c r="H286" i="2"/>
  <c r="E25" i="2"/>
  <c r="H25" i="2"/>
  <c r="E308" i="2"/>
  <c r="H308" i="2"/>
  <c r="E150" i="2"/>
  <c r="H150" i="2"/>
  <c r="E126" i="2"/>
  <c r="H126" i="2"/>
  <c r="E422" i="2"/>
  <c r="H422" i="2"/>
  <c r="E408" i="2"/>
  <c r="H408" i="2"/>
  <c r="E72" i="2"/>
  <c r="H72" i="2"/>
  <c r="E382" i="2"/>
  <c r="H382" i="2"/>
  <c r="E256" i="2"/>
  <c r="H256" i="2"/>
  <c r="E194" i="2"/>
  <c r="H194" i="2"/>
  <c r="E229" i="2"/>
  <c r="H229" i="2"/>
  <c r="E101" i="2"/>
  <c r="H101" i="2"/>
  <c r="E313" i="2"/>
  <c r="H313" i="2"/>
  <c r="E274" i="2"/>
  <c r="H274" i="2"/>
  <c r="E356" i="2"/>
  <c r="H356" i="2"/>
  <c r="E227" i="2"/>
  <c r="H227" i="2"/>
  <c r="E184" i="2"/>
  <c r="H184" i="2"/>
  <c r="E261" i="2"/>
  <c r="H261" i="2"/>
  <c r="E311" i="2"/>
  <c r="H311" i="2"/>
  <c r="E28" i="2"/>
  <c r="H28" i="2"/>
  <c r="E290" i="2"/>
  <c r="H290" i="2"/>
  <c r="E197" i="2"/>
  <c r="H197" i="2"/>
  <c r="E329" i="2"/>
  <c r="H329" i="2"/>
  <c r="E365" i="2"/>
  <c r="H365" i="2"/>
  <c r="E362" i="2"/>
  <c r="H362" i="2"/>
  <c r="E330" i="2"/>
  <c r="H330" i="2"/>
  <c r="E31" i="2"/>
  <c r="H31" i="2"/>
  <c r="E371" i="2"/>
  <c r="H371" i="2"/>
  <c r="E209" i="2"/>
  <c r="H209" i="2"/>
  <c r="E337" i="2"/>
  <c r="H337" i="2"/>
  <c r="E287" i="2"/>
  <c r="H287" i="2"/>
  <c r="E188" i="2"/>
  <c r="H188" i="2"/>
  <c r="E74" i="2"/>
  <c r="H74" i="2"/>
  <c r="E292" i="2"/>
  <c r="H292" i="2"/>
  <c r="E361" i="2"/>
  <c r="H361" i="2"/>
  <c r="E83" i="2"/>
  <c r="H83" i="2"/>
  <c r="E289" i="2"/>
  <c r="H289" i="2"/>
  <c r="E269" i="2"/>
  <c r="H269" i="2"/>
  <c r="E327" i="2"/>
  <c r="H327" i="2"/>
  <c r="E237" i="2"/>
  <c r="H237" i="2"/>
  <c r="E242" i="2"/>
  <c r="H242" i="2"/>
  <c r="E21" i="2"/>
  <c r="H21" i="2"/>
  <c r="E375" i="2"/>
  <c r="H375" i="2"/>
  <c r="E341" i="2"/>
  <c r="H341" i="2"/>
  <c r="E7" i="2"/>
  <c r="H7" i="2"/>
  <c r="E141" i="2"/>
  <c r="H141" i="2"/>
  <c r="E246" i="2"/>
  <c r="H246" i="2"/>
  <c r="E263" i="2"/>
  <c r="H263" i="2"/>
  <c r="E222" i="2"/>
  <c r="H222" i="2"/>
  <c r="E210" i="2"/>
  <c r="H210" i="2"/>
  <c r="E413" i="2"/>
  <c r="H413" i="2"/>
  <c r="E66" i="2"/>
  <c r="H66" i="2"/>
  <c r="E226" i="2"/>
  <c r="H226" i="2"/>
  <c r="E360" i="2"/>
  <c r="H360" i="2"/>
  <c r="E139" i="2"/>
  <c r="H139" i="2"/>
  <c r="E98" i="2"/>
  <c r="H98" i="2"/>
  <c r="E117" i="2"/>
  <c r="H117" i="2"/>
  <c r="E56" i="2"/>
  <c r="H56" i="2"/>
  <c r="E228" i="2"/>
  <c r="H228" i="2"/>
  <c r="E137" i="2"/>
  <c r="H137" i="2"/>
  <c r="E8" i="2"/>
  <c r="H8" i="2"/>
  <c r="E68" i="2"/>
  <c r="H68" i="2"/>
  <c r="E202" i="2"/>
  <c r="H202" i="2"/>
  <c r="E179" i="2"/>
  <c r="H179" i="2"/>
  <c r="E178" i="2"/>
  <c r="H178" i="2"/>
  <c r="E376" i="2"/>
  <c r="H376" i="2"/>
  <c r="E294" i="2"/>
  <c r="H294" i="2"/>
  <c r="E110" i="2"/>
  <c r="H110" i="2"/>
  <c r="E185" i="2"/>
  <c r="H185" i="2"/>
  <c r="E59" i="2"/>
  <c r="H59" i="2"/>
  <c r="E155" i="2"/>
  <c r="H155" i="2"/>
  <c r="E255" i="2"/>
  <c r="H255" i="2"/>
  <c r="E191" i="2"/>
  <c r="H191" i="2"/>
  <c r="E20" i="2"/>
  <c r="H20" i="2"/>
  <c r="E118" i="2"/>
  <c r="H118" i="2"/>
  <c r="E219" i="2"/>
  <c r="H219" i="2"/>
  <c r="E357" i="2"/>
  <c r="H357" i="2"/>
  <c r="E201" i="2"/>
  <c r="H201" i="2"/>
  <c r="E203" i="2"/>
  <c r="H203" i="2"/>
  <c r="E154" i="2"/>
  <c r="H154" i="2"/>
  <c r="E183" i="2"/>
  <c r="H183" i="2"/>
  <c r="E167" i="2"/>
  <c r="H167" i="2"/>
  <c r="E421" i="2"/>
  <c r="H421" i="2"/>
  <c r="E22" i="2"/>
  <c r="H22" i="2"/>
  <c r="E244" i="2"/>
  <c r="H244" i="2"/>
  <c r="E173" i="2"/>
  <c r="H173" i="2"/>
  <c r="E291" i="2"/>
  <c r="H291" i="2"/>
  <c r="E342" i="2"/>
  <c r="H342" i="2"/>
  <c r="E405" i="2"/>
  <c r="H405" i="2"/>
  <c r="E380" i="2"/>
  <c r="H380" i="2"/>
  <c r="E271" i="2"/>
  <c r="H271" i="2"/>
  <c r="E130" i="2"/>
  <c r="H130" i="2"/>
  <c r="E333" i="2"/>
  <c r="H333" i="2"/>
  <c r="E112" i="2"/>
  <c r="H112" i="2"/>
  <c r="E116" i="2"/>
  <c r="H116" i="2"/>
  <c r="E123" i="2"/>
  <c r="H123" i="2"/>
  <c r="E102" i="2"/>
  <c r="H102" i="2"/>
  <c r="E82" i="2"/>
  <c r="H82" i="2"/>
  <c r="E367" i="2"/>
  <c r="H367" i="2"/>
  <c r="E400" i="2"/>
  <c r="H400" i="2"/>
  <c r="E235" i="2"/>
  <c r="H235" i="2"/>
  <c r="E383" i="2"/>
  <c r="H383" i="2"/>
  <c r="E325" i="2"/>
  <c r="H325" i="2"/>
  <c r="E47" i="2"/>
  <c r="H47" i="2"/>
  <c r="E304" i="2"/>
  <c r="H304" i="2"/>
  <c r="E295" i="2"/>
  <c r="H295" i="2"/>
  <c r="E133" i="2"/>
  <c r="H133" i="2"/>
  <c r="E353" i="2"/>
  <c r="H353" i="2"/>
  <c r="E48" i="2"/>
  <c r="H48" i="2"/>
  <c r="E37" i="2"/>
  <c r="H37" i="2"/>
  <c r="E321" i="2"/>
  <c r="H321" i="2"/>
  <c r="E254" i="2"/>
  <c r="H254" i="2"/>
  <c r="E249" i="2"/>
  <c r="H249" i="2"/>
  <c r="E76" i="2"/>
  <c r="H76" i="2"/>
  <c r="E314" i="2"/>
  <c r="H314" i="2"/>
  <c r="E397" i="2"/>
  <c r="H397" i="2"/>
  <c r="E70" i="2"/>
  <c r="H70" i="2"/>
  <c r="E46" i="2"/>
  <c r="H46" i="2"/>
  <c r="E423" i="2"/>
  <c r="H423" i="2"/>
  <c r="E16" i="2"/>
  <c r="H16" i="2"/>
  <c r="E277" i="2"/>
  <c r="H277" i="2"/>
  <c r="E335" i="2"/>
  <c r="H335" i="2"/>
  <c r="E388" i="2"/>
  <c r="H388" i="2"/>
  <c r="E414" i="2"/>
  <c r="H414" i="2"/>
  <c r="E88" i="2"/>
  <c r="H88" i="2"/>
  <c r="E10" i="2"/>
  <c r="H10" i="2"/>
  <c r="E301" i="2"/>
  <c r="H301" i="2"/>
  <c r="E412" i="2"/>
  <c r="H412" i="2"/>
  <c r="E181" i="2"/>
  <c r="H181" i="2"/>
  <c r="E62" i="2"/>
  <c r="H62" i="2"/>
  <c r="E372" i="2"/>
  <c r="H372" i="2"/>
  <c r="E163" i="2"/>
  <c r="H163" i="2"/>
  <c r="E318" i="2"/>
  <c r="H318" i="2"/>
  <c r="E164" i="2"/>
  <c r="H164" i="2"/>
  <c r="E281" i="2"/>
  <c r="H281" i="2"/>
  <c r="E106" i="2"/>
  <c r="H106" i="2"/>
  <c r="E108" i="2"/>
  <c r="H108" i="2"/>
  <c r="E282" i="2"/>
  <c r="H282" i="2"/>
  <c r="E208" i="2"/>
  <c r="H208" i="2"/>
  <c r="E217" i="2"/>
  <c r="H217" i="2"/>
  <c r="E176" i="2"/>
  <c r="H176" i="2"/>
  <c r="E146" i="2"/>
  <c r="H146" i="2"/>
  <c r="E57" i="2"/>
  <c r="H57" i="2"/>
  <c r="E387" i="2"/>
  <c r="H387" i="2"/>
  <c r="E262" i="2"/>
  <c r="H262" i="2"/>
  <c r="E138" i="2"/>
  <c r="H138" i="2"/>
  <c r="E270" i="2"/>
  <c r="H270" i="2"/>
  <c r="E366" i="2"/>
  <c r="H366" i="2"/>
  <c r="E268" i="2"/>
  <c r="H268" i="2"/>
  <c r="E257" i="2"/>
  <c r="H257" i="2"/>
  <c r="E230" i="2"/>
  <c r="H230" i="2"/>
  <c r="E373" i="2"/>
  <c r="H373" i="2"/>
  <c r="E236" i="2"/>
  <c r="H236" i="2"/>
  <c r="E323" i="2"/>
  <c r="H323" i="2"/>
  <c r="E104" i="2"/>
  <c r="H104" i="2"/>
  <c r="E119" i="2"/>
  <c r="H119" i="2"/>
  <c r="E192" i="2"/>
  <c r="H192" i="2"/>
  <c r="E33" i="2"/>
  <c r="H33" i="2"/>
  <c r="E410" i="2"/>
  <c r="H410" i="2"/>
  <c r="E170" i="2"/>
  <c r="H170" i="2"/>
  <c r="E175" i="2"/>
  <c r="H175" i="2"/>
  <c r="E89" i="2"/>
  <c r="H89" i="2"/>
  <c r="E212" i="2"/>
  <c r="H212" i="2"/>
  <c r="E339" i="2"/>
  <c r="H339" i="2"/>
  <c r="E156" i="2"/>
  <c r="H156" i="2"/>
  <c r="E221" i="2"/>
  <c r="H221" i="2"/>
  <c r="E135" i="2"/>
  <c r="H135" i="2"/>
  <c r="E13" i="2"/>
  <c r="H13" i="2"/>
  <c r="E18" i="2"/>
  <c r="H18" i="2"/>
  <c r="E394" i="2"/>
  <c r="H394" i="2"/>
  <c r="E211" i="2"/>
  <c r="H211" i="2"/>
  <c r="I275" i="2" l="1"/>
  <c r="I298" i="2"/>
  <c r="P298" i="2" s="1"/>
  <c r="S298" i="2" s="1"/>
  <c r="I28" i="2"/>
  <c r="I406" i="2"/>
  <c r="P406" i="2" s="1"/>
  <c r="S406" i="2" s="1"/>
  <c r="I91" i="2"/>
  <c r="I158" i="2"/>
  <c r="P158" i="2" s="1"/>
  <c r="S158" i="2" s="1"/>
  <c r="I197" i="2"/>
  <c r="P197" i="2" s="1"/>
  <c r="AN197" i="2" s="1"/>
  <c r="I58" i="2"/>
  <c r="P58" i="2" s="1"/>
  <c r="S58" i="2" s="1"/>
  <c r="I245" i="2"/>
  <c r="P245" i="2" s="1"/>
  <c r="S245" i="2" s="1"/>
  <c r="I353" i="2"/>
  <c r="P353" i="2" s="1"/>
  <c r="AN353" i="2" s="1"/>
  <c r="I133" i="2"/>
  <c r="I130" i="2"/>
  <c r="P130" i="2" s="1"/>
  <c r="AN130" i="2" s="1"/>
  <c r="I185" i="2"/>
  <c r="P185" i="2" s="1"/>
  <c r="AN185" i="2" s="1"/>
  <c r="I408" i="2"/>
  <c r="P408" i="2" s="1"/>
  <c r="I137" i="2"/>
  <c r="I188" i="2"/>
  <c r="P188" i="2" s="1"/>
  <c r="AN188" i="2" s="1"/>
  <c r="I14" i="2"/>
  <c r="P14" i="2" s="1"/>
  <c r="I363" i="2"/>
  <c r="I61" i="2"/>
  <c r="P61" i="2" s="1"/>
  <c r="S61" i="2" s="1"/>
  <c r="I266" i="2"/>
  <c r="I409" i="2"/>
  <c r="P409" i="2" s="1"/>
  <c r="S409" i="2" s="1"/>
  <c r="I215" i="2"/>
  <c r="P215" i="2" s="1"/>
  <c r="S215" i="2" s="1"/>
  <c r="H11" i="1"/>
  <c r="I72" i="2"/>
  <c r="I305" i="2"/>
  <c r="P305" i="2" s="1"/>
  <c r="I309" i="2"/>
  <c r="I35" i="2"/>
  <c r="I204" i="2"/>
  <c r="I75" i="2"/>
  <c r="I45" i="2"/>
  <c r="I127" i="2"/>
  <c r="P127" i="2" s="1"/>
  <c r="S127" i="2" s="1"/>
  <c r="I39" i="2"/>
  <c r="P39" i="2" s="1"/>
  <c r="S39" i="2" s="1"/>
  <c r="I81" i="2"/>
  <c r="I299" i="2"/>
  <c r="I288" i="2"/>
  <c r="P288" i="2" s="1"/>
  <c r="S288" i="2" s="1"/>
  <c r="I238" i="2"/>
  <c r="H10" i="1"/>
  <c r="I287" i="2"/>
  <c r="I57" i="2"/>
  <c r="P57" i="2" s="1"/>
  <c r="AN57" i="2" s="1"/>
  <c r="I337" i="2"/>
  <c r="I82" i="2"/>
  <c r="P82" i="2" s="1"/>
  <c r="AN82" i="2" s="1"/>
  <c r="I418" i="2"/>
  <c r="I264" i="2"/>
  <c r="I29" i="2"/>
  <c r="I392" i="2"/>
  <c r="I15" i="2"/>
  <c r="I102" i="2"/>
  <c r="I289" i="2"/>
  <c r="I313" i="2"/>
  <c r="I63" i="2"/>
  <c r="I389" i="2"/>
  <c r="I142" i="2"/>
  <c r="I129" i="2"/>
  <c r="I345" i="2"/>
  <c r="I85" i="2"/>
  <c r="I207" i="2"/>
  <c r="I284" i="2"/>
  <c r="I359" i="2"/>
  <c r="I241" i="2"/>
  <c r="P241" i="2" s="1"/>
  <c r="AN241" i="2" s="1"/>
  <c r="I11" i="2"/>
  <c r="I122" i="2"/>
  <c r="I358" i="2"/>
  <c r="I200" i="2"/>
  <c r="I26" i="2"/>
  <c r="I310" i="2"/>
  <c r="P310" i="2" s="1"/>
  <c r="S310" i="2" s="1"/>
  <c r="I97" i="2"/>
  <c r="I399" i="2"/>
  <c r="I143" i="2"/>
  <c r="I87" i="2"/>
  <c r="I112" i="2"/>
  <c r="I335" i="2"/>
  <c r="I159" i="2"/>
  <c r="I229" i="2"/>
  <c r="I186" i="2"/>
  <c r="I302" i="2"/>
  <c r="I60" i="2"/>
  <c r="I152" i="2"/>
  <c r="I221" i="2"/>
  <c r="I156" i="2"/>
  <c r="I339" i="2"/>
  <c r="I191" i="2"/>
  <c r="I227" i="2"/>
  <c r="I195" i="2"/>
  <c r="I216" i="2"/>
  <c r="I394" i="2"/>
  <c r="P394" i="2" s="1"/>
  <c r="AN394" i="2" s="1"/>
  <c r="I18" i="2"/>
  <c r="P18" i="2" s="1"/>
  <c r="AN18" i="2" s="1"/>
  <c r="I13" i="2"/>
  <c r="P13" i="2" s="1"/>
  <c r="AN13" i="2" s="1"/>
  <c r="I135" i="2"/>
  <c r="P135" i="2" s="1"/>
  <c r="AN135" i="2" s="1"/>
  <c r="I388" i="2"/>
  <c r="P388" i="2" s="1"/>
  <c r="AN388" i="2" s="1"/>
  <c r="I314" i="2"/>
  <c r="P314" i="2" s="1"/>
  <c r="AN314" i="2" s="1"/>
  <c r="I319" i="2"/>
  <c r="I175" i="2"/>
  <c r="P175" i="2" s="1"/>
  <c r="AN175" i="2" s="1"/>
  <c r="I138" i="2"/>
  <c r="P138" i="2" s="1"/>
  <c r="AN138" i="2" s="1"/>
  <c r="I262" i="2"/>
  <c r="P262" i="2" s="1"/>
  <c r="AN262" i="2" s="1"/>
  <c r="I387" i="2"/>
  <c r="P387" i="2" s="1"/>
  <c r="AN387" i="2" s="1"/>
  <c r="I372" i="2"/>
  <c r="P372" i="2" s="1"/>
  <c r="AN372" i="2" s="1"/>
  <c r="I187" i="2"/>
  <c r="P187" i="2" s="1"/>
  <c r="S187" i="2" s="1"/>
  <c r="I251" i="2"/>
  <c r="P251" i="2" s="1"/>
  <c r="AN251" i="2" s="1"/>
  <c r="I69" i="2"/>
  <c r="I19" i="2"/>
  <c r="I171" i="2"/>
  <c r="I297" i="2"/>
  <c r="I71" i="2"/>
  <c r="I316" i="2"/>
  <c r="I344" i="2"/>
  <c r="I95" i="2"/>
  <c r="I379" i="2"/>
  <c r="I243" i="2"/>
  <c r="I378" i="2"/>
  <c r="P378" i="2" s="1"/>
  <c r="S378" i="2" s="1"/>
  <c r="I258" i="2"/>
  <c r="P258" i="2" s="1"/>
  <c r="AN258" i="2" s="1"/>
  <c r="I370" i="2"/>
  <c r="I348" i="2"/>
  <c r="I308" i="2"/>
  <c r="P308" i="2" s="1"/>
  <c r="I55" i="2"/>
  <c r="P55" i="2" s="1"/>
  <c r="S55" i="2" s="1"/>
  <c r="I285" i="2"/>
  <c r="P285" i="2" s="1"/>
  <c r="I374" i="2"/>
  <c r="P374" i="2" s="1"/>
  <c r="S374" i="2" s="1"/>
  <c r="I340" i="2"/>
  <c r="P340" i="2" s="1"/>
  <c r="S340" i="2" s="1"/>
  <c r="I132" i="2"/>
  <c r="P132" i="2" s="1"/>
  <c r="S132" i="2" s="1"/>
  <c r="I355" i="2"/>
  <c r="P355" i="2" s="1"/>
  <c r="S355" i="2" s="1"/>
  <c r="I6" i="2"/>
  <c r="P6" i="2" s="1"/>
  <c r="S6" i="2" s="1"/>
  <c r="I34" i="2"/>
  <c r="P34" i="2" s="1"/>
  <c r="S34" i="2" s="1"/>
  <c r="I317" i="2"/>
  <c r="P317" i="2" s="1"/>
  <c r="S317" i="2" s="1"/>
  <c r="I111" i="2"/>
  <c r="P111" i="2" s="1"/>
  <c r="S111" i="2" s="1"/>
  <c r="I224" i="2"/>
  <c r="P224" i="2" s="1"/>
  <c r="S224" i="2" s="1"/>
  <c r="I157" i="2"/>
  <c r="P157" i="2" s="1"/>
  <c r="S157" i="2" s="1"/>
  <c r="I276" i="2"/>
  <c r="P276" i="2" s="1"/>
  <c r="S276" i="2" s="1"/>
  <c r="I169" i="2"/>
  <c r="P169" i="2" s="1"/>
  <c r="S169" i="2" s="1"/>
  <c r="I300" i="2"/>
  <c r="P300" i="2" s="1"/>
  <c r="S300" i="2" s="1"/>
  <c r="I225" i="2"/>
  <c r="P225" i="2" s="1"/>
  <c r="S225" i="2" s="1"/>
  <c r="I99" i="2"/>
  <c r="P99" i="2" s="1"/>
  <c r="S99" i="2" s="1"/>
  <c r="I24" i="2"/>
  <c r="P24" i="2" s="1"/>
  <c r="S24" i="2" s="1"/>
  <c r="I417" i="2"/>
  <c r="P417" i="2" s="1"/>
  <c r="S417" i="2" s="1"/>
  <c r="I104" i="2"/>
  <c r="P104" i="2" s="1"/>
  <c r="AN104" i="2" s="1"/>
  <c r="I176" i="2"/>
  <c r="P176" i="2" s="1"/>
  <c r="AN176" i="2" s="1"/>
  <c r="I412" i="2"/>
  <c r="P412" i="2" s="1"/>
  <c r="AN412" i="2" s="1"/>
  <c r="I214" i="2"/>
  <c r="P214" i="2" s="1"/>
  <c r="I248" i="2"/>
  <c r="P248" i="2" s="1"/>
  <c r="S248" i="2" s="1"/>
  <c r="I51" i="2"/>
  <c r="P51" i="2" s="1"/>
  <c r="S51" i="2" s="1"/>
  <c r="I232" i="2"/>
  <c r="P232" i="2" s="1"/>
  <c r="S232" i="2" s="1"/>
  <c r="I385" i="2"/>
  <c r="P385" i="2" s="1"/>
  <c r="S385" i="2" s="1"/>
  <c r="I77" i="2"/>
  <c r="P77" i="2" s="1"/>
  <c r="S77" i="2" s="1"/>
  <c r="I347" i="2"/>
  <c r="P347" i="2" s="1"/>
  <c r="S347" i="2" s="1"/>
  <c r="I114" i="2"/>
  <c r="P114" i="2" s="1"/>
  <c r="S114" i="2" s="1"/>
  <c r="I4" i="2"/>
  <c r="P4" i="2" s="1"/>
  <c r="S4" i="2" s="1"/>
  <c r="I5" i="2"/>
  <c r="P5" i="2" s="1"/>
  <c r="S5" i="2" s="1"/>
  <c r="I346" i="2"/>
  <c r="P346" i="2" s="1"/>
  <c r="S346" i="2" s="1"/>
  <c r="I96" i="2"/>
  <c r="P96" i="2" s="1"/>
  <c r="S96" i="2" s="1"/>
  <c r="I354" i="2"/>
  <c r="P354" i="2" s="1"/>
  <c r="S354" i="2" s="1"/>
  <c r="I386" i="2"/>
  <c r="P386" i="2" s="1"/>
  <c r="S386" i="2" s="1"/>
  <c r="I331" i="2"/>
  <c r="P331" i="2" s="1"/>
  <c r="S331" i="2" s="1"/>
  <c r="I343" i="2"/>
  <c r="P343" i="2" s="1"/>
  <c r="S343" i="2" s="1"/>
  <c r="I94" i="2"/>
  <c r="P94" i="2" s="1"/>
  <c r="S94" i="2" s="1"/>
  <c r="I423" i="2"/>
  <c r="P423" i="2" s="1"/>
  <c r="AN423" i="2" s="1"/>
  <c r="I110" i="2"/>
  <c r="P110" i="2" s="1"/>
  <c r="AN110" i="2" s="1"/>
  <c r="I165" i="2"/>
  <c r="P165" i="2" s="1"/>
  <c r="AN165" i="2" s="1"/>
  <c r="I350" i="2"/>
  <c r="P350" i="2" s="1"/>
  <c r="AN350" i="2" s="1"/>
  <c r="I148" i="2"/>
  <c r="P148" i="2" s="1"/>
  <c r="S148" i="2" s="1"/>
  <c r="I334" i="2"/>
  <c r="P334" i="2" s="1"/>
  <c r="S334" i="2" s="1"/>
  <c r="I240" i="2"/>
  <c r="P240" i="2" s="1"/>
  <c r="S240" i="2" s="1"/>
  <c r="I315" i="2"/>
  <c r="P315" i="2" s="1"/>
  <c r="S315" i="2" s="1"/>
  <c r="I17" i="2"/>
  <c r="P17" i="2" s="1"/>
  <c r="S17" i="2" s="1"/>
  <c r="I54" i="2"/>
  <c r="P54" i="2" s="1"/>
  <c r="S54" i="2" s="1"/>
  <c r="I73" i="2"/>
  <c r="P73" i="2" s="1"/>
  <c r="S73" i="2" s="1"/>
  <c r="I172" i="2"/>
  <c r="P172" i="2" s="1"/>
  <c r="S172" i="2" s="1"/>
  <c r="I145" i="2"/>
  <c r="P145" i="2" s="1"/>
  <c r="S145" i="2" s="1"/>
  <c r="I368" i="2"/>
  <c r="P368" i="2" s="1"/>
  <c r="S368" i="2" s="1"/>
  <c r="I236" i="2"/>
  <c r="P236" i="2" s="1"/>
  <c r="AN236" i="2" s="1"/>
  <c r="I174" i="2"/>
  <c r="P174" i="2" s="1"/>
  <c r="S174" i="2" s="1"/>
  <c r="I78" i="2"/>
  <c r="P78" i="2" s="1"/>
  <c r="S78" i="2" s="1"/>
  <c r="I199" i="2"/>
  <c r="P199" i="2" s="1"/>
  <c r="S199" i="2" s="1"/>
  <c r="I273" i="2"/>
  <c r="P273" i="2" s="1"/>
  <c r="S273" i="2" s="1"/>
  <c r="I303" i="2"/>
  <c r="P303" i="2" s="1"/>
  <c r="S303" i="2" s="1"/>
  <c r="I44" i="2"/>
  <c r="P44" i="2" s="1"/>
  <c r="S44" i="2" s="1"/>
  <c r="I120" i="2"/>
  <c r="P120" i="2" s="1"/>
  <c r="S120" i="2" s="1"/>
  <c r="I92" i="2"/>
  <c r="P92" i="2" s="1"/>
  <c r="S92" i="2" s="1"/>
  <c r="I136" i="2"/>
  <c r="P136" i="2" s="1"/>
  <c r="S136" i="2" s="1"/>
  <c r="I318" i="2"/>
  <c r="P318" i="2" s="1"/>
  <c r="AN318" i="2" s="1"/>
  <c r="I277" i="2"/>
  <c r="P277" i="2" s="1"/>
  <c r="AN277" i="2" s="1"/>
  <c r="I37" i="2"/>
  <c r="P37" i="2" s="1"/>
  <c r="AN37" i="2" s="1"/>
  <c r="I295" i="2"/>
  <c r="P295" i="2" s="1"/>
  <c r="AN295" i="2" s="1"/>
  <c r="I244" i="2"/>
  <c r="P244" i="2" s="1"/>
  <c r="AN244" i="2" s="1"/>
  <c r="I376" i="2"/>
  <c r="P376" i="2" s="1"/>
  <c r="S376" i="2" s="1"/>
  <c r="I178" i="2"/>
  <c r="P178" i="2" s="1"/>
  <c r="S178" i="2" s="1"/>
  <c r="I56" i="2"/>
  <c r="P56" i="2" s="1"/>
  <c r="AN56" i="2" s="1"/>
  <c r="I327" i="2"/>
  <c r="P327" i="2" s="1"/>
  <c r="AN327" i="2" s="1"/>
  <c r="I83" i="2"/>
  <c r="P83" i="2" s="1"/>
  <c r="AN83" i="2" s="1"/>
  <c r="I31" i="2"/>
  <c r="P31" i="2" s="1"/>
  <c r="AN31" i="2" s="1"/>
  <c r="I330" i="2"/>
  <c r="P330" i="2" s="1"/>
  <c r="AN330" i="2" s="1"/>
  <c r="I250" i="2"/>
  <c r="P250" i="2" s="1"/>
  <c r="S250" i="2" s="1"/>
  <c r="I121" i="2"/>
  <c r="P121" i="2" s="1"/>
  <c r="S121" i="2" s="1"/>
  <c r="I140" i="2"/>
  <c r="P140" i="2" s="1"/>
  <c r="S140" i="2" s="1"/>
  <c r="I218" i="2"/>
  <c r="P218" i="2" s="1"/>
  <c r="S218" i="2" s="1"/>
  <c r="I306" i="2"/>
  <c r="P306" i="2" s="1"/>
  <c r="S306" i="2" s="1"/>
  <c r="I166" i="2"/>
  <c r="P166" i="2" s="1"/>
  <c r="S166" i="2" s="1"/>
  <c r="I144" i="2"/>
  <c r="P144" i="2" s="1"/>
  <c r="S144" i="2" s="1"/>
  <c r="I153" i="2"/>
  <c r="P153" i="2" s="1"/>
  <c r="S153" i="2" s="1"/>
  <c r="I125" i="2"/>
  <c r="P125" i="2" s="1"/>
  <c r="S125" i="2" s="1"/>
  <c r="I281" i="2"/>
  <c r="P281" i="2" s="1"/>
  <c r="AN281" i="2" s="1"/>
  <c r="I181" i="2"/>
  <c r="P181" i="2" s="1"/>
  <c r="AN181" i="2" s="1"/>
  <c r="I10" i="2"/>
  <c r="P10" i="2" s="1"/>
  <c r="AN10" i="2" s="1"/>
  <c r="I414" i="2"/>
  <c r="P414" i="2" s="1"/>
  <c r="AN414" i="2" s="1"/>
  <c r="I254" i="2"/>
  <c r="P254" i="2" s="1"/>
  <c r="AN254" i="2" s="1"/>
  <c r="I321" i="2"/>
  <c r="P321" i="2" s="1"/>
  <c r="AN321" i="2" s="1"/>
  <c r="I383" i="2"/>
  <c r="P383" i="2" s="1"/>
  <c r="AN383" i="2" s="1"/>
  <c r="I235" i="2"/>
  <c r="P235" i="2" s="1"/>
  <c r="AN235" i="2" s="1"/>
  <c r="I367" i="2"/>
  <c r="P367" i="2" s="1"/>
  <c r="AN367" i="2" s="1"/>
  <c r="I333" i="2"/>
  <c r="P333" i="2" s="1"/>
  <c r="AN333" i="2" s="1"/>
  <c r="I271" i="2"/>
  <c r="P271" i="2" s="1"/>
  <c r="AN271" i="2" s="1"/>
  <c r="I405" i="2"/>
  <c r="P405" i="2" s="1"/>
  <c r="AN405" i="2" s="1"/>
  <c r="I167" i="2"/>
  <c r="P167" i="2" s="1"/>
  <c r="AN167" i="2" s="1"/>
  <c r="I183" i="2"/>
  <c r="P183" i="2" s="1"/>
  <c r="AN183" i="2" s="1"/>
  <c r="I255" i="2"/>
  <c r="P255" i="2" s="1"/>
  <c r="AN255" i="2" s="1"/>
  <c r="I155" i="2"/>
  <c r="P155" i="2" s="1"/>
  <c r="AN155" i="2" s="1"/>
  <c r="I68" i="2"/>
  <c r="P68" i="2" s="1"/>
  <c r="AN68" i="2" s="1"/>
  <c r="I8" i="2"/>
  <c r="P8" i="2" s="1"/>
  <c r="AN8" i="2" s="1"/>
  <c r="I228" i="2"/>
  <c r="P228" i="2" s="1"/>
  <c r="AN228" i="2" s="1"/>
  <c r="I360" i="2"/>
  <c r="P360" i="2" s="1"/>
  <c r="AN360" i="2" s="1"/>
  <c r="I66" i="2"/>
  <c r="P66" i="2" s="1"/>
  <c r="AN66" i="2" s="1"/>
  <c r="I413" i="2"/>
  <c r="P413" i="2" s="1"/>
  <c r="AN413" i="2" s="1"/>
  <c r="I7" i="2"/>
  <c r="P7" i="2" s="1"/>
  <c r="AN7" i="2" s="1"/>
  <c r="I396" i="2"/>
  <c r="P396" i="2" s="1"/>
  <c r="AN396" i="2" s="1"/>
  <c r="I149" i="2"/>
  <c r="I64" i="2"/>
  <c r="P64" i="2" s="1"/>
  <c r="S64" i="2" s="1"/>
  <c r="I162" i="2"/>
  <c r="P162" i="2" s="1"/>
  <c r="S162" i="2" s="1"/>
  <c r="I147" i="2"/>
  <c r="P147" i="2" s="1"/>
  <c r="S147" i="2" s="1"/>
  <c r="I322" i="2"/>
  <c r="P322" i="2" s="1"/>
  <c r="S322" i="2" s="1"/>
  <c r="I233" i="2"/>
  <c r="P233" i="2" s="1"/>
  <c r="S233" i="2" s="1"/>
  <c r="I23" i="2"/>
  <c r="P23" i="2" s="1"/>
  <c r="S23" i="2" s="1"/>
  <c r="I312" i="2"/>
  <c r="P312" i="2" s="1"/>
  <c r="S312" i="2" s="1"/>
  <c r="I49" i="2"/>
  <c r="P49" i="2" s="1"/>
  <c r="S49" i="2" s="1"/>
  <c r="I323" i="2"/>
  <c r="P323" i="2" s="1"/>
  <c r="AN323" i="2" s="1"/>
  <c r="I208" i="2"/>
  <c r="P208" i="2" s="1"/>
  <c r="AN208" i="2" s="1"/>
  <c r="I282" i="2"/>
  <c r="P282" i="2" s="1"/>
  <c r="AN282" i="2" s="1"/>
  <c r="I108" i="2"/>
  <c r="P108" i="2" s="1"/>
  <c r="AN108" i="2" s="1"/>
  <c r="I106" i="2"/>
  <c r="P106" i="2" s="1"/>
  <c r="AN106" i="2" s="1"/>
  <c r="I16" i="2"/>
  <c r="P16" i="2" s="1"/>
  <c r="AN16" i="2" s="1"/>
  <c r="I46" i="2"/>
  <c r="P46" i="2" s="1"/>
  <c r="AN46" i="2" s="1"/>
  <c r="I70" i="2"/>
  <c r="P70" i="2" s="1"/>
  <c r="AN70" i="2" s="1"/>
  <c r="I400" i="2"/>
  <c r="P400" i="2" s="1"/>
  <c r="AN400" i="2" s="1"/>
  <c r="I123" i="2"/>
  <c r="P123" i="2" s="1"/>
  <c r="AN123" i="2" s="1"/>
  <c r="I116" i="2"/>
  <c r="P116" i="2" s="1"/>
  <c r="AN116" i="2" s="1"/>
  <c r="I22" i="2"/>
  <c r="P22" i="2" s="1"/>
  <c r="AN22" i="2" s="1"/>
  <c r="I219" i="2"/>
  <c r="P219" i="2" s="1"/>
  <c r="AN219" i="2" s="1"/>
  <c r="I117" i="2"/>
  <c r="P117" i="2" s="1"/>
  <c r="AN117" i="2" s="1"/>
  <c r="I375" i="2"/>
  <c r="P375" i="2" s="1"/>
  <c r="AN375" i="2" s="1"/>
  <c r="I21" i="2"/>
  <c r="P21" i="2" s="1"/>
  <c r="AN21" i="2" s="1"/>
  <c r="I242" i="2"/>
  <c r="P242" i="2" s="1"/>
  <c r="AN242" i="2" s="1"/>
  <c r="I237" i="2"/>
  <c r="P237" i="2" s="1"/>
  <c r="I371" i="2"/>
  <c r="P371" i="2" s="1"/>
  <c r="AN371" i="2" s="1"/>
  <c r="I290" i="2"/>
  <c r="P290" i="2" s="1"/>
  <c r="I101" i="2"/>
  <c r="P101" i="2" s="1"/>
  <c r="AN101" i="2" s="1"/>
  <c r="I126" i="2"/>
  <c r="P126" i="2" s="1"/>
  <c r="S126" i="2" s="1"/>
  <c r="I404" i="2"/>
  <c r="P404" i="2" s="1"/>
  <c r="S404" i="2" s="1"/>
  <c r="I332" i="2"/>
  <c r="P332" i="2" s="1"/>
  <c r="S332" i="2" s="1"/>
  <c r="I93" i="2"/>
  <c r="P93" i="2" s="1"/>
  <c r="I395" i="2"/>
  <c r="P395" i="2" s="1"/>
  <c r="S395" i="2" s="1"/>
  <c r="I252" i="2"/>
  <c r="P252" i="2" s="1"/>
  <c r="S252" i="2" s="1"/>
  <c r="I134" i="2"/>
  <c r="P134" i="2" s="1"/>
  <c r="S134" i="2" s="1"/>
  <c r="I213" i="2"/>
  <c r="P213" i="2" s="1"/>
  <c r="I403" i="2"/>
  <c r="P403" i="2" s="1"/>
  <c r="S403" i="2" s="1"/>
  <c r="I223" i="2"/>
  <c r="P223" i="2" s="1"/>
  <c r="S223" i="2" s="1"/>
  <c r="I160" i="2"/>
  <c r="P160" i="2" s="1"/>
  <c r="S160" i="2" s="1"/>
  <c r="I296" i="2"/>
  <c r="P296" i="2" s="1"/>
  <c r="S296" i="2" s="1"/>
  <c r="I128" i="2"/>
  <c r="P128" i="2" s="1"/>
  <c r="S128" i="2" s="1"/>
  <c r="I278" i="2"/>
  <c r="P278" i="2" s="1"/>
  <c r="S278" i="2" s="1"/>
  <c r="I307" i="2"/>
  <c r="P307" i="2" s="1"/>
  <c r="S307" i="2" s="1"/>
  <c r="I402" i="2"/>
  <c r="P402" i="2" s="1"/>
  <c r="S402" i="2" s="1"/>
  <c r="I50" i="2"/>
  <c r="P50" i="2" s="1"/>
  <c r="S50" i="2" s="1"/>
  <c r="I239" i="2"/>
  <c r="P239" i="2" s="1"/>
  <c r="S239" i="2" s="1"/>
  <c r="I352" i="2"/>
  <c r="P352" i="2" s="1"/>
  <c r="S352" i="2" s="1"/>
  <c r="I361" i="2"/>
  <c r="P361" i="2" s="1"/>
  <c r="AN361" i="2" s="1"/>
  <c r="I362" i="2"/>
  <c r="P362" i="2" s="1"/>
  <c r="I184" i="2"/>
  <c r="P184" i="2" s="1"/>
  <c r="S184" i="2" s="1"/>
  <c r="I274" i="2"/>
  <c r="P274" i="2" s="1"/>
  <c r="I25" i="2"/>
  <c r="P25" i="2" s="1"/>
  <c r="AN25" i="2" s="1"/>
  <c r="I41" i="2"/>
  <c r="P41" i="2" s="1"/>
  <c r="AN41" i="2" s="1"/>
  <c r="I100" i="2"/>
  <c r="P100" i="2" s="1"/>
  <c r="S100" i="2" s="1"/>
  <c r="I65" i="2"/>
  <c r="P65" i="2" s="1"/>
  <c r="S65" i="2" s="1"/>
  <c r="P275" i="2"/>
  <c r="S275" i="2" s="1"/>
  <c r="I170" i="2"/>
  <c r="P170" i="2" s="1"/>
  <c r="AN170" i="2" s="1"/>
  <c r="I268" i="2"/>
  <c r="P268" i="2" s="1"/>
  <c r="AN268" i="2" s="1"/>
  <c r="I270" i="2"/>
  <c r="P270" i="2" s="1"/>
  <c r="AN270" i="2" s="1"/>
  <c r="I201" i="2"/>
  <c r="P201" i="2" s="1"/>
  <c r="AN201" i="2" s="1"/>
  <c r="I357" i="2"/>
  <c r="P357" i="2" s="1"/>
  <c r="S357" i="2" s="1"/>
  <c r="I202" i="2"/>
  <c r="P202" i="2" s="1"/>
  <c r="AN202" i="2" s="1"/>
  <c r="I98" i="2"/>
  <c r="P98" i="2" s="1"/>
  <c r="AN98" i="2" s="1"/>
  <c r="I139" i="2"/>
  <c r="P139" i="2" s="1"/>
  <c r="I80" i="2"/>
  <c r="P80" i="2" s="1"/>
  <c r="AN80" i="2" s="1"/>
  <c r="I260" i="2"/>
  <c r="P260" i="2" s="1"/>
  <c r="S260" i="2" s="1"/>
  <c r="I283" i="2"/>
  <c r="P283" i="2" s="1"/>
  <c r="S283" i="2" s="1"/>
  <c r="I53" i="2"/>
  <c r="P53" i="2" s="1"/>
  <c r="AN53" i="2" s="1"/>
  <c r="I189" i="2"/>
  <c r="P189" i="2" s="1"/>
  <c r="I90" i="2"/>
  <c r="P90" i="2" s="1"/>
  <c r="S90" i="2" s="1"/>
  <c r="I267" i="2"/>
  <c r="P267" i="2" s="1"/>
  <c r="S267" i="2" s="1"/>
  <c r="I398" i="2"/>
  <c r="P398" i="2" s="1"/>
  <c r="S398" i="2" s="1"/>
  <c r="I115" i="2"/>
  <c r="P115" i="2" s="1"/>
  <c r="S115" i="2" s="1"/>
  <c r="I416" i="2"/>
  <c r="P416" i="2" s="1"/>
  <c r="S416" i="2" s="1"/>
  <c r="I259" i="2"/>
  <c r="P259" i="2" s="1"/>
  <c r="S259" i="2" s="1"/>
  <c r="I220" i="2"/>
  <c r="P220" i="2" s="1"/>
  <c r="S220" i="2" s="1"/>
  <c r="I211" i="2"/>
  <c r="P211" i="2" s="1"/>
  <c r="AN211" i="2" s="1"/>
  <c r="I146" i="2"/>
  <c r="P146" i="2" s="1"/>
  <c r="AN146" i="2" s="1"/>
  <c r="I217" i="2"/>
  <c r="P217" i="2" s="1"/>
  <c r="AN217" i="2" s="1"/>
  <c r="I59" i="2"/>
  <c r="P59" i="2" s="1"/>
  <c r="AN59" i="2" s="1"/>
  <c r="I329" i="2"/>
  <c r="P329" i="2" s="1"/>
  <c r="S329" i="2" s="1"/>
  <c r="I422" i="2"/>
  <c r="P422" i="2" s="1"/>
  <c r="S422" i="2" s="1"/>
  <c r="I420" i="2"/>
  <c r="P420" i="2" s="1"/>
  <c r="S420" i="2" s="1"/>
  <c r="I9" i="2"/>
  <c r="P9" i="2" s="1"/>
  <c r="S9" i="2" s="1"/>
  <c r="I390" i="2"/>
  <c r="P390" i="2" s="1"/>
  <c r="S390" i="2" s="1"/>
  <c r="I324" i="2"/>
  <c r="P324" i="2" s="1"/>
  <c r="S324" i="2" s="1"/>
  <c r="I89" i="2"/>
  <c r="P89" i="2" s="1"/>
  <c r="AN89" i="2" s="1"/>
  <c r="I192" i="2"/>
  <c r="P192" i="2" s="1"/>
  <c r="AN192" i="2" s="1"/>
  <c r="I230" i="2"/>
  <c r="P230" i="2" s="1"/>
  <c r="AN230" i="2" s="1"/>
  <c r="I257" i="2"/>
  <c r="P257" i="2" s="1"/>
  <c r="AN257" i="2" s="1"/>
  <c r="I164" i="2"/>
  <c r="P164" i="2" s="1"/>
  <c r="AN164" i="2" s="1"/>
  <c r="I163" i="2"/>
  <c r="P163" i="2" s="1"/>
  <c r="AN163" i="2" s="1"/>
  <c r="I88" i="2"/>
  <c r="P88" i="2" s="1"/>
  <c r="AN88" i="2" s="1"/>
  <c r="I48" i="2"/>
  <c r="P48" i="2" s="1"/>
  <c r="AN48" i="2" s="1"/>
  <c r="I304" i="2"/>
  <c r="P304" i="2" s="1"/>
  <c r="AN304" i="2" s="1"/>
  <c r="I342" i="2"/>
  <c r="P342" i="2" s="1"/>
  <c r="AN342" i="2" s="1"/>
  <c r="I291" i="2"/>
  <c r="P291" i="2" s="1"/>
  <c r="I173" i="2"/>
  <c r="P173" i="2" s="1"/>
  <c r="AN173" i="2" s="1"/>
  <c r="I421" i="2"/>
  <c r="P421" i="2" s="1"/>
  <c r="AN421" i="2" s="1"/>
  <c r="I294" i="2"/>
  <c r="P294" i="2" s="1"/>
  <c r="AN294" i="2" s="1"/>
  <c r="I269" i="2"/>
  <c r="P269" i="2" s="1"/>
  <c r="AN269" i="2" s="1"/>
  <c r="I311" i="2"/>
  <c r="P311" i="2" s="1"/>
  <c r="AN311" i="2" s="1"/>
  <c r="I150" i="2"/>
  <c r="P150" i="2" s="1"/>
  <c r="AN150" i="2" s="1"/>
  <c r="I286" i="2"/>
  <c r="P286" i="2" s="1"/>
  <c r="S286" i="2" s="1"/>
  <c r="I419" i="2"/>
  <c r="P419" i="2" s="1"/>
  <c r="I293" i="2"/>
  <c r="P293" i="2" s="1"/>
  <c r="S293" i="2" s="1"/>
  <c r="I326" i="2"/>
  <c r="P326" i="2" s="1"/>
  <c r="S326" i="2" s="1"/>
  <c r="I381" i="2"/>
  <c r="P381" i="2" s="1"/>
  <c r="I369" i="2"/>
  <c r="P369" i="2" s="1"/>
  <c r="S369" i="2" s="1"/>
  <c r="I177" i="2"/>
  <c r="P177" i="2" s="1"/>
  <c r="S177" i="2" s="1"/>
  <c r="I338" i="2"/>
  <c r="P338" i="2" s="1"/>
  <c r="S338" i="2" s="1"/>
  <c r="I407" i="2"/>
  <c r="P407" i="2" s="1"/>
  <c r="S407" i="2" s="1"/>
  <c r="I384" i="2"/>
  <c r="P384" i="2" s="1"/>
  <c r="I234" i="2"/>
  <c r="P234" i="2" s="1"/>
  <c r="S234" i="2" s="1"/>
  <c r="I180" i="2"/>
  <c r="P180" i="2" s="1"/>
  <c r="S180" i="2" s="1"/>
  <c r="I349" i="2"/>
  <c r="P349" i="2" s="1"/>
  <c r="S349" i="2" s="1"/>
  <c r="I161" i="2"/>
  <c r="P161" i="2" s="1"/>
  <c r="S161" i="2" s="1"/>
  <c r="I196" i="2"/>
  <c r="P196" i="2" s="1"/>
  <c r="S196" i="2" s="1"/>
  <c r="I42" i="2"/>
  <c r="P42" i="2" s="1"/>
  <c r="S42" i="2" s="1"/>
  <c r="I27" i="2"/>
  <c r="P27" i="2" s="1"/>
  <c r="S27" i="2" s="1"/>
  <c r="I328" i="2"/>
  <c r="P328" i="2" s="1"/>
  <c r="S328" i="2" s="1"/>
  <c r="I231" i="2"/>
  <c r="P231" i="2" s="1"/>
  <c r="S231" i="2" s="1"/>
  <c r="I364" i="2"/>
  <c r="P364" i="2" s="1"/>
  <c r="S364" i="2" s="1"/>
  <c r="I272" i="2"/>
  <c r="P272" i="2" s="1"/>
  <c r="S272" i="2" s="1"/>
  <c r="I351" i="2"/>
  <c r="P351" i="2" s="1"/>
  <c r="S351" i="2" s="1"/>
  <c r="I151" i="2"/>
  <c r="P151" i="2" s="1"/>
  <c r="S151" i="2" s="1"/>
  <c r="I32" i="2"/>
  <c r="P32" i="2" s="1"/>
  <c r="S32" i="2" s="1"/>
  <c r="I168" i="2"/>
  <c r="P168" i="2" s="1"/>
  <c r="S168" i="2" s="1"/>
  <c r="I212" i="2"/>
  <c r="P212" i="2" s="1"/>
  <c r="AN212" i="2" s="1"/>
  <c r="I410" i="2"/>
  <c r="P410" i="2" s="1"/>
  <c r="AN410" i="2" s="1"/>
  <c r="I119" i="2"/>
  <c r="P119" i="2" s="1"/>
  <c r="AN119" i="2" s="1"/>
  <c r="I397" i="2"/>
  <c r="P397" i="2" s="1"/>
  <c r="S397" i="2" s="1"/>
  <c r="I380" i="2"/>
  <c r="P380" i="2" s="1"/>
  <c r="AN380" i="2" s="1"/>
  <c r="I154" i="2"/>
  <c r="P154" i="2" s="1"/>
  <c r="AN154" i="2" s="1"/>
  <c r="I210" i="2"/>
  <c r="P210" i="2" s="1"/>
  <c r="I222" i="2"/>
  <c r="P222" i="2" s="1"/>
  <c r="AN222" i="2" s="1"/>
  <c r="I263" i="2"/>
  <c r="P263" i="2" s="1"/>
  <c r="AN263" i="2" s="1"/>
  <c r="I141" i="2"/>
  <c r="P141" i="2" s="1"/>
  <c r="AN141" i="2" s="1"/>
  <c r="I209" i="2"/>
  <c r="P209" i="2" s="1"/>
  <c r="AN209" i="2" s="1"/>
  <c r="I79" i="2"/>
  <c r="P79" i="2" s="1"/>
  <c r="I193" i="2"/>
  <c r="P193" i="2" s="1"/>
  <c r="AN193" i="2" s="1"/>
  <c r="I84" i="2"/>
  <c r="P84" i="2" s="1"/>
  <c r="S84" i="2" s="1"/>
  <c r="I182" i="2"/>
  <c r="P182" i="2" s="1"/>
  <c r="S182" i="2" s="1"/>
  <c r="I38" i="2"/>
  <c r="P38" i="2" s="1"/>
  <c r="S38" i="2" s="1"/>
  <c r="I103" i="2"/>
  <c r="P103" i="2" s="1"/>
  <c r="I393" i="2"/>
  <c r="P393" i="2" s="1"/>
  <c r="S393" i="2" s="1"/>
  <c r="I131" i="2"/>
  <c r="P131" i="2" s="1"/>
  <c r="S131" i="2" s="1"/>
  <c r="I113" i="2"/>
  <c r="P113" i="2" s="1"/>
  <c r="S113" i="2" s="1"/>
  <c r="I109" i="2"/>
  <c r="P109" i="2" s="1"/>
  <c r="I43" i="2"/>
  <c r="P43" i="2" s="1"/>
  <c r="S43" i="2" s="1"/>
  <c r="I247" i="2"/>
  <c r="P247" i="2" s="1"/>
  <c r="S247" i="2" s="1"/>
  <c r="I124" i="2"/>
  <c r="P124" i="2" s="1"/>
  <c r="S124" i="2" s="1"/>
  <c r="I391" i="2"/>
  <c r="P391" i="2" s="1"/>
  <c r="S391" i="2" s="1"/>
  <c r="I67" i="2"/>
  <c r="P67" i="2" s="1"/>
  <c r="S67" i="2" s="1"/>
  <c r="I292" i="2"/>
  <c r="P292" i="2" s="1"/>
  <c r="AN292" i="2" s="1"/>
  <c r="I74" i="2"/>
  <c r="P74" i="2" s="1"/>
  <c r="S74" i="2" s="1"/>
  <c r="I365" i="2"/>
  <c r="P365" i="2" s="1"/>
  <c r="AN365" i="2" s="1"/>
  <c r="I198" i="2"/>
  <c r="P198" i="2" s="1"/>
  <c r="S198" i="2" s="1"/>
  <c r="H425" i="2"/>
  <c r="I190" i="2"/>
  <c r="P190" i="2" s="1"/>
  <c r="AN190" i="2" s="1"/>
  <c r="I203" i="2"/>
  <c r="P203" i="2" s="1"/>
  <c r="AN203" i="2" s="1"/>
  <c r="I226" i="2"/>
  <c r="P226" i="2" s="1"/>
  <c r="AN226" i="2" s="1"/>
  <c r="I341" i="2"/>
  <c r="P341" i="2" s="1"/>
  <c r="S341" i="2" s="1"/>
  <c r="I206" i="2"/>
  <c r="P206" i="2" s="1"/>
  <c r="S206" i="2" s="1"/>
  <c r="I320" i="2"/>
  <c r="P320" i="2" s="1"/>
  <c r="S320" i="2" s="1"/>
  <c r="I12" i="2"/>
  <c r="P12" i="2" s="1"/>
  <c r="S12" i="2" s="1"/>
  <c r="I265" i="2"/>
  <c r="P265" i="2" s="1"/>
  <c r="S265" i="2" s="1"/>
  <c r="I33" i="2"/>
  <c r="P33" i="2" s="1"/>
  <c r="AN33" i="2" s="1"/>
  <c r="I373" i="2"/>
  <c r="P373" i="2" s="1"/>
  <c r="AN373" i="2" s="1"/>
  <c r="I366" i="2"/>
  <c r="P366" i="2" s="1"/>
  <c r="AN366" i="2" s="1"/>
  <c r="I62" i="2"/>
  <c r="P62" i="2" s="1"/>
  <c r="AN62" i="2" s="1"/>
  <c r="I301" i="2"/>
  <c r="P301" i="2" s="1"/>
  <c r="AN301" i="2" s="1"/>
  <c r="I76" i="2"/>
  <c r="P76" i="2" s="1"/>
  <c r="AN76" i="2" s="1"/>
  <c r="I249" i="2"/>
  <c r="P249" i="2" s="1"/>
  <c r="AN249" i="2" s="1"/>
  <c r="I47" i="2"/>
  <c r="P47" i="2" s="1"/>
  <c r="AN47" i="2" s="1"/>
  <c r="I325" i="2"/>
  <c r="P325" i="2" s="1"/>
  <c r="AN325" i="2" s="1"/>
  <c r="I118" i="2"/>
  <c r="P118" i="2" s="1"/>
  <c r="I20" i="2"/>
  <c r="P20" i="2" s="1"/>
  <c r="AN20" i="2" s="1"/>
  <c r="I179" i="2"/>
  <c r="P179" i="2" s="1"/>
  <c r="AN179" i="2" s="1"/>
  <c r="I246" i="2"/>
  <c r="P246" i="2" s="1"/>
  <c r="AN246" i="2" s="1"/>
  <c r="P28" i="2"/>
  <c r="S28" i="2" s="1"/>
  <c r="I261" i="2"/>
  <c r="P261" i="2" s="1"/>
  <c r="AN261" i="2" s="1"/>
  <c r="I356" i="2"/>
  <c r="P356" i="2" s="1"/>
  <c r="S356" i="2" s="1"/>
  <c r="I194" i="2"/>
  <c r="P194" i="2" s="1"/>
  <c r="AN194" i="2" s="1"/>
  <c r="I256" i="2"/>
  <c r="P256" i="2" s="1"/>
  <c r="AN256" i="2" s="1"/>
  <c r="I40" i="2"/>
  <c r="P40" i="2" s="1"/>
  <c r="S40" i="2" s="1"/>
  <c r="I377" i="2"/>
  <c r="P377" i="2" s="1"/>
  <c r="S377" i="2" s="1"/>
  <c r="I336" i="2"/>
  <c r="P336" i="2" s="1"/>
  <c r="I3" i="2"/>
  <c r="P3" i="2" s="1"/>
  <c r="S3" i="2" s="1"/>
  <c r="I280" i="2"/>
  <c r="P280" i="2" s="1"/>
  <c r="S280" i="2" s="1"/>
  <c r="I107" i="2"/>
  <c r="P107" i="2" s="1"/>
  <c r="I253" i="2"/>
  <c r="P253" i="2" s="1"/>
  <c r="S253" i="2" s="1"/>
  <c r="I30" i="2"/>
  <c r="P30" i="2" s="1"/>
  <c r="S30" i="2" s="1"/>
  <c r="I205" i="2"/>
  <c r="P205" i="2" s="1"/>
  <c r="S205" i="2" s="1"/>
  <c r="I279" i="2"/>
  <c r="P279" i="2" s="1"/>
  <c r="S279" i="2" s="1"/>
  <c r="I105" i="2"/>
  <c r="P105" i="2" s="1"/>
  <c r="S105" i="2" s="1"/>
  <c r="I401" i="2"/>
  <c r="P401" i="2" s="1"/>
  <c r="S401" i="2" s="1"/>
  <c r="I52" i="2"/>
  <c r="P52" i="2" s="1"/>
  <c r="S52" i="2" s="1"/>
  <c r="I36" i="2"/>
  <c r="P36" i="2" s="1"/>
  <c r="S36" i="2" s="1"/>
  <c r="I415" i="2"/>
  <c r="P415" i="2" s="1"/>
  <c r="S415" i="2" s="1"/>
  <c r="I382" i="2"/>
  <c r="P382" i="2" s="1"/>
  <c r="AN382" i="2" s="1"/>
  <c r="I86" i="2"/>
  <c r="P86" i="2" s="1"/>
  <c r="S86" i="2" s="1"/>
  <c r="E425" i="2"/>
  <c r="S381" i="2" l="1"/>
  <c r="AN381" i="2" s="1"/>
  <c r="AN126" i="2"/>
  <c r="AN377" i="2"/>
  <c r="S290" i="2"/>
  <c r="AN290" i="2" s="1"/>
  <c r="S291" i="2"/>
  <c r="AN291" i="2" s="1"/>
  <c r="AN329" i="2"/>
  <c r="S237" i="2"/>
  <c r="AN237" i="2" s="1"/>
  <c r="AN162" i="2"/>
  <c r="S139" i="2"/>
  <c r="AN139" i="2" s="1"/>
  <c r="S305" i="2"/>
  <c r="AN305" i="2" s="1"/>
  <c r="S210" i="2"/>
  <c r="AN210" i="2" s="1"/>
  <c r="AN341" i="2"/>
  <c r="AN357" i="2"/>
  <c r="S336" i="2"/>
  <c r="AN336" i="2" s="1"/>
  <c r="AN362" i="2"/>
  <c r="AN419" i="2"/>
  <c r="AN74" i="2"/>
  <c r="AN397" i="2"/>
  <c r="AN118" i="2"/>
  <c r="AN298" i="2"/>
  <c r="AN158" i="2"/>
  <c r="AN259" i="2"/>
  <c r="AN356" i="2"/>
  <c r="AN93" i="2"/>
  <c r="AN332" i="2"/>
  <c r="AN14" i="2"/>
  <c r="AN3" i="2"/>
  <c r="AN422" i="2"/>
  <c r="AN184" i="2"/>
  <c r="AN376" i="2"/>
  <c r="AN187" i="2"/>
  <c r="AN406" i="2"/>
  <c r="AN274" i="2"/>
  <c r="AN79" i="2"/>
  <c r="AN395" i="2"/>
  <c r="AN391" i="2"/>
  <c r="AN148" i="2"/>
  <c r="AN58" i="2"/>
  <c r="P149" i="2"/>
  <c r="AN245" i="2"/>
  <c r="AN279" i="2"/>
  <c r="AN30" i="2"/>
  <c r="AN28" i="2"/>
  <c r="AN320" i="2"/>
  <c r="AN67" i="2"/>
  <c r="AN43" i="2"/>
  <c r="AN393" i="2"/>
  <c r="AN84" i="2"/>
  <c r="AN32" i="2"/>
  <c r="AN364" i="2"/>
  <c r="AN42" i="2"/>
  <c r="AN180" i="2"/>
  <c r="AN338" i="2"/>
  <c r="AN286" i="2"/>
  <c r="AN390" i="2"/>
  <c r="AN115" i="2"/>
  <c r="AN189" i="2"/>
  <c r="AN100" i="2"/>
  <c r="AN352" i="2"/>
  <c r="AN307" i="2"/>
  <c r="AN160" i="2"/>
  <c r="AN134" i="2"/>
  <c r="AN233" i="2"/>
  <c r="AN166" i="2"/>
  <c r="AN121" i="2"/>
  <c r="AN44" i="2"/>
  <c r="AN78" i="2"/>
  <c r="AN145" i="2"/>
  <c r="AN17" i="2"/>
  <c r="AN331" i="2"/>
  <c r="AN346" i="2"/>
  <c r="AN347" i="2"/>
  <c r="AN157" i="2"/>
  <c r="AN34" i="2"/>
  <c r="AN340" i="2"/>
  <c r="AN55" i="2"/>
  <c r="AN61" i="2"/>
  <c r="AN124" i="2"/>
  <c r="AN328" i="2"/>
  <c r="AN401" i="2"/>
  <c r="AN415" i="2"/>
  <c r="AN105" i="2"/>
  <c r="AN253" i="2"/>
  <c r="AN206" i="2"/>
  <c r="AN109" i="2"/>
  <c r="AN103" i="2"/>
  <c r="AN151" i="2"/>
  <c r="AN231" i="2"/>
  <c r="AN196" i="2"/>
  <c r="AN234" i="2"/>
  <c r="AN326" i="2"/>
  <c r="AN9" i="2"/>
  <c r="AN220" i="2"/>
  <c r="AN398" i="2"/>
  <c r="AN239" i="2"/>
  <c r="AN278" i="2"/>
  <c r="AN223" i="2"/>
  <c r="AN252" i="2"/>
  <c r="AN404" i="2"/>
  <c r="AN49" i="2"/>
  <c r="AN322" i="2"/>
  <c r="AN306" i="2"/>
  <c r="AN250" i="2"/>
  <c r="AN136" i="2"/>
  <c r="AN303" i="2"/>
  <c r="AN174" i="2"/>
  <c r="AN172" i="2"/>
  <c r="AN315" i="2"/>
  <c r="AN386" i="2"/>
  <c r="AN77" i="2"/>
  <c r="AN248" i="2"/>
  <c r="AN300" i="2"/>
  <c r="AN224" i="2"/>
  <c r="AN6" i="2"/>
  <c r="AN308" i="2"/>
  <c r="AN378" i="2"/>
  <c r="AN39" i="2"/>
  <c r="AN215" i="2"/>
  <c r="AN36" i="2"/>
  <c r="AN265" i="2"/>
  <c r="AN113" i="2"/>
  <c r="AN351" i="2"/>
  <c r="AN177" i="2"/>
  <c r="AN267" i="2"/>
  <c r="AN275" i="2"/>
  <c r="AN50" i="2"/>
  <c r="AN128" i="2"/>
  <c r="AN312" i="2"/>
  <c r="AN147" i="2"/>
  <c r="AN153" i="2"/>
  <c r="AN218" i="2"/>
  <c r="AN92" i="2"/>
  <c r="AN273" i="2"/>
  <c r="AN73" i="2"/>
  <c r="AN240" i="2"/>
  <c r="AN94" i="2"/>
  <c r="AN354" i="2"/>
  <c r="AN4" i="2"/>
  <c r="AN385" i="2"/>
  <c r="AN214" i="2"/>
  <c r="AN417" i="2"/>
  <c r="AN169" i="2"/>
  <c r="AN111" i="2"/>
  <c r="AN355" i="2"/>
  <c r="AN374" i="2"/>
  <c r="AN310" i="2"/>
  <c r="AN288" i="2"/>
  <c r="AN127" i="2"/>
  <c r="AN409" i="2"/>
  <c r="AN107" i="2"/>
  <c r="AN38" i="2"/>
  <c r="AN161" i="2"/>
  <c r="AN384" i="2"/>
  <c r="AN293" i="2"/>
  <c r="AN420" i="2"/>
  <c r="AN283" i="2"/>
  <c r="AN403" i="2"/>
  <c r="AN86" i="2"/>
  <c r="AN52" i="2"/>
  <c r="AN205" i="2"/>
  <c r="AN280" i="2"/>
  <c r="AN40" i="2"/>
  <c r="AN12" i="2"/>
  <c r="AN198" i="2"/>
  <c r="AN247" i="2"/>
  <c r="AN131" i="2"/>
  <c r="AN182" i="2"/>
  <c r="AN168" i="2"/>
  <c r="AN272" i="2"/>
  <c r="AN27" i="2"/>
  <c r="AN349" i="2"/>
  <c r="AN407" i="2"/>
  <c r="AN369" i="2"/>
  <c r="AN324" i="2"/>
  <c r="AN416" i="2"/>
  <c r="AN90" i="2"/>
  <c r="AN260" i="2"/>
  <c r="AN402" i="2"/>
  <c r="AN296" i="2"/>
  <c r="AN213" i="2"/>
  <c r="AN23" i="2"/>
  <c r="AN125" i="2"/>
  <c r="AN144" i="2"/>
  <c r="AN140" i="2"/>
  <c r="AN178" i="2"/>
  <c r="AN120" i="2"/>
  <c r="AN199" i="2"/>
  <c r="AN334" i="2"/>
  <c r="AN343" i="2"/>
  <c r="AN96" i="2"/>
  <c r="AN114" i="2"/>
  <c r="AN232" i="2"/>
  <c r="AN24" i="2"/>
  <c r="AN99" i="2"/>
  <c r="AN276" i="2"/>
  <c r="AN317" i="2"/>
  <c r="AN132" i="2"/>
  <c r="AN285" i="2"/>
  <c r="AN5" i="2"/>
  <c r="AN408" i="2"/>
  <c r="H12" i="1"/>
  <c r="H22" i="1" s="1"/>
  <c r="P344" i="2"/>
  <c r="S344" i="2" s="1"/>
  <c r="P171" i="2"/>
  <c r="S171" i="2" s="1"/>
  <c r="P195" i="2"/>
  <c r="S195" i="2" s="1"/>
  <c r="P156" i="2"/>
  <c r="P302" i="2"/>
  <c r="P335" i="2"/>
  <c r="P399" i="2"/>
  <c r="S399" i="2" s="1"/>
  <c r="P200" i="2"/>
  <c r="S200" i="2" s="1"/>
  <c r="P85" i="2"/>
  <c r="S85" i="2" s="1"/>
  <c r="P389" i="2"/>
  <c r="S389" i="2" s="1"/>
  <c r="P289" i="2"/>
  <c r="P264" i="2"/>
  <c r="S264" i="2" s="1"/>
  <c r="P81" i="2"/>
  <c r="S81" i="2" s="1"/>
  <c r="P35" i="2"/>
  <c r="S35" i="2" s="1"/>
  <c r="P137" i="2"/>
  <c r="P348" i="2"/>
  <c r="S348" i="2" s="1"/>
  <c r="P243" i="2"/>
  <c r="S243" i="2" s="1"/>
  <c r="P221" i="2"/>
  <c r="P186" i="2"/>
  <c r="P358" i="2"/>
  <c r="S358" i="2" s="1"/>
  <c r="P345" i="2"/>
  <c r="S345" i="2" s="1"/>
  <c r="P102" i="2"/>
  <c r="P15" i="2"/>
  <c r="S15" i="2" s="1"/>
  <c r="P337" i="2"/>
  <c r="P309" i="2"/>
  <c r="S309" i="2" s="1"/>
  <c r="P363" i="2"/>
  <c r="S363" i="2" s="1"/>
  <c r="P370" i="2"/>
  <c r="S370" i="2" s="1"/>
  <c r="P379" i="2"/>
  <c r="P71" i="2"/>
  <c r="S71" i="2" s="1"/>
  <c r="P69" i="2"/>
  <c r="S69" i="2" s="1"/>
  <c r="P191" i="2"/>
  <c r="AN191" i="2" s="1"/>
  <c r="P152" i="2"/>
  <c r="P229" i="2"/>
  <c r="P87" i="2"/>
  <c r="S87" i="2" s="1"/>
  <c r="P122" i="2"/>
  <c r="S122" i="2" s="1"/>
  <c r="P284" i="2"/>
  <c r="S284" i="2" s="1"/>
  <c r="P129" i="2"/>
  <c r="S129" i="2" s="1"/>
  <c r="P63" i="2"/>
  <c r="P392" i="2"/>
  <c r="S392" i="2" s="1"/>
  <c r="P319" i="2"/>
  <c r="S319" i="2" s="1"/>
  <c r="P75" i="2"/>
  <c r="S75" i="2" s="1"/>
  <c r="P133" i="2"/>
  <c r="P316" i="2"/>
  <c r="S316" i="2" s="1"/>
  <c r="P19" i="2"/>
  <c r="P227" i="2"/>
  <c r="S227" i="2" s="1"/>
  <c r="P112" i="2"/>
  <c r="P97" i="2"/>
  <c r="S97" i="2" s="1"/>
  <c r="P359" i="2"/>
  <c r="S359" i="2" s="1"/>
  <c r="P91" i="2"/>
  <c r="P418" i="2"/>
  <c r="S418" i="2" s="1"/>
  <c r="P238" i="2"/>
  <c r="S238" i="2" s="1"/>
  <c r="P95" i="2"/>
  <c r="S95" i="2" s="1"/>
  <c r="P297" i="2"/>
  <c r="S297" i="2" s="1"/>
  <c r="P216" i="2"/>
  <c r="S216" i="2" s="1"/>
  <c r="P339" i="2"/>
  <c r="P60" i="2"/>
  <c r="S60" i="2" s="1"/>
  <c r="P159" i="2"/>
  <c r="S159" i="2" s="1"/>
  <c r="P143" i="2"/>
  <c r="S143" i="2" s="1"/>
  <c r="P26" i="2"/>
  <c r="S26" i="2" s="1"/>
  <c r="P11" i="2"/>
  <c r="S11" i="2" s="1"/>
  <c r="P207" i="2"/>
  <c r="P142" i="2"/>
  <c r="S142" i="2" s="1"/>
  <c r="P313" i="2"/>
  <c r="P29" i="2"/>
  <c r="S29" i="2" s="1"/>
  <c r="P287" i="2"/>
  <c r="P299" i="2"/>
  <c r="S299" i="2" s="1"/>
  <c r="P45" i="2"/>
  <c r="S45" i="2" s="1"/>
  <c r="P204" i="2"/>
  <c r="P72" i="2"/>
  <c r="S72" i="2" s="1"/>
  <c r="P266" i="2"/>
  <c r="S266" i="2" s="1"/>
  <c r="I425" i="2"/>
  <c r="AN87" i="2" l="1"/>
  <c r="AN363" i="2"/>
  <c r="S204" i="2"/>
  <c r="AN159" i="2"/>
  <c r="AN309" i="2"/>
  <c r="AN345" i="2"/>
  <c r="AN35" i="2"/>
  <c r="AN64" i="2"/>
  <c r="AN65" i="2"/>
  <c r="AN51" i="2"/>
  <c r="AN85" i="2"/>
  <c r="AN149" i="2"/>
  <c r="AN142" i="2"/>
  <c r="AN207" i="2"/>
  <c r="AN29" i="2"/>
  <c r="AN60" i="2"/>
  <c r="AN359" i="2"/>
  <c r="AN152" i="2"/>
  <c r="AN337" i="2"/>
  <c r="AN200" i="2"/>
  <c r="AN313" i="2"/>
  <c r="AN339" i="2"/>
  <c r="AN316" i="2"/>
  <c r="AN186" i="2"/>
  <c r="AN137" i="2"/>
  <c r="AN289" i="2"/>
  <c r="AN54" i="2"/>
  <c r="AN216" i="2"/>
  <c r="AN112" i="2"/>
  <c r="AN63" i="2"/>
  <c r="AN69" i="2"/>
  <c r="AN102" i="2"/>
  <c r="AN143" i="2"/>
  <c r="AN133" i="2"/>
  <c r="AN221" i="2"/>
  <c r="AN335" i="2"/>
  <c r="AN171" i="2"/>
  <c r="AN72" i="2"/>
  <c r="AN287" i="2"/>
  <c r="AN297" i="2"/>
  <c r="AN91" i="2"/>
  <c r="AN227" i="2"/>
  <c r="AN229" i="2"/>
  <c r="AN81" i="2"/>
  <c r="AN302" i="2"/>
  <c r="AN368" i="2"/>
  <c r="AN11" i="2"/>
  <c r="AN284" i="2"/>
  <c r="AN358" i="2"/>
  <c r="AN264" i="2"/>
  <c r="AN156" i="2"/>
  <c r="AN225" i="2"/>
  <c r="AN71" i="2"/>
  <c r="AN344" i="2"/>
  <c r="AN19" i="2"/>
  <c r="AN319" i="2"/>
  <c r="AN379" i="2"/>
  <c r="AN95" i="2"/>
  <c r="AN26" i="2"/>
  <c r="AN238" i="2"/>
  <c r="AN122" i="2"/>
  <c r="F29" i="1"/>
  <c r="G29" i="1" s="1"/>
  <c r="G31" i="1" s="1"/>
  <c r="G65" i="1" s="1"/>
  <c r="AN15" i="2"/>
  <c r="AN399" i="2"/>
  <c r="AN195" i="2"/>
  <c r="AN299" i="2"/>
  <c r="AN204" i="2" l="1"/>
  <c r="S425" i="2"/>
  <c r="AN370" i="2"/>
  <c r="AN266" i="2"/>
  <c r="AN389" i="2"/>
  <c r="AN97" i="2"/>
  <c r="AN129" i="2"/>
  <c r="AN418" i="2"/>
  <c r="AN75" i="2"/>
  <c r="AN348" i="2"/>
  <c r="F31" i="1"/>
  <c r="F65" i="1" s="1"/>
  <c r="AN243" i="2"/>
  <c r="AN45" i="2"/>
  <c r="AN392" i="2" l="1"/>
  <c r="K425" i="2"/>
  <c r="N425" i="2"/>
  <c r="V425" i="2"/>
  <c r="W425" i="2"/>
  <c r="AF425" i="2"/>
  <c r="AH425" i="2"/>
  <c r="AM425" i="2"/>
  <c r="F425" i="2"/>
  <c r="M425" i="2"/>
  <c r="T425" i="2"/>
  <c r="Y425" i="2"/>
  <c r="Z425" i="2"/>
  <c r="AA425" i="2"/>
  <c r="AD425" i="2"/>
  <c r="AE425" i="2"/>
  <c r="AG425" i="2"/>
  <c r="AI425" i="2"/>
  <c r="AJ425" i="2"/>
  <c r="AK425" i="2"/>
  <c r="AL425" i="2"/>
  <c r="D425" i="2"/>
  <c r="G425" i="2"/>
  <c r="O425" i="2"/>
  <c r="P425" i="2" l="1"/>
  <c r="AN42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Terry Casper</author>
    <author>DPI</author>
  </authors>
  <commentList>
    <comment ref="C10" authorId="0" shapeId="0" xr:uid="{00000000-0006-0000-0000-00000100000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1" authorId="0" shapeId="0" xr:uid="{00000000-0006-0000-0000-00000200000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2" authorId="0" shapeId="0" xr:uid="{00000000-0006-0000-0000-000003000000}">
      <text>
        <r>
          <rPr>
            <b/>
            <sz val="9"/>
            <color indexed="81"/>
            <rFont val="Tahoma"/>
            <family val="2"/>
          </rPr>
          <t>DPI:</t>
        </r>
        <r>
          <rPr>
            <sz val="9"/>
            <color indexed="81"/>
            <rFont val="Tahoma"/>
            <family val="2"/>
          </rPr>
          <t xml:space="preserve">
A net positive Open Enrollment amount would be paid with the June general aid payments. A net negative Open Enrollment would be included in the below withholdings.</t>
        </r>
      </text>
    </comment>
    <comment ref="C14" authorId="1" shapeId="0" xr:uid="{00000000-0006-0000-0000-000004000000}">
      <text>
        <r>
          <rPr>
            <b/>
            <sz val="9"/>
            <color indexed="81"/>
            <rFont val="Tahoma"/>
            <family val="2"/>
          </rPr>
          <t>DPI:</t>
        </r>
        <r>
          <rPr>
            <sz val="9"/>
            <color indexed="81"/>
            <rFont val="Tahoma"/>
            <family val="2"/>
          </rPr>
          <t xml:space="preserve">
Wisconsin/Racine Parental Choice Programs (WPCP/RPCP) State Aid deduction for private vouchers (deduction to aid).</t>
        </r>
      </text>
    </comment>
    <comment ref="C15" authorId="1" shapeId="0" xr:uid="{00000000-0006-0000-0000-000005000000}">
      <text>
        <r>
          <rPr>
            <b/>
            <sz val="9"/>
            <color indexed="81"/>
            <rFont val="Tahoma"/>
            <family val="2"/>
          </rPr>
          <t>DPI:</t>
        </r>
        <r>
          <rPr>
            <sz val="9"/>
            <color indexed="81"/>
            <rFont val="Tahoma"/>
            <family val="2"/>
          </rPr>
          <t xml:space="preserve">
Special Need Scholarship Program (SNSP) State Aid deduction for private vouchers (deduction to aid).</t>
        </r>
      </text>
    </comment>
    <comment ref="C16" authorId="1" shapeId="0" xr:uid="{00000000-0006-0000-0000-000006000000}">
      <text>
        <r>
          <rPr>
            <b/>
            <sz val="9"/>
            <color indexed="81"/>
            <rFont val="Tahoma"/>
            <family val="2"/>
          </rPr>
          <t>DPI:</t>
        </r>
        <r>
          <rPr>
            <sz val="9"/>
            <color indexed="81"/>
            <rFont val="Tahoma"/>
            <family val="2"/>
          </rPr>
          <t xml:space="preserve">
New Independent Charter Schools deductions .</t>
        </r>
      </text>
    </comment>
    <comment ref="C17" authorId="1" shapeId="0" xr:uid="{00000000-0006-0000-0000-000007000000}">
      <text>
        <r>
          <rPr>
            <b/>
            <sz val="9"/>
            <color indexed="81"/>
            <rFont val="Tahoma"/>
            <family val="2"/>
          </rPr>
          <t>DPI:</t>
        </r>
        <r>
          <rPr>
            <sz val="9"/>
            <color indexed="81"/>
            <rFont val="Tahoma"/>
            <family val="2"/>
          </rPr>
          <t xml:space="preserve">
Currently only includes the September counts and per pupil amounts are estimated based on prior year amounts.</t>
        </r>
      </text>
    </comment>
    <comment ref="C18" authorId="1" shapeId="0" xr:uid="{00000000-0006-0000-0000-000008000000}">
      <text>
        <r>
          <rPr>
            <b/>
            <sz val="9"/>
            <color indexed="81"/>
            <rFont val="Tahoma"/>
            <family val="2"/>
          </rPr>
          <t>DPI:</t>
        </r>
        <r>
          <rPr>
            <sz val="9"/>
            <color indexed="81"/>
            <rFont val="Tahoma"/>
            <family val="2"/>
          </rPr>
          <t xml:space="preserve">
No known values until the January count.</t>
        </r>
      </text>
    </comment>
    <comment ref="C19" authorId="1" shapeId="0" xr:uid="{00000000-0006-0000-0000-000009000000}">
      <text>
        <r>
          <rPr>
            <b/>
            <sz val="9"/>
            <color indexed="81"/>
            <rFont val="Tahoma"/>
            <family val="2"/>
          </rPr>
          <t>DPI:</t>
        </r>
        <r>
          <rPr>
            <sz val="9"/>
            <color indexed="81"/>
            <rFont val="Tahoma"/>
            <family val="2"/>
          </rPr>
          <t xml:space="preserve">
Unresolved Compliance Issues includes not meeting statutory requirements, such as late submission of financial reports. When compliance is resolved, amounts will be disbursed and removed from this spreadsheet.</t>
        </r>
      </text>
    </comment>
    <comment ref="C20" authorId="0" shapeId="0" xr:uid="{00000000-0006-0000-0000-00000A00000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C22" authorId="0" shapeId="0" xr:uid="{00000000-0006-0000-0000-00000B00000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D30" authorId="0" shapeId="0" xr:uid="{00000000-0006-0000-0000-00000C000000}">
      <text>
        <r>
          <rPr>
            <b/>
            <sz val="9"/>
            <color indexed="81"/>
            <rFont val="Tahoma"/>
            <family val="2"/>
          </rPr>
          <t>DPI:</t>
        </r>
        <r>
          <rPr>
            <sz val="9"/>
            <color indexed="81"/>
            <rFont val="Tahoma"/>
            <family val="2"/>
          </rPr>
          <t xml:space="preserve">
Amounts are typically not planned to be withheld from this payment.  This payment typically has adjustments related to Open Enrollment adjustments being finalized after June.</t>
        </r>
      </text>
    </comment>
  </commentList>
</comments>
</file>

<file path=xl/sharedStrings.xml><?xml version="1.0" encoding="utf-8"?>
<sst xmlns="http://schemas.openxmlformats.org/spreadsheetml/2006/main" count="958" uniqueCount="514">
  <si>
    <t>District:</t>
  </si>
  <si>
    <t>District Code:</t>
  </si>
  <si>
    <t>Equalization Aid</t>
  </si>
  <si>
    <t>Special Adjustment Aid</t>
  </si>
  <si>
    <t>Special Education Aid</t>
  </si>
  <si>
    <t>District</t>
  </si>
  <si>
    <t>DRUMMOND</t>
  </si>
  <si>
    <t>LAC DU FLAMBEAU #1</t>
  </si>
  <si>
    <t>GREEN LAKE</t>
  </si>
  <si>
    <t>MERCER</t>
  </si>
  <si>
    <t>NORTHWOOD</t>
  </si>
  <si>
    <t>PHELPS</t>
  </si>
  <si>
    <t>SOUTH SHORE</t>
  </si>
  <si>
    <t>WINTER</t>
  </si>
  <si>
    <t>Nov_Sped</t>
  </si>
  <si>
    <t>Dec_Sped</t>
  </si>
  <si>
    <t>Dec_SA</t>
  </si>
  <si>
    <t>Jan_Sped</t>
  </si>
  <si>
    <t>Jan_Transp</t>
  </si>
  <si>
    <t>Feb_Sped</t>
  </si>
  <si>
    <t>Mar_Sped</t>
  </si>
  <si>
    <t>Mar_Eq</t>
  </si>
  <si>
    <t>Mar_SA</t>
  </si>
  <si>
    <t>Jun_Sped</t>
  </si>
  <si>
    <t>Jun_Eq</t>
  </si>
  <si>
    <t>Jun_SA</t>
  </si>
  <si>
    <t>Remaining Adjustments</t>
  </si>
  <si>
    <t>Total_In</t>
  </si>
  <si>
    <t>Total_Out</t>
  </si>
  <si>
    <t>CODE</t>
  </si>
  <si>
    <t>Use arrow at right to select district.</t>
  </si>
  <si>
    <t>BAYFIELD</t>
  </si>
  <si>
    <t>ELKHART LAKE-GLENBEULAH</t>
  </si>
  <si>
    <t>FLORENCE</t>
  </si>
  <si>
    <t>SPOONER AREA</t>
  </si>
  <si>
    <t>AID_TRANSFER_IN</t>
  </si>
  <si>
    <t>Tuition Waivers_In</t>
  </si>
  <si>
    <t>AID_TRANSFER_OUT</t>
  </si>
  <si>
    <t>Tuition Waivers_Out</t>
  </si>
  <si>
    <t>WAUSAUKEE</t>
  </si>
  <si>
    <t>WILD ROSE</t>
  </si>
  <si>
    <t>BIG FOOT UHS</t>
  </si>
  <si>
    <t>LINN J4</t>
  </si>
  <si>
    <t>SURING</t>
  </si>
  <si>
    <t>THREE LAKES</t>
  </si>
  <si>
    <t>LAKE HOLCOMBE</t>
  </si>
  <si>
    <t>SIREN</t>
  </si>
  <si>
    <t>PEPIN AREA</t>
  </si>
  <si>
    <t>PRINCETON</t>
  </si>
  <si>
    <t>TURTLE LAKE</t>
  </si>
  <si>
    <t>STOCKBRIDGE</t>
  </si>
  <si>
    <t>Per Pupil Aid</t>
  </si>
  <si>
    <t>Mar_High Poverty Aid</t>
  </si>
  <si>
    <t>High Poverty Aid</t>
  </si>
  <si>
    <t>LAKELAND UHS</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</si>
  <si>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</si>
  <si>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</si>
  <si>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</si>
  <si>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</si>
  <si>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</si>
  <si>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</si>
  <si>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</si>
  <si>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</si>
  <si>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</si>
  <si>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</si>
  <si>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</si>
  <si>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</si>
  <si>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</si>
  <si>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</si>
  <si>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</si>
  <si>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</si>
  <si>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</si>
  <si>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</si>
  <si>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</si>
  <si>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</si>
  <si>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</si>
  <si>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</si>
  <si>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</si>
  <si>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</si>
  <si>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BEAVER DAM</t>
  </si>
  <si>
    <t>BEECHER-DUNBAR-PEMBINE</t>
  </si>
  <si>
    <t>BELLEVILLE</t>
  </si>
  <si>
    <t>BELMONT COMMUNITY</t>
  </si>
  <si>
    <t>BELOIT</t>
  </si>
  <si>
    <t>BELOIT TURNER</t>
  </si>
  <si>
    <t>BENTON</t>
  </si>
  <si>
    <t>BERLIN AREA</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</si>
  <si>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</si>
  <si>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</si>
  <si>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</si>
  <si>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</si>
  <si>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</si>
  <si>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</si>
  <si>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</si>
  <si>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</si>
  <si>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</si>
  <si>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</si>
  <si>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</si>
  <si>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</si>
  <si>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</si>
  <si>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</si>
  <si>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</si>
  <si>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</si>
  <si>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</si>
  <si>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</si>
  <si>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</si>
  <si>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</si>
  <si>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</si>
  <si>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</si>
  <si>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</si>
  <si>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</si>
  <si>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</si>
  <si>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</si>
  <si>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</si>
  <si>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</si>
  <si>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</si>
  <si>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</si>
  <si>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</si>
  <si>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</si>
  <si>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</si>
  <si>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</si>
  <si>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</si>
  <si>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</si>
  <si>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</si>
  <si>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</si>
  <si>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</si>
  <si>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</si>
  <si>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</si>
  <si>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</si>
  <si>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</si>
  <si>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</si>
  <si>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</si>
  <si>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</si>
  <si>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</si>
  <si>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</si>
  <si>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</si>
  <si>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</si>
  <si>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</si>
  <si>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</si>
  <si>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</si>
  <si>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</si>
  <si>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</si>
  <si>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</si>
  <si>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</si>
  <si>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DURAND</t>
  </si>
  <si>
    <t>EAST TROY COMMUNITY</t>
  </si>
  <si>
    <t>EAU CLAIRE AREA</t>
  </si>
  <si>
    <t>EDGAR</t>
  </si>
  <si>
    <t>EDGERTON</t>
  </si>
  <si>
    <t>ELCHO</t>
  </si>
  <si>
    <t>ELEVA-STRUM</t>
  </si>
  <si>
    <t>ELK MOUND AREA</t>
  </si>
  <si>
    <t>ELKHORN AREA</t>
  </si>
  <si>
    <t>ELLSWORTH COMMUNITY</t>
  </si>
  <si>
    <t>ELMBROOK</t>
  </si>
  <si>
    <t>ELMWOOD</t>
  </si>
  <si>
    <t>ERIN</t>
  </si>
  <si>
    <t>EVANSVILLE COMMUNITY</t>
  </si>
  <si>
    <t>FALL CREEK</t>
  </si>
  <si>
    <t>FALL RIVER</t>
  </si>
  <si>
    <t>FENNIMORE COMMUNITY</t>
  </si>
  <si>
    <t>FLAMBEAU</t>
  </si>
  <si>
    <t>FOND DU LAC</t>
  </si>
  <si>
    <t>FONTANA J8</t>
  </si>
  <si>
    <t>FORT ATKINSON</t>
  </si>
  <si>
    <t>FOX POINT J2</t>
  </si>
  <si>
    <t>FRANKLIN PUBLIC</t>
  </si>
  <si>
    <t>FREDERIC</t>
  </si>
  <si>
    <t>FREEDOM AREA</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</si>
  <si>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</si>
  <si>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</si>
  <si>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</si>
  <si>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</si>
  <si>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</si>
  <si>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</si>
  <si>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</si>
  <si>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</si>
  <si>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</si>
  <si>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</si>
  <si>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</si>
  <si>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</si>
  <si>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</si>
  <si>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</si>
  <si>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</si>
  <si>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</si>
  <si>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</si>
  <si>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</si>
  <si>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</si>
  <si>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</si>
  <si>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</si>
  <si>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</si>
  <si>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</si>
  <si>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</si>
  <si>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</si>
  <si>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</si>
  <si>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</si>
  <si>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</si>
  <si>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</si>
  <si>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</si>
  <si>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</si>
  <si>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</si>
  <si>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</si>
  <si>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</si>
  <si>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</si>
  <si>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</si>
  <si>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</si>
  <si>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</si>
  <si>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</si>
  <si>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</si>
  <si>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</si>
  <si>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</si>
  <si>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</si>
  <si>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</si>
  <si>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</si>
  <si>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</si>
  <si>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</si>
  <si>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</si>
  <si>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</si>
  <si>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</si>
  <si>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</si>
  <si>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</si>
  <si>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LACROSSE</t>
  </si>
  <si>
    <t>LADYSMITH-HAWKINS</t>
  </si>
  <si>
    <t>LAFARGE</t>
  </si>
  <si>
    <t>LAKE COUNTRY</t>
  </si>
  <si>
    <t>LAKE GENEVA J1</t>
  </si>
  <si>
    <t>LAKE GENEVA-GENOA UHS</t>
  </si>
  <si>
    <t>LAKE MILLS AREA</t>
  </si>
  <si>
    <t>LANCASTER COMMUNITY</t>
  </si>
  <si>
    <t>LAONA</t>
  </si>
  <si>
    <t>LENA</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</si>
  <si>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</si>
  <si>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</si>
  <si>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</si>
  <si>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</si>
  <si>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</si>
  <si>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</si>
  <si>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</si>
  <si>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</si>
  <si>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</si>
  <si>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</si>
  <si>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</si>
  <si>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</si>
  <si>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</si>
  <si>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</si>
  <si>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</si>
  <si>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</si>
  <si>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</si>
  <si>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</si>
  <si>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</si>
  <si>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</si>
  <si>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</si>
  <si>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</si>
  <si>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</si>
  <si>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</si>
  <si>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</si>
  <si>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</si>
  <si>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</si>
  <si>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</si>
  <si>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</si>
  <si>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</si>
  <si>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</si>
  <si>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</si>
  <si>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</si>
  <si>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</si>
  <si>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</si>
  <si>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</si>
  <si>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</si>
  <si>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</si>
  <si>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</si>
  <si>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</si>
  <si>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</si>
  <si>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</si>
  <si>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</si>
  <si>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</si>
  <si>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</si>
  <si>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</si>
  <si>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</si>
  <si>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</si>
  <si>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</si>
  <si>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</si>
  <si>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</si>
  <si>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</si>
  <si>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</si>
  <si>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</si>
  <si>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</si>
  <si>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</si>
  <si>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</si>
  <si>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</si>
  <si>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</si>
  <si>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</si>
  <si>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</si>
  <si>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</si>
  <si>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</si>
  <si>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</si>
  <si>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</si>
  <si>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</si>
  <si>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</si>
  <si>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</si>
  <si>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</si>
  <si>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</si>
  <si>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</si>
  <si>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</si>
  <si>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</si>
  <si>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</si>
  <si>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</si>
  <si>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</si>
  <si>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</si>
  <si>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</si>
  <si>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</si>
  <si>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</si>
  <si>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</si>
  <si>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</si>
  <si>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</si>
  <si>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</si>
  <si>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</si>
  <si>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</si>
  <si>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PESHTIGO</t>
  </si>
  <si>
    <t>PEWAUKEE</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</si>
  <si>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</si>
  <si>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</si>
  <si>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</si>
  <si>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</si>
  <si>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</si>
  <si>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</si>
  <si>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</si>
  <si>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</si>
  <si>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</si>
  <si>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</si>
  <si>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</si>
  <si>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</si>
  <si>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</si>
  <si>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</si>
  <si>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</si>
  <si>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</si>
  <si>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</si>
  <si>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</si>
  <si>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</si>
  <si>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</si>
  <si>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</si>
  <si>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</si>
  <si>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</si>
  <si>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</si>
  <si>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</si>
  <si>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</si>
  <si>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</si>
  <si>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</si>
  <si>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</si>
  <si>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</si>
  <si>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</si>
  <si>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</si>
  <si>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</si>
  <si>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</si>
  <si>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</si>
  <si>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</si>
  <si>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</si>
  <si>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</si>
  <si>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</si>
  <si>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</si>
  <si>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</si>
  <si>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</si>
  <si>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</si>
  <si>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</si>
  <si>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</si>
  <si>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</si>
  <si>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</si>
  <si>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</si>
  <si>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</si>
  <si>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</si>
  <si>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</si>
  <si>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</si>
  <si>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</si>
  <si>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SLINGER</t>
  </si>
  <si>
    <t>SOLON SPRINGS</t>
  </si>
  <si>
    <t>SOMERSET</t>
  </si>
  <si>
    <t>SOUTH MILWAUKEE</t>
  </si>
  <si>
    <t>SOUTHERN DOOR COUNTY</t>
  </si>
  <si>
    <t>SOUTHWESTERN WISCONSIN</t>
  </si>
  <si>
    <t>SPARTA AREA</t>
  </si>
  <si>
    <t>SPENCER</t>
  </si>
  <si>
    <t>SPRING VALLEY</t>
  </si>
  <si>
    <t>STANLEY-BOYD AREA</t>
  </si>
  <si>
    <t>STEVENS POINT AREA</t>
  </si>
  <si>
    <t>STONE BANK</t>
  </si>
  <si>
    <t>STOUGHTON AREA</t>
  </si>
  <si>
    <t>STRATFORD</t>
  </si>
  <si>
    <t>STURGEON BAY</t>
  </si>
  <si>
    <t>SUN PRAIRIE AREA</t>
  </si>
  <si>
    <t>SUPERIOR</t>
  </si>
  <si>
    <t>SWALLOW</t>
  </si>
  <si>
    <t>THORP</t>
  </si>
  <si>
    <t>TIGERTON</t>
  </si>
  <si>
    <t>TOMAH AREA</t>
  </si>
  <si>
    <t>TOMAHAWK</t>
  </si>
  <si>
    <t>TOMORROW RIVER</t>
  </si>
  <si>
    <t>TREVOR-WILMOT</t>
  </si>
  <si>
    <t>TRI-COUNTY AREA</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</si>
  <si>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</si>
  <si>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</si>
  <si>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</si>
  <si>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</si>
  <si>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</si>
  <si>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</si>
  <si>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</si>
  <si>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</si>
  <si>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</si>
  <si>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</si>
  <si>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</si>
  <si>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</si>
  <si>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</si>
  <si>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</si>
  <si>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</si>
  <si>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</si>
  <si>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</si>
  <si>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</si>
  <si>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</si>
  <si>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</si>
  <si>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</si>
  <si>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</si>
  <si>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</si>
  <si>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</si>
  <si>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</si>
  <si>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</si>
  <si>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</si>
  <si>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</si>
  <si>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</si>
  <si>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</si>
  <si>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</si>
  <si>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</si>
  <si>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</si>
  <si>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</si>
  <si>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</si>
  <si>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</si>
  <si>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</si>
  <si>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</si>
  <si>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</si>
  <si>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</si>
  <si>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WILLIAMS BAY</t>
  </si>
  <si>
    <t>WILMOT UHS</t>
  </si>
  <si>
    <t>WINNECONNE COMMUNITY</t>
  </si>
  <si>
    <t>WISCONSIN DELLS</t>
  </si>
  <si>
    <t>WISCONSIN HEIGHTS</t>
  </si>
  <si>
    <t>WISCONSIN RAPIDS</t>
  </si>
  <si>
    <t>WITTENBERG-BIRNAMWOOD</t>
  </si>
  <si>
    <t>WONEWOC-UNION CENTER</t>
  </si>
  <si>
    <t>WOODRUFF J1</t>
  </si>
  <si>
    <t>WRIGHTSTOWN COMMUNITY</t>
  </si>
  <si>
    <t>YORKVILLE J2</t>
  </si>
  <si>
    <t>NORTHLAND PINES</t>
  </si>
  <si>
    <t>June_Transp</t>
  </si>
  <si>
    <t>High Cost SPED - State</t>
  </si>
  <si>
    <t>High Cost Transp</t>
  </si>
  <si>
    <t>HERMAN-NEOSHO-RUBICON</t>
  </si>
  <si>
    <t>Nov_AGR</t>
  </si>
  <si>
    <t>Feb_AGR</t>
  </si>
  <si>
    <t>Jun_AGR</t>
  </si>
  <si>
    <t>March_Per Pupil Aid</t>
  </si>
  <si>
    <t>Net OE</t>
  </si>
  <si>
    <t>Net OE &amp; Gen Aid Reductions</t>
  </si>
  <si>
    <t>Dec_Eq</t>
  </si>
  <si>
    <t>Legend</t>
  </si>
  <si>
    <t>AGR Aid</t>
  </si>
  <si>
    <t xml:space="preserve"> WPCP/RPCP State Aid Reduction*</t>
  </si>
  <si>
    <t>Special Needs Voucher (SNSP)</t>
  </si>
  <si>
    <t>Challenge Academy</t>
  </si>
  <si>
    <t>Revenue Limit Penalty</t>
  </si>
  <si>
    <t>Data as of:</t>
  </si>
  <si>
    <r>
      <t>Proje</t>
    </r>
    <r>
      <rPr>
        <b/>
        <sz val="11"/>
        <rFont val="Times New Roman"/>
        <family val="1"/>
      </rPr>
      <t>cted SNSP State</t>
    </r>
    <r>
      <rPr>
        <b/>
        <sz val="11"/>
        <color indexed="8"/>
        <rFont val="Times New Roman"/>
        <family val="1"/>
      </rPr>
      <t xml:space="preserve"> Aid Deductions</t>
    </r>
  </si>
  <si>
    <t>Projected Challenge Academy State Aid Deductions</t>
  </si>
  <si>
    <r>
      <t>Projecte</t>
    </r>
    <r>
      <rPr>
        <b/>
        <sz val="11"/>
        <rFont val="Times New Roman"/>
        <family val="1"/>
      </rPr>
      <t>d WPCP and RPCP State</t>
    </r>
    <r>
      <rPr>
        <b/>
        <sz val="11"/>
        <color indexed="8"/>
        <rFont val="Times New Roman"/>
        <family val="1"/>
      </rPr>
      <t xml:space="preserve"> Aid Deductions</t>
    </r>
  </si>
  <si>
    <t>Projected Full-Time and SPED Open Enrollment and Tuition Waiver Transfers In</t>
  </si>
  <si>
    <t>Projected Full-Time and SPED Open Enrollment and Tuition Waiver Transfers Out</t>
  </si>
  <si>
    <t>Net Projected Full-Time and SPED Open Enrollment and Tuition Waiver</t>
  </si>
  <si>
    <t>Apr_Common School Fund</t>
  </si>
  <si>
    <t>HOLY HILL</t>
  </si>
  <si>
    <t>New Independent Charter Schools</t>
  </si>
  <si>
    <t>Eligiblility</t>
  </si>
  <si>
    <t>Withholding</t>
  </si>
  <si>
    <t>Cash Payment</t>
  </si>
  <si>
    <t>Total Equalization Aid</t>
  </si>
  <si>
    <t>Total Special Adjustment Aid</t>
  </si>
  <si>
    <t>Total AGR Aid</t>
  </si>
  <si>
    <t>Total Pupil Transportation Aid</t>
  </si>
  <si>
    <t>Total Special Education Aid</t>
  </si>
  <si>
    <t>Payment Date by Aid Program</t>
  </si>
  <si>
    <t>Grand Total Of All Above Aids</t>
  </si>
  <si>
    <t>Actual / Final Amount</t>
  </si>
  <si>
    <t>Estimated / Projected Amount</t>
  </si>
  <si>
    <r>
      <t>Proje</t>
    </r>
    <r>
      <rPr>
        <b/>
        <sz val="11"/>
        <rFont val="Times New Roman"/>
        <family val="1"/>
      </rPr>
      <t>cted New Independent Charter Schools State</t>
    </r>
    <r>
      <rPr>
        <b/>
        <sz val="11"/>
        <color indexed="8"/>
        <rFont val="Times New Roman"/>
        <family val="1"/>
      </rPr>
      <t xml:space="preserve"> Aid Deductions</t>
    </r>
  </si>
  <si>
    <t>Total Withholdings</t>
  </si>
  <si>
    <t>Estimated Amount Not Yet Available</t>
  </si>
  <si>
    <t>Total Projected Non-Open Enrollment State Aid Deductions</t>
  </si>
  <si>
    <t>Common School Fund (CSF) (Library Aid)</t>
  </si>
  <si>
    <t>Projected Revenue Limit Penalties</t>
  </si>
  <si>
    <t>Pupil Transportation Aid</t>
  </si>
  <si>
    <t>Unresolved Compliance Issues</t>
  </si>
  <si>
    <t>July_EQ</t>
  </si>
  <si>
    <t>Sep_EQ</t>
  </si>
  <si>
    <t>Dec_EQ</t>
  </si>
  <si>
    <t>Mar_EQ</t>
  </si>
  <si>
    <t>Jun_EQ</t>
  </si>
  <si>
    <t>Supplemental Per Pupil Aid</t>
  </si>
  <si>
    <t>CITY OF MILWAUKEE</t>
  </si>
  <si>
    <t>March_Suppl Per Pupil Aid</t>
  </si>
  <si>
    <t>TOTAL</t>
  </si>
  <si>
    <t>Actual and Projected 2020-2021 State Aid Adjustments</t>
  </si>
  <si>
    <t>March 22, 2020 High Poverty Aid</t>
  </si>
  <si>
    <t>March 22, 2021 Per Pupil Aid</t>
  </si>
  <si>
    <t>March 22, 2021 Suppl. Per Pupil Aid</t>
  </si>
  <si>
    <t>June 21, 2020 (High Cost SPED)</t>
  </si>
  <si>
    <t>June 21, 2021 (High Cost Trans)</t>
  </si>
  <si>
    <t>April 26, 2021  CSF Aid</t>
  </si>
  <si>
    <t xml:space="preserve">The following is an estimated breakdown of each district's projected net Full-Time and Special Education (SPED) Open Enrollment and Tuition Waivers, Wisconsin and Racine Parental Choice Program (WPCP and RPCP) deductions for private vouchers, Special Needs Scholarship Program (SNSP) deductions for private vouchers, New Independent Charter Schools Pupils, and the Challenge Academy deductions for the 2020-2021 school year. Also below is the projected state aid withholdings associated with these aid deductions. These withholdings are subtracted from the district's aid eligibility to estimate the actual cash payment. The Open Enrollment amounts are based solely on the district's entries into OPAL and are subject to change throughout the year.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</si>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</sst>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quot;$&quot;#,##0.00"/>
    <numFmt numFmtId="165" formatCode="[$-409]mmmm\ d\,\ yyyy;@"/>
    <numFmt numFmtId="166" formatCode="0000"/>
  </numFmts>
  <fonts count="3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1"/>
      <name val="Times New Roman"/>
      <family val="1"/>
    </font>
    <font>
      <b/>
      <sz val="9"/>
      <color indexed="81"/>
      <name val="Tahoma"/>
      <family val="2"/>
    </font>
    <font>
      <sz val="9"/>
      <color indexed="81"/>
      <name val="Tahoma"/>
      <family val="2"/>
    </font>
    <font>
      <b/>
      <sz val="11"/>
      <name val="Arial"/>
      <family val="2"/>
    </font>
    <font>
      <b/>
      <sz val="11"/>
      <color indexed="8"/>
      <name val="Times New Roman"/>
      <family val="1"/>
    </font>
    <font>
      <sz val="11"/>
      <color theme="1"/>
      <name val="Calibri"/>
      <family val="2"/>
    </font>
    <font>
      <u/>
      <sz val="11"/>
      <color theme="10"/>
      <name val="Calibri"/>
      <family val="2"/>
    </font>
    <font>
      <b/>
      <sz val="11"/>
      <color theme="1"/>
      <name val="Calibri"/>
      <family val="2"/>
    </font>
    <font>
      <b/>
      <sz val="12"/>
      <color theme="1"/>
      <name val="Times New Roman"/>
      <family val="1"/>
    </font>
    <font>
      <b/>
      <sz val="11"/>
      <color theme="1"/>
      <name val="Times New Roman"/>
      <family val="1"/>
    </font>
    <font>
      <sz val="11"/>
      <color theme="1"/>
      <name val="Calibri"/>
      <family val="2"/>
      <scheme val="minor"/>
    </font>
    <font>
      <sz val="11"/>
      <name val="Calibri"/>
      <family val="2"/>
      <scheme val="minor"/>
    </font>
    <font>
      <b/>
      <sz val="11"/>
      <color rgb="FFC00000"/>
      <name val="Calibri"/>
      <family val="2"/>
      <scheme val="minor"/>
    </font>
    <font>
      <b/>
      <sz val="11"/>
      <color theme="1"/>
      <name val="Calibri"/>
      <family val="2"/>
      <scheme val="minor"/>
    </font>
    <font>
      <i/>
      <sz val="11"/>
      <color rgb="FF0070C0"/>
      <name val="Calibri"/>
      <family val="2"/>
      <scheme val="minor"/>
    </font>
    <font>
      <b/>
      <sz val="11"/>
      <name val="Calibri"/>
      <family val="2"/>
      <scheme val="minor"/>
    </font>
    <font>
      <sz val="11"/>
      <color theme="1"/>
      <name val="Times New Roman"/>
      <family val="1"/>
    </font>
    <font>
      <sz val="12"/>
      <color theme="1"/>
      <name val="Times New Roman"/>
      <family val="1"/>
    </font>
    <font>
      <u/>
      <sz val="12"/>
      <color theme="10"/>
      <name val="Times New Roman"/>
      <family val="1"/>
    </font>
    <font>
      <u/>
      <sz val="11"/>
      <color theme="10"/>
      <name val="Times New Roman"/>
      <family val="1"/>
    </font>
    <font>
      <sz val="10"/>
      <color theme="1"/>
      <name val="Times New Roman"/>
      <family val="1"/>
    </font>
    <font>
      <b/>
      <u/>
      <sz val="11"/>
      <color theme="1"/>
      <name val="Times New Roman"/>
      <family val="1"/>
    </font>
    <font>
      <b/>
      <sz val="16"/>
      <color theme="1"/>
      <name val="Times New Roman"/>
      <family val="1"/>
    </font>
    <font>
      <b/>
      <sz val="11"/>
      <color rgb="FFFF0000"/>
      <name val="Times New Roman"/>
      <family val="1"/>
    </font>
    <font>
      <b/>
      <i/>
      <sz val="1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bgColor indexed="64"/>
      </patternFill>
    </fill>
  </fills>
  <borders count="62">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s>
  <cellStyleXfs count="3">
    <xf numFmtId="0" fontId="0" fillId="0" borderId="0"/>
    <xf numFmtId="43" fontId="16" fillId="0" borderId="0" applyFont="0" applyFill="0" applyBorder="0" applyAlignment="0" applyProtection="0"/>
    <xf numFmtId="0" fontId="17" fillId="0" borderId="0" applyNumberFormat="0" applyFill="0" applyBorder="0" applyAlignment="0" applyProtection="0">
      <alignment vertical="top"/>
      <protection locked="0"/>
    </xf>
  </cellStyleXfs>
  <cellXfs count="231">
    <xf numFmtId="0" fontId="0" fillId="0" borderId="0" xfId="0"/>
    <xf numFmtId="0" fontId="19" fillId="2" borderId="0" xfId="0" applyFont="1" applyFill="1" applyBorder="1" applyAlignment="1">
      <alignment horizontal="center"/>
    </xf>
    <xf numFmtId="0" fontId="20" fillId="2" borderId="0" xfId="0" applyFont="1" applyFill="1" applyBorder="1" applyAlignment="1">
      <alignment horizontal="center"/>
    </xf>
    <xf numFmtId="0" fontId="20" fillId="2" borderId="0" xfId="0" applyFont="1" applyFill="1" applyBorder="1" applyAlignment="1">
      <alignment horizontal="center" wrapText="1"/>
    </xf>
    <xf numFmtId="0" fontId="20" fillId="2" borderId="2" xfId="0" applyFont="1" applyFill="1" applyBorder="1" applyAlignment="1">
      <alignment horizontal="center"/>
    </xf>
    <xf numFmtId="0" fontId="10" fillId="0" borderId="0" xfId="0" applyFont="1" applyAlignment="1">
      <alignment horizontal="justify"/>
    </xf>
    <xf numFmtId="43" fontId="21" fillId="0" borderId="0" xfId="1" applyFont="1" applyAlignment="1">
      <alignment horizontal="center"/>
    </xf>
    <xf numFmtId="166" fontId="21" fillId="0" borderId="0" xfId="0" applyNumberFormat="1" applyFont="1" applyFill="1" applyBorder="1"/>
    <xf numFmtId="0" fontId="21" fillId="0" borderId="0" xfId="0" applyFont="1" applyFill="1"/>
    <xf numFmtId="4" fontId="21" fillId="0" borderId="0" xfId="0" applyNumberFormat="1" applyFont="1" applyFill="1"/>
    <xf numFmtId="43" fontId="21" fillId="0" borderId="3" xfId="1" applyFont="1" applyFill="1" applyBorder="1"/>
    <xf numFmtId="4" fontId="21" fillId="0" borderId="3" xfId="0" applyNumberFormat="1" applyFont="1" applyFill="1" applyBorder="1"/>
    <xf numFmtId="166" fontId="21" fillId="0" borderId="0" xfId="0" applyNumberFormat="1" applyFont="1" applyFill="1"/>
    <xf numFmtId="0" fontId="22" fillId="0" borderId="0" xfId="0" applyFont="1" applyFill="1" applyBorder="1"/>
    <xf numFmtId="0" fontId="23" fillId="0" borderId="0" xfId="0" applyFont="1" applyFill="1" applyAlignment="1">
      <alignment horizontal="center"/>
    </xf>
    <xf numFmtId="43" fontId="21" fillId="0" borderId="0" xfId="1" applyFont="1" applyFill="1"/>
    <xf numFmtId="43" fontId="21" fillId="0" borderId="3" xfId="1" quotePrefix="1" applyFont="1" applyFill="1" applyBorder="1"/>
    <xf numFmtId="43" fontId="22" fillId="0" borderId="0" xfId="1" applyFont="1" applyFill="1" applyBorder="1" applyProtection="1"/>
    <xf numFmtId="43" fontId="21" fillId="0" borderId="0" xfId="1" applyFont="1" applyFill="1" applyAlignment="1">
      <alignment horizontal="center"/>
    </xf>
    <xf numFmtId="0" fontId="18" fillId="0" borderId="4" xfId="0" applyNumberFormat="1" applyFont="1" applyFill="1" applyBorder="1" applyAlignment="1">
      <alignment horizontal="right"/>
    </xf>
    <xf numFmtId="0" fontId="18" fillId="0" borderId="5" xfId="0" applyFont="1" applyFill="1" applyBorder="1"/>
    <xf numFmtId="40" fontId="21" fillId="0" borderId="0" xfId="1" applyNumberFormat="1" applyFont="1" applyFill="1"/>
    <xf numFmtId="43" fontId="21" fillId="3" borderId="0" xfId="1" applyFont="1" applyFill="1" applyAlignment="1">
      <alignment horizontal="center"/>
    </xf>
    <xf numFmtId="43" fontId="21" fillId="4" borderId="3" xfId="1" applyFont="1" applyFill="1" applyBorder="1"/>
    <xf numFmtId="43" fontId="21" fillId="0" borderId="0" xfId="0" applyNumberFormat="1" applyFont="1" applyFill="1"/>
    <xf numFmtId="43" fontId="21" fillId="0" borderId="0" xfId="1" applyFont="1" applyFill="1" applyBorder="1"/>
    <xf numFmtId="4" fontId="21" fillId="0" borderId="0" xfId="0" applyNumberFormat="1" applyFont="1" applyFill="1" applyBorder="1"/>
    <xf numFmtId="43" fontId="24" fillId="0" borderId="0" xfId="1" applyFont="1" applyFill="1" applyBorder="1"/>
    <xf numFmtId="43" fontId="21" fillId="0" borderId="0" xfId="1" applyFont="1" applyBorder="1" applyAlignment="1">
      <alignment horizontal="center"/>
    </xf>
    <xf numFmtId="43" fontId="21" fillId="0" borderId="0" xfId="1" applyFont="1" applyBorder="1" applyAlignment="1">
      <alignment horizontal="center" wrapText="1"/>
    </xf>
    <xf numFmtId="40" fontId="24" fillId="0" borderId="0" xfId="1" applyNumberFormat="1" applyFont="1" applyBorder="1" applyAlignment="1">
      <alignment horizontal="center"/>
    </xf>
    <xf numFmtId="43" fontId="21" fillId="6" borderId="0" xfId="1" applyFont="1" applyFill="1" applyAlignment="1">
      <alignment horizontal="center" wrapText="1"/>
    </xf>
    <xf numFmtId="0" fontId="21" fillId="0" borderId="0" xfId="0" applyFont="1" applyFill="1" applyBorder="1"/>
    <xf numFmtId="0" fontId="18" fillId="0" borderId="0" xfId="0" applyNumberFormat="1" applyFont="1" applyFill="1" applyBorder="1" applyAlignment="1">
      <alignment horizontal="right"/>
    </xf>
    <xf numFmtId="0" fontId="18" fillId="0" borderId="0" xfId="0" applyFont="1" applyFill="1" applyBorder="1"/>
    <xf numFmtId="43" fontId="21" fillId="0" borderId="0" xfId="1" quotePrefix="1" applyFont="1" applyFill="1" applyBorder="1"/>
    <xf numFmtId="43" fontId="14" fillId="5" borderId="0" xfId="1" applyFont="1" applyFill="1" applyAlignment="1">
      <alignment horizontal="center" wrapText="1"/>
    </xf>
    <xf numFmtId="43" fontId="25" fillId="0" borderId="0" xfId="1" applyFont="1" applyFill="1"/>
    <xf numFmtId="43" fontId="21" fillId="0" borderId="6" xfId="1" quotePrefix="1" applyFont="1" applyFill="1" applyBorder="1"/>
    <xf numFmtId="43" fontId="21" fillId="0" borderId="6" xfId="1" applyFont="1" applyFill="1" applyBorder="1"/>
    <xf numFmtId="0" fontId="18" fillId="0" borderId="7" xfId="0" applyNumberFormat="1" applyFont="1" applyFill="1" applyBorder="1" applyAlignment="1">
      <alignment horizontal="right"/>
    </xf>
    <xf numFmtId="0" fontId="18" fillId="0" borderId="8" xfId="0" applyNumberFormat="1" applyFont="1" applyFill="1" applyBorder="1" applyAlignment="1">
      <alignment horizontal="right"/>
    </xf>
    <xf numFmtId="43" fontId="21" fillId="0" borderId="9" xfId="1" applyFont="1" applyFill="1" applyBorder="1"/>
    <xf numFmtId="43" fontId="21" fillId="0" borderId="9" xfId="1" quotePrefix="1" applyFont="1" applyFill="1" applyBorder="1"/>
    <xf numFmtId="43" fontId="21" fillId="0" borderId="2" xfId="1" applyFont="1" applyFill="1" applyBorder="1"/>
    <xf numFmtId="43" fontId="21" fillId="7" borderId="6" xfId="1" applyFont="1" applyFill="1" applyBorder="1"/>
    <xf numFmtId="43" fontId="21" fillId="4" borderId="6" xfId="1" applyFont="1" applyFill="1" applyBorder="1"/>
    <xf numFmtId="166" fontId="21" fillId="0" borderId="2" xfId="0" applyNumberFormat="1" applyFont="1" applyFill="1" applyBorder="1"/>
    <xf numFmtId="0" fontId="22" fillId="0" borderId="2" xfId="0" applyFont="1" applyFill="1" applyBorder="1"/>
    <xf numFmtId="43" fontId="21" fillId="0" borderId="2" xfId="1" quotePrefix="1" applyFont="1" applyFill="1" applyBorder="1"/>
    <xf numFmtId="43" fontId="25" fillId="0" borderId="2" xfId="1" applyFont="1" applyFill="1" applyBorder="1"/>
    <xf numFmtId="43" fontId="22" fillId="0" borderId="2" xfId="1" applyFont="1" applyFill="1" applyBorder="1" applyProtection="1"/>
    <xf numFmtId="165" fontId="20" fillId="2" borderId="11" xfId="0" applyNumberFormat="1" applyFont="1" applyFill="1" applyBorder="1"/>
    <xf numFmtId="0" fontId="27" fillId="2" borderId="11" xfId="0" applyFont="1" applyFill="1" applyBorder="1"/>
    <xf numFmtId="0" fontId="27" fillId="2" borderId="12" xfId="0" applyFont="1" applyFill="1" applyBorder="1"/>
    <xf numFmtId="0" fontId="27" fillId="0" borderId="0" xfId="0" applyFont="1"/>
    <xf numFmtId="0" fontId="27" fillId="2" borderId="13" xfId="0" applyFont="1" applyFill="1" applyBorder="1"/>
    <xf numFmtId="0" fontId="27" fillId="2" borderId="14" xfId="0" applyFont="1" applyFill="1" applyBorder="1"/>
    <xf numFmtId="0" fontId="27" fillId="2" borderId="0" xfId="0" applyFont="1" applyFill="1" applyBorder="1"/>
    <xf numFmtId="0" fontId="28" fillId="2" borderId="0" xfId="0" applyFont="1" applyFill="1" applyBorder="1"/>
    <xf numFmtId="0" fontId="29" fillId="2" borderId="0" xfId="2" applyFont="1" applyFill="1" applyBorder="1" applyAlignment="1" applyProtection="1"/>
    <xf numFmtId="0" fontId="28" fillId="0" borderId="0" xfId="0" applyFont="1"/>
    <xf numFmtId="0" fontId="30" fillId="2" borderId="0" xfId="2" applyFont="1" applyFill="1" applyBorder="1" applyAlignment="1" applyProtection="1"/>
    <xf numFmtId="0" fontId="28" fillId="2" borderId="14" xfId="0" applyFont="1" applyFill="1" applyBorder="1"/>
    <xf numFmtId="0" fontId="27" fillId="0" borderId="0" xfId="0" applyFont="1" applyBorder="1"/>
    <xf numFmtId="164" fontId="27" fillId="2" borderId="0" xfId="0" applyNumberFormat="1" applyFont="1" applyFill="1" applyBorder="1"/>
    <xf numFmtId="0" fontId="31" fillId="2" borderId="0" xfId="0" applyFont="1" applyFill="1" applyBorder="1"/>
    <xf numFmtId="0" fontId="31" fillId="0" borderId="0" xfId="0" applyFont="1"/>
    <xf numFmtId="0" fontId="32" fillId="2" borderId="0" xfId="0" applyFont="1" applyFill="1" applyBorder="1"/>
    <xf numFmtId="8" fontId="20" fillId="2" borderId="0" xfId="0" applyNumberFormat="1" applyFont="1" applyFill="1" applyBorder="1"/>
    <xf numFmtId="0" fontId="31" fillId="2" borderId="2" xfId="0" applyFont="1" applyFill="1" applyBorder="1"/>
    <xf numFmtId="8" fontId="20" fillId="2" borderId="2" xfId="0" applyNumberFormat="1" applyFont="1" applyFill="1" applyBorder="1"/>
    <xf numFmtId="0" fontId="27" fillId="2" borderId="2" xfId="0" applyFont="1" applyFill="1" applyBorder="1"/>
    <xf numFmtId="0" fontId="27" fillId="2" borderId="17" xfId="0" applyFont="1" applyFill="1" applyBorder="1"/>
    <xf numFmtId="0" fontId="20" fillId="2" borderId="0" xfId="0" applyFont="1" applyFill="1" applyBorder="1"/>
    <xf numFmtId="0" fontId="23" fillId="0" borderId="0" xfId="0" applyFont="1" applyFill="1" applyBorder="1" applyAlignment="1">
      <alignment horizontal="center"/>
    </xf>
    <xf numFmtId="0" fontId="18" fillId="0" borderId="20" xfId="0" applyNumberFormat="1" applyFont="1" applyFill="1" applyBorder="1" applyAlignment="1">
      <alignment horizontal="right"/>
    </xf>
    <xf numFmtId="43" fontId="21" fillId="0" borderId="21" xfId="1" applyFont="1" applyFill="1" applyBorder="1"/>
    <xf numFmtId="43" fontId="21" fillId="0" borderId="21" xfId="1" quotePrefix="1" applyFont="1" applyFill="1" applyBorder="1"/>
    <xf numFmtId="0" fontId="18" fillId="0" borderId="4" xfId="0" applyFont="1" applyFill="1" applyBorder="1"/>
    <xf numFmtId="0" fontId="18" fillId="0" borderId="22" xfId="0" applyFont="1" applyFill="1" applyBorder="1"/>
    <xf numFmtId="43" fontId="21" fillId="0" borderId="23" xfId="1" applyFont="1" applyFill="1" applyBorder="1"/>
    <xf numFmtId="0" fontId="18" fillId="0" borderId="24" xfId="0" applyFont="1" applyFill="1" applyBorder="1"/>
    <xf numFmtId="43" fontId="26" fillId="5" borderId="0" xfId="1" applyFont="1" applyFill="1" applyBorder="1"/>
    <xf numFmtId="43" fontId="24" fillId="5" borderId="0" xfId="1" applyFont="1" applyFill="1" applyBorder="1"/>
    <xf numFmtId="43" fontId="24" fillId="8" borderId="3" xfId="1" applyFont="1" applyFill="1" applyBorder="1"/>
    <xf numFmtId="43" fontId="26" fillId="8" borderId="3" xfId="1" applyFont="1" applyFill="1" applyBorder="1"/>
    <xf numFmtId="43" fontId="21" fillId="8" borderId="0" xfId="1" applyFont="1" applyFill="1" applyAlignment="1">
      <alignment horizontal="center" wrapText="1"/>
    </xf>
    <xf numFmtId="43" fontId="21" fillId="4" borderId="39" xfId="1" applyFont="1" applyFill="1" applyBorder="1"/>
    <xf numFmtId="165" fontId="20" fillId="0" borderId="41" xfId="0" applyNumberFormat="1" applyFont="1" applyFill="1" applyBorder="1" applyAlignment="1">
      <alignment horizontal="left" vertical="center"/>
    </xf>
    <xf numFmtId="165" fontId="20" fillId="2" borderId="41" xfId="0" applyNumberFormat="1" applyFont="1" applyFill="1" applyBorder="1" applyAlignment="1">
      <alignment horizontal="left" vertical="center"/>
    </xf>
    <xf numFmtId="0" fontId="27" fillId="2" borderId="45" xfId="0" applyFont="1" applyFill="1" applyBorder="1"/>
    <xf numFmtId="0" fontId="27" fillId="2" borderId="46" xfId="0" applyFont="1" applyFill="1" applyBorder="1"/>
    <xf numFmtId="0" fontId="28" fillId="2" borderId="46" xfId="0" applyFont="1" applyFill="1" applyBorder="1"/>
    <xf numFmtId="0" fontId="27" fillId="2" borderId="22" xfId="0" applyFont="1" applyFill="1" applyBorder="1"/>
    <xf numFmtId="0" fontId="20" fillId="2" borderId="0" xfId="0" applyFont="1" applyFill="1" applyBorder="1" applyAlignment="1">
      <alignment horizontal="right"/>
    </xf>
    <xf numFmtId="165" fontId="20" fillId="0" borderId="50" xfId="0" applyNumberFormat="1" applyFont="1" applyFill="1" applyBorder="1" applyAlignment="1">
      <alignment horizontal="left" vertical="center"/>
    </xf>
    <xf numFmtId="43" fontId="9" fillId="4" borderId="3" xfId="1" applyFont="1" applyFill="1" applyBorder="1"/>
    <xf numFmtId="8" fontId="20" fillId="10" borderId="33" xfId="0" applyNumberFormat="1" applyFont="1" applyFill="1" applyBorder="1" applyAlignment="1"/>
    <xf numFmtId="8" fontId="20" fillId="10" borderId="16" xfId="0" applyNumberFormat="1" applyFont="1" applyFill="1" applyBorder="1" applyAlignment="1"/>
    <xf numFmtId="0" fontId="20" fillId="10" borderId="16" xfId="0" applyFont="1" applyFill="1" applyBorder="1" applyAlignment="1">
      <alignment horizontal="left" vertical="center"/>
    </xf>
    <xf numFmtId="8" fontId="20" fillId="10" borderId="16" xfId="0" applyNumberFormat="1" applyFont="1" applyFill="1" applyBorder="1"/>
    <xf numFmtId="0" fontId="20" fillId="10" borderId="1" xfId="0" applyFont="1" applyFill="1" applyBorder="1" applyAlignment="1">
      <alignment horizontal="left" vertical="center"/>
    </xf>
    <xf numFmtId="0" fontId="20" fillId="11" borderId="16" xfId="0" applyFont="1" applyFill="1" applyBorder="1" applyAlignment="1">
      <alignment horizontal="left" vertical="center"/>
    </xf>
    <xf numFmtId="0" fontId="20" fillId="0" borderId="0" xfId="0" applyFont="1" applyFill="1" applyBorder="1" applyAlignment="1">
      <alignment horizontal="center"/>
    </xf>
    <xf numFmtId="0" fontId="20" fillId="11" borderId="16" xfId="0" applyFont="1" applyFill="1" applyBorder="1" applyAlignment="1">
      <alignment horizontal="center"/>
    </xf>
    <xf numFmtId="0" fontId="20" fillId="11" borderId="31" xfId="0" applyFont="1" applyFill="1" applyBorder="1" applyAlignment="1"/>
    <xf numFmtId="43" fontId="8" fillId="6" borderId="0" xfId="1" applyFont="1" applyFill="1" applyAlignment="1">
      <alignment horizontal="center" wrapText="1"/>
    </xf>
    <xf numFmtId="8" fontId="20" fillId="2" borderId="41" xfId="0" applyNumberFormat="1" applyFont="1" applyFill="1" applyBorder="1"/>
    <xf numFmtId="0" fontId="11" fillId="2" borderId="0" xfId="0" applyFont="1" applyFill="1" applyBorder="1" applyAlignment="1"/>
    <xf numFmtId="0" fontId="20" fillId="12" borderId="0" xfId="0" applyFont="1" applyFill="1" applyBorder="1"/>
    <xf numFmtId="40" fontId="26" fillId="0" borderId="26" xfId="1" applyNumberFormat="1" applyFont="1" applyFill="1" applyBorder="1"/>
    <xf numFmtId="0" fontId="18" fillId="0" borderId="13" xfId="0" applyNumberFormat="1" applyFont="1" applyFill="1" applyBorder="1" applyAlignment="1">
      <alignment horizontal="right"/>
    </xf>
    <xf numFmtId="0" fontId="18" fillId="0" borderId="46" xfId="0" applyFont="1" applyFill="1" applyBorder="1"/>
    <xf numFmtId="43" fontId="21" fillId="0" borderId="52" xfId="1" applyFont="1" applyFill="1" applyBorder="1"/>
    <xf numFmtId="43" fontId="21" fillId="0" borderId="52" xfId="1" quotePrefix="1" applyFont="1" applyFill="1" applyBorder="1"/>
    <xf numFmtId="43" fontId="21" fillId="0" borderId="25" xfId="1" quotePrefix="1" applyFont="1" applyFill="1" applyBorder="1"/>
    <xf numFmtId="0" fontId="18" fillId="0" borderId="3" xfId="0" applyFont="1" applyFill="1" applyBorder="1"/>
    <xf numFmtId="0" fontId="20" fillId="9" borderId="0" xfId="0" applyFont="1" applyFill="1" applyBorder="1"/>
    <xf numFmtId="166" fontId="21" fillId="13" borderId="0" xfId="0" applyNumberFormat="1" applyFont="1" applyFill="1" applyBorder="1"/>
    <xf numFmtId="0" fontId="7" fillId="13" borderId="0" xfId="0" applyFont="1" applyFill="1" applyBorder="1"/>
    <xf numFmtId="43" fontId="21" fillId="14" borderId="0" xfId="1" applyFont="1" applyFill="1" applyAlignment="1">
      <alignment horizontal="center" wrapText="1"/>
    </xf>
    <xf numFmtId="8" fontId="20" fillId="15" borderId="30" xfId="0" applyNumberFormat="1" applyFont="1" applyFill="1" applyBorder="1"/>
    <xf numFmtId="8" fontId="20" fillId="15" borderId="26" xfId="0" applyNumberFormat="1" applyFont="1" applyFill="1" applyBorder="1"/>
    <xf numFmtId="8" fontId="20" fillId="15" borderId="49" xfId="0" applyNumberFormat="1" applyFont="1" applyFill="1" applyBorder="1"/>
    <xf numFmtId="8" fontId="20" fillId="15" borderId="54" xfId="0" applyNumberFormat="1" applyFont="1" applyFill="1" applyBorder="1"/>
    <xf numFmtId="8" fontId="20" fillId="15" borderId="42" xfId="0" applyNumberFormat="1" applyFont="1" applyFill="1" applyBorder="1"/>
    <xf numFmtId="8" fontId="20" fillId="15" borderId="17" xfId="0" applyNumberFormat="1" applyFont="1" applyFill="1" applyBorder="1"/>
    <xf numFmtId="8" fontId="20" fillId="15" borderId="16" xfId="0" applyNumberFormat="1" applyFont="1" applyFill="1" applyBorder="1"/>
    <xf numFmtId="40" fontId="26" fillId="0" borderId="17" xfId="1" applyNumberFormat="1" applyFont="1" applyFill="1" applyBorder="1"/>
    <xf numFmtId="43" fontId="5" fillId="0" borderId="0" xfId="1" applyFont="1" applyAlignment="1">
      <alignment horizontal="center"/>
    </xf>
    <xf numFmtId="43" fontId="21" fillId="4" borderId="9" xfId="1" applyFont="1" applyFill="1" applyBorder="1"/>
    <xf numFmtId="43" fontId="21" fillId="0" borderId="37" xfId="1" applyFont="1" applyFill="1" applyBorder="1"/>
    <xf numFmtId="0" fontId="18" fillId="0" borderId="57" xfId="0" applyFont="1" applyFill="1" applyBorder="1"/>
    <xf numFmtId="0" fontId="18" fillId="0" borderId="46" xfId="0" applyNumberFormat="1" applyFont="1" applyFill="1" applyBorder="1" applyAlignment="1">
      <alignment horizontal="right"/>
    </xf>
    <xf numFmtId="166" fontId="21" fillId="0" borderId="31" xfId="0" applyNumberFormat="1" applyFont="1" applyFill="1" applyBorder="1"/>
    <xf numFmtId="0" fontId="18" fillId="0" borderId="58" xfId="0" applyFont="1" applyFill="1" applyBorder="1" applyAlignment="1">
      <alignment horizontal="right"/>
    </xf>
    <xf numFmtId="43" fontId="24" fillId="0" borderId="32" xfId="1" applyFont="1" applyFill="1" applyBorder="1"/>
    <xf numFmtId="165" fontId="20" fillId="0" borderId="42" xfId="0" applyNumberFormat="1" applyFont="1" applyFill="1" applyBorder="1" applyAlignment="1">
      <alignment horizontal="left" vertical="center"/>
    </xf>
    <xf numFmtId="8" fontId="20" fillId="0" borderId="41" xfId="0" applyNumberFormat="1" applyFont="1" applyFill="1" applyBorder="1"/>
    <xf numFmtId="43" fontId="21" fillId="16" borderId="0" xfId="1" applyFont="1" applyFill="1" applyAlignment="1">
      <alignment horizontal="center" wrapText="1"/>
    </xf>
    <xf numFmtId="43" fontId="21" fillId="16" borderId="2" xfId="1" applyFont="1" applyFill="1" applyBorder="1"/>
    <xf numFmtId="43" fontId="21" fillId="16" borderId="21" xfId="1" applyFont="1" applyFill="1" applyBorder="1"/>
    <xf numFmtId="43" fontId="21" fillId="16" borderId="3" xfId="1" applyFont="1" applyFill="1" applyBorder="1"/>
    <xf numFmtId="43" fontId="21" fillId="16" borderId="6" xfId="1" applyFont="1" applyFill="1" applyBorder="1"/>
    <xf numFmtId="43" fontId="21" fillId="16" borderId="52" xfId="1" applyFont="1" applyFill="1" applyBorder="1"/>
    <xf numFmtId="43" fontId="21" fillId="16" borderId="9" xfId="1" applyFont="1" applyFill="1" applyBorder="1"/>
    <xf numFmtId="43" fontId="21" fillId="16" borderId="0" xfId="1" applyFont="1" applyFill="1" applyBorder="1"/>
    <xf numFmtId="43" fontId="8" fillId="12" borderId="0" xfId="1" applyFont="1" applyFill="1" applyAlignment="1">
      <alignment horizontal="center" wrapText="1"/>
    </xf>
    <xf numFmtId="43" fontId="21" fillId="12" borderId="0" xfId="1" applyFont="1" applyFill="1" applyBorder="1"/>
    <xf numFmtId="43" fontId="21" fillId="12" borderId="3" xfId="1" applyFont="1" applyFill="1" applyBorder="1"/>
    <xf numFmtId="43" fontId="21" fillId="12" borderId="52" xfId="1" applyFont="1" applyFill="1" applyBorder="1"/>
    <xf numFmtId="43" fontId="21" fillId="12" borderId="0" xfId="1" applyFont="1" applyFill="1" applyAlignment="1">
      <alignment horizontal="center" wrapText="1"/>
    </xf>
    <xf numFmtId="43" fontId="4" fillId="12" borderId="0" xfId="1" applyFont="1" applyFill="1" applyAlignment="1">
      <alignment horizontal="center" wrapText="1"/>
    </xf>
    <xf numFmtId="43" fontId="21" fillId="0" borderId="38" xfId="1" quotePrefix="1" applyFont="1" applyFill="1" applyBorder="1"/>
    <xf numFmtId="43" fontId="21" fillId="16" borderId="3" xfId="1" applyFont="1" applyFill="1" applyBorder="1" applyAlignment="1">
      <alignment horizontal="center" wrapText="1"/>
    </xf>
    <xf numFmtId="43" fontId="21" fillId="12" borderId="3" xfId="1" quotePrefix="1" applyFont="1" applyFill="1" applyBorder="1"/>
    <xf numFmtId="43" fontId="21" fillId="12" borderId="52" xfId="1" quotePrefix="1" applyFont="1" applyFill="1" applyBorder="1"/>
    <xf numFmtId="43" fontId="21" fillId="16" borderId="6" xfId="1" applyFont="1" applyFill="1" applyBorder="1" applyAlignment="1">
      <alignment horizontal="center" wrapText="1"/>
    </xf>
    <xf numFmtId="43" fontId="21" fillId="16" borderId="9" xfId="1" applyFont="1" applyFill="1" applyBorder="1" applyAlignment="1">
      <alignment horizontal="center" wrapText="1"/>
    </xf>
    <xf numFmtId="165" fontId="20" fillId="0" borderId="44" xfId="0" applyNumberFormat="1" applyFont="1" applyFill="1" applyBorder="1" applyAlignment="1">
      <alignment horizontal="left" vertical="center"/>
    </xf>
    <xf numFmtId="43" fontId="21" fillId="7" borderId="39" xfId="1" applyFont="1" applyFill="1" applyBorder="1"/>
    <xf numFmtId="4" fontId="3" fillId="0" borderId="3" xfId="0" applyNumberFormat="1" applyFont="1" applyFill="1" applyBorder="1"/>
    <xf numFmtId="0" fontId="20" fillId="0" borderId="16" xfId="0" applyFont="1" applyFill="1" applyBorder="1" applyAlignment="1">
      <alignment horizontal="left" vertical="center"/>
    </xf>
    <xf numFmtId="43" fontId="6" fillId="16" borderId="3" xfId="1" applyFont="1" applyFill="1" applyBorder="1"/>
    <xf numFmtId="43" fontId="24" fillId="12" borderId="59" xfId="1" applyFont="1" applyFill="1" applyBorder="1"/>
    <xf numFmtId="43" fontId="24" fillId="12" borderId="40" xfId="1" applyFont="1" applyFill="1" applyBorder="1"/>
    <xf numFmtId="43" fontId="24" fillId="12" borderId="38" xfId="1" applyFont="1" applyFill="1" applyBorder="1"/>
    <xf numFmtId="43" fontId="24" fillId="0" borderId="38" xfId="1" applyFont="1" applyFill="1" applyBorder="1"/>
    <xf numFmtId="43" fontId="3" fillId="0" borderId="3" xfId="1" applyFont="1" applyFill="1" applyBorder="1"/>
    <xf numFmtId="43" fontId="1" fillId="0" borderId="0" xfId="1" applyFont="1" applyAlignment="1">
      <alignment horizontal="center"/>
    </xf>
    <xf numFmtId="0" fontId="20" fillId="0" borderId="40" xfId="0" applyFont="1" applyFill="1" applyBorder="1" applyAlignment="1">
      <alignment horizontal="left" vertical="center"/>
    </xf>
    <xf numFmtId="165" fontId="20" fillId="0" borderId="43" xfId="0" applyNumberFormat="1" applyFont="1" applyFill="1" applyBorder="1" applyAlignment="1">
      <alignment horizontal="left" vertical="center"/>
    </xf>
    <xf numFmtId="165" fontId="20" fillId="0" borderId="1" xfId="0" applyNumberFormat="1" applyFont="1" applyFill="1" applyBorder="1" applyAlignment="1">
      <alignment horizontal="left" vertical="center"/>
    </xf>
    <xf numFmtId="8" fontId="20" fillId="0" borderId="50" xfId="0" applyNumberFormat="1" applyFont="1" applyFill="1" applyBorder="1"/>
    <xf numFmtId="43" fontId="9" fillId="4" borderId="6" xfId="1" applyFont="1" applyFill="1" applyBorder="1"/>
    <xf numFmtId="0" fontId="18" fillId="0" borderId="60" xfId="0" applyNumberFormat="1" applyFont="1" applyFill="1" applyBorder="1" applyAlignment="1">
      <alignment horizontal="right"/>
    </xf>
    <xf numFmtId="40" fontId="26" fillId="0" borderId="18" xfId="1" applyNumberFormat="1" applyFont="1" applyFill="1" applyBorder="1"/>
    <xf numFmtId="43" fontId="9" fillId="4" borderId="9" xfId="1" applyFont="1" applyFill="1" applyBorder="1"/>
    <xf numFmtId="40" fontId="35" fillId="0" borderId="3" xfId="1" applyNumberFormat="1" applyFont="1" applyFill="1" applyBorder="1"/>
    <xf numFmtId="0" fontId="20" fillId="11" borderId="10" xfId="0" applyFont="1" applyFill="1" applyBorder="1" applyAlignment="1">
      <alignment horizontal="center"/>
    </xf>
    <xf numFmtId="0" fontId="20" fillId="11" borderId="11" xfId="0" applyFont="1" applyFill="1" applyBorder="1" applyAlignment="1">
      <alignment horizontal="center"/>
    </xf>
    <xf numFmtId="0" fontId="20" fillId="11" borderId="12" xfId="0" applyFont="1" applyFill="1" applyBorder="1" applyAlignment="1">
      <alignment horizontal="center"/>
    </xf>
    <xf numFmtId="0" fontId="20" fillId="2" borderId="35" xfId="0" applyFont="1" applyFill="1" applyBorder="1" applyAlignment="1">
      <alignment horizontal="center"/>
    </xf>
    <xf numFmtId="0" fontId="20" fillId="2" borderId="3" xfId="0" applyFont="1" applyFill="1" applyBorder="1" applyAlignment="1">
      <alignment horizontal="center"/>
    </xf>
    <xf numFmtId="0" fontId="20" fillId="2" borderId="18" xfId="0" applyFont="1" applyFill="1" applyBorder="1" applyAlignment="1">
      <alignment horizontal="center"/>
    </xf>
    <xf numFmtId="0" fontId="20" fillId="10" borderId="40" xfId="0" applyFont="1" applyFill="1" applyBorder="1" applyAlignment="1">
      <alignment horizontal="center"/>
    </xf>
    <xf numFmtId="0" fontId="20" fillId="10" borderId="38" xfId="0" applyFont="1" applyFill="1" applyBorder="1" applyAlignment="1">
      <alignment horizontal="center"/>
    </xf>
    <xf numFmtId="0" fontId="20" fillId="10" borderId="47" xfId="0" applyFont="1" applyFill="1" applyBorder="1" applyAlignment="1">
      <alignment horizontal="center"/>
    </xf>
    <xf numFmtId="0" fontId="20" fillId="11" borderId="10" xfId="0" applyFont="1" applyFill="1" applyBorder="1" applyAlignment="1">
      <alignment horizontal="center" vertical="center"/>
    </xf>
    <xf numFmtId="0" fontId="20" fillId="11" borderId="11" xfId="0" applyFont="1" applyFill="1" applyBorder="1" applyAlignment="1">
      <alignment horizontal="center" vertical="center"/>
    </xf>
    <xf numFmtId="0" fontId="20" fillId="11" borderId="12" xfId="0" applyFont="1" applyFill="1" applyBorder="1" applyAlignment="1">
      <alignment horizontal="center" vertical="center"/>
    </xf>
    <xf numFmtId="0" fontId="20" fillId="11" borderId="31" xfId="0" applyFont="1" applyFill="1" applyBorder="1" applyAlignment="1">
      <alignment horizontal="center" vertical="center"/>
    </xf>
    <xf numFmtId="0" fontId="20" fillId="11" borderId="32" xfId="0" applyFont="1" applyFill="1" applyBorder="1" applyAlignment="1">
      <alignment horizontal="center" vertical="center"/>
    </xf>
    <xf numFmtId="0" fontId="20" fillId="11" borderId="33" xfId="0" applyFont="1" applyFill="1" applyBorder="1" applyAlignment="1">
      <alignment horizontal="center" vertical="center"/>
    </xf>
    <xf numFmtId="0" fontId="33" fillId="2" borderId="0" xfId="0" applyFont="1" applyFill="1" applyBorder="1" applyAlignment="1">
      <alignment horizontal="center"/>
    </xf>
    <xf numFmtId="0" fontId="19" fillId="0" borderId="0" xfId="0" applyFont="1" applyFill="1" applyBorder="1" applyAlignment="1">
      <alignment horizontal="left" vertical="center" wrapText="1"/>
    </xf>
    <xf numFmtId="165" fontId="34" fillId="0" borderId="0" xfId="0" applyNumberFormat="1" applyFont="1" applyFill="1" applyBorder="1" applyAlignment="1">
      <alignment horizontal="center"/>
    </xf>
    <xf numFmtId="165" fontId="34" fillId="0" borderId="14" xfId="0" applyNumberFormat="1" applyFont="1" applyFill="1" applyBorder="1" applyAlignment="1">
      <alignment horizontal="center"/>
    </xf>
    <xf numFmtId="0" fontId="20" fillId="2" borderId="20" xfId="0" applyFont="1" applyFill="1" applyBorder="1" applyAlignment="1">
      <alignment horizontal="center"/>
    </xf>
    <xf numFmtId="0" fontId="20" fillId="2" borderId="29" xfId="0" applyFont="1" applyFill="1" applyBorder="1" applyAlignment="1">
      <alignment horizontal="center"/>
    </xf>
    <xf numFmtId="0" fontId="20" fillId="2" borderId="30" xfId="0" applyFont="1" applyFill="1" applyBorder="1" applyAlignment="1">
      <alignment horizontal="center"/>
    </xf>
    <xf numFmtId="0" fontId="20" fillId="2" borderId="27" xfId="0" applyFont="1" applyFill="1" applyBorder="1" applyAlignment="1">
      <alignment horizontal="center" wrapText="1"/>
    </xf>
    <xf numFmtId="0" fontId="20" fillId="2" borderId="28" xfId="0" applyFont="1" applyFill="1" applyBorder="1" applyAlignment="1">
      <alignment horizontal="center" wrapText="1"/>
    </xf>
    <xf numFmtId="0" fontId="20" fillId="2" borderId="48" xfId="0" applyFont="1" applyFill="1" applyBorder="1" applyAlignment="1">
      <alignment horizontal="center" wrapText="1"/>
    </xf>
    <xf numFmtId="22" fontId="27" fillId="2" borderId="0" xfId="0" applyNumberFormat="1" applyFont="1" applyFill="1" applyBorder="1" applyAlignment="1">
      <alignment horizontal="center"/>
    </xf>
    <xf numFmtId="22" fontId="27" fillId="2" borderId="14" xfId="0" applyNumberFormat="1" applyFont="1" applyFill="1" applyBorder="1" applyAlignment="1">
      <alignment horizontal="center"/>
    </xf>
    <xf numFmtId="0" fontId="20" fillId="2" borderId="34" xfId="0" applyFont="1" applyFill="1" applyBorder="1" applyAlignment="1">
      <alignment horizontal="center"/>
    </xf>
    <xf numFmtId="0" fontId="20" fillId="2" borderId="21" xfId="0" applyFont="1" applyFill="1" applyBorder="1" applyAlignment="1">
      <alignment horizontal="center"/>
    </xf>
    <xf numFmtId="0" fontId="20" fillId="2" borderId="15" xfId="0" applyFont="1" applyFill="1" applyBorder="1" applyAlignment="1">
      <alignment horizontal="center"/>
    </xf>
    <xf numFmtId="0" fontId="20" fillId="2" borderId="51" xfId="0" applyFont="1" applyFill="1" applyBorder="1" applyAlignment="1">
      <alignment horizontal="center"/>
    </xf>
    <xf numFmtId="0" fontId="20" fillId="2" borderId="52" xfId="0" applyFont="1" applyFill="1" applyBorder="1" applyAlignment="1">
      <alignment horizontal="center"/>
    </xf>
    <xf numFmtId="0" fontId="20" fillId="2" borderId="53" xfId="0" applyFont="1" applyFill="1" applyBorder="1" applyAlignment="1">
      <alignment horizontal="center"/>
    </xf>
    <xf numFmtId="0" fontId="20" fillId="10" borderId="36" xfId="0" applyFont="1" applyFill="1" applyBorder="1" applyAlignment="1">
      <alignment horizontal="center"/>
    </xf>
    <xf numFmtId="0" fontId="20" fillId="10" borderId="9" xfId="0" applyFont="1" applyFill="1" applyBorder="1" applyAlignment="1">
      <alignment horizontal="center"/>
    </xf>
    <xf numFmtId="0" fontId="20" fillId="10" borderId="19" xfId="0" applyFont="1" applyFill="1" applyBorder="1" applyAlignment="1">
      <alignment horizontal="center"/>
    </xf>
    <xf numFmtId="0" fontId="20" fillId="10" borderId="31" xfId="0" applyFont="1" applyFill="1" applyBorder="1" applyAlignment="1">
      <alignment horizontal="center"/>
    </xf>
    <xf numFmtId="0" fontId="20" fillId="10" borderId="32" xfId="0" applyFont="1" applyFill="1" applyBorder="1" applyAlignment="1">
      <alignment horizontal="center"/>
    </xf>
    <xf numFmtId="0" fontId="20" fillId="10" borderId="33" xfId="0" applyFont="1" applyFill="1" applyBorder="1" applyAlignment="1">
      <alignment horizontal="center"/>
    </xf>
    <xf numFmtId="0" fontId="20" fillId="2" borderId="55" xfId="0" applyFont="1" applyFill="1" applyBorder="1" applyAlignment="1">
      <alignment horizontal="center"/>
    </xf>
    <xf numFmtId="0" fontId="20" fillId="2" borderId="39" xfId="0" applyFont="1" applyFill="1" applyBorder="1" applyAlignment="1">
      <alignment horizontal="center"/>
    </xf>
    <xf numFmtId="0" fontId="20" fillId="2" borderId="56" xfId="0" applyFont="1" applyFill="1" applyBorder="1" applyAlignment="1">
      <alignment horizontal="center"/>
    </xf>
    <xf numFmtId="43" fontId="21" fillId="7" borderId="3" xfId="1" applyFont="1" applyFill="1" applyBorder="1"/>
    <xf numFmtId="40" fontId="26" fillId="0" borderId="15" xfId="1" applyNumberFormat="1" applyFont="1" applyFill="1" applyBorder="1"/>
    <xf numFmtId="43" fontId="2" fillId="0" borderId="3" xfId="1" applyFont="1" applyFill="1" applyBorder="1"/>
    <xf numFmtId="40" fontId="35" fillId="0" borderId="61" xfId="1" applyNumberFormat="1" applyFont="1" applyFill="1" applyBorder="1"/>
    <xf numFmtId="43" fontId="21" fillId="4" borderId="21" xfId="1" applyFont="1" applyFill="1" applyBorder="1"/>
    <xf numFmtId="43" fontId="9" fillId="4" borderId="21" xfId="1" applyFont="1" applyFill="1" applyBorder="1"/>
    <xf numFmtId="43" fontId="21" fillId="16" borderId="21" xfId="1" applyFont="1" applyFill="1" applyBorder="1" applyAlignment="1">
      <alignment horizontal="center" wrapText="1"/>
    </xf>
    <xf numFmtId="43" fontId="21" fillId="7" borderId="21" xfId="1" applyFont="1" applyFill="1" applyBorder="1"/>
    <xf numFmtId="0" fontId="18" fillId="0" borderId="35" xfId="0" applyNumberFormat="1" applyFont="1" applyFill="1" applyBorder="1" applyAlignment="1">
      <alignment horizontal="right"/>
    </xf>
  </cellXfs>
  <cellStyles count="3">
    <cellStyle name="Comma" xfId="1" builtinId="3"/>
    <cellStyle name="Hyperlink" xfId="2" builtinId="8"/>
    <cellStyle name="Normal" xfId="0" builtinId="0"/>
  </cellStyles>
  <dxfs count="3">
    <dxf>
      <font>
        <condense val="0"/>
        <extend val="0"/>
        <color indexed="10"/>
      </font>
    </dxf>
    <dxf>
      <font>
        <color rgb="FF00B050"/>
      </font>
    </dxf>
    <dxf>
      <font>
        <condense val="0"/>
        <extend val="0"/>
        <color indexed="10"/>
      </font>
    </dxf>
  </dxfs>
  <tableStyles count="0" defaultTableStyle="TableStyleMedium9" defaultPivotStyle="PivotStyleLight16"/>
  <colors>
    <mruColors>
      <color rgb="FFFFFF99"/>
      <color rgb="FFF68E38"/>
      <color rgb="FFD0E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31" fmlaLink="Withholding!$A$1" fmlaRange="Withholding!$B$2:$B$423" noThreeD="1" sel="1" val="0"/>
</file>

<file path=xl/ctrlProps/ctrlProp2.xml><?xml version="1.0" encoding="utf-8"?>
<formControlPr xmlns="http://schemas.microsoft.com/office/spreadsheetml/2009/9/main" objectType="Drop" dropLines="10" dropStyle="combo" dx="31" fmlaLink="Withholding!$A$1" fmlaRange="Withholding!$A$2:$B$423" noThreeD="1" sel="1" val="0"/>
</file>

<file path=xl/ctrlProps/ctrlProp3.xml><?xml version="1.0" encoding="utf-8"?>
<formControlPr xmlns="http://schemas.microsoft.com/office/spreadsheetml/2009/9/main" objectType="Drop" dropLines="10" dropStyle="combo" dx="31" fmlaLink="Withholding!$A$1" fmlaRange="Withholding!$B$2:$B$42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2032000</xdr:colOff>
          <xdr:row>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xdr:row>
          <xdr:rowOff>0</xdr:rowOff>
        </xdr:from>
        <xdr:to>
          <xdr:col>6</xdr:col>
          <xdr:colOff>1079500</xdr:colOff>
          <xdr:row>4</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65508</xdr:row>
          <xdr:rowOff>0</xdr:rowOff>
        </xdr:from>
        <xdr:to>
          <xdr:col>3</xdr:col>
          <xdr:colOff>2032000</xdr:colOff>
          <xdr:row>65508</xdr:row>
          <xdr:rowOff>12700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6"/>
  <sheetViews>
    <sheetView tabSelected="1" zoomScale="85" zoomScaleNormal="85" workbookViewId="0"/>
  </sheetViews>
  <sheetFormatPr defaultColWidth="9.1796875" defaultRowHeight="14" x14ac:dyDescent="0.3"/>
  <cols>
    <col min="1" max="1" width="3.7265625" style="55" customWidth="1"/>
    <col min="2" max="2" width="33.453125" style="55" customWidth="1"/>
    <col min="3" max="3" width="2.453125" style="55" customWidth="1"/>
    <col min="4" max="4" width="32.7265625" style="55" customWidth="1"/>
    <col min="5" max="7" width="16.453125" style="55" customWidth="1"/>
    <col min="8" max="8" width="19.1796875" style="55" bestFit="1" customWidth="1"/>
    <col min="9" max="9" width="16.81640625" style="55" bestFit="1" customWidth="1"/>
    <col min="10" max="10" width="3.7265625" style="55" customWidth="1"/>
    <col min="11" max="16384" width="9.1796875" style="55"/>
  </cols>
  <sheetData>
    <row r="1" spans="1:10" x14ac:dyDescent="0.3">
      <c r="A1" s="91"/>
      <c r="B1" s="52"/>
      <c r="C1" s="53"/>
      <c r="D1" s="53"/>
      <c r="E1" s="53"/>
      <c r="F1" s="53"/>
      <c r="G1" s="53"/>
      <c r="H1" s="53"/>
      <c r="I1" s="53"/>
      <c r="J1" s="54"/>
    </row>
    <row r="2" spans="1:10" ht="20" x14ac:dyDescent="0.4">
      <c r="A2" s="92"/>
      <c r="B2" s="195" t="s">
        <v>505</v>
      </c>
      <c r="C2" s="195"/>
      <c r="D2" s="195"/>
      <c r="E2" s="195"/>
      <c r="F2" s="195"/>
      <c r="G2" s="195"/>
      <c r="H2" s="195"/>
      <c r="I2" s="195"/>
      <c r="J2" s="57"/>
    </row>
    <row r="3" spans="1:10" x14ac:dyDescent="0.3">
      <c r="A3" s="92"/>
      <c r="B3" s="58"/>
      <c r="C3" s="58"/>
      <c r="D3" s="58"/>
      <c r="E3" s="58"/>
      <c r="F3" s="58"/>
      <c r="G3" s="58"/>
      <c r="H3" s="58"/>
      <c r="I3" s="205" t="s">
        <v>466</v>
      </c>
      <c r="J3" s="206"/>
    </row>
    <row r="4" spans="1:10" s="61" customFormat="1" ht="15.5" x14ac:dyDescent="0.35">
      <c r="A4" s="93"/>
      <c r="B4" s="95" t="s">
        <v>0</v>
      </c>
      <c r="D4" s="60"/>
      <c r="E4" s="59"/>
      <c r="F4" s="74" t="s">
        <v>1</v>
      </c>
      <c r="G4" s="59"/>
      <c r="H4" s="59"/>
      <c r="I4" s="197">
        <v>44335</v>
      </c>
      <c r="J4" s="198"/>
    </row>
    <row r="5" spans="1:10" x14ac:dyDescent="0.3">
      <c r="A5" s="92"/>
      <c r="B5" s="58"/>
      <c r="C5" s="58"/>
      <c r="D5" s="62"/>
      <c r="E5" s="58"/>
      <c r="F5" s="58"/>
      <c r="G5" s="58"/>
      <c r="H5" s="58"/>
      <c r="I5" s="58"/>
      <c r="J5" s="57"/>
    </row>
    <row r="6" spans="1:10" s="61" customFormat="1" ht="15.75" customHeight="1" x14ac:dyDescent="0.35">
      <c r="A6" s="93"/>
      <c r="B6" s="196" t="s">
        <v>512</v>
      </c>
      <c r="C6" s="196"/>
      <c r="D6" s="196"/>
      <c r="E6" s="196"/>
      <c r="F6" s="196"/>
      <c r="G6" s="196"/>
      <c r="H6" s="196"/>
      <c r="I6" s="196"/>
      <c r="J6" s="63"/>
    </row>
    <row r="7" spans="1:10" ht="15" customHeight="1" x14ac:dyDescent="0.3">
      <c r="A7" s="92"/>
      <c r="B7" s="196"/>
      <c r="C7" s="196"/>
      <c r="D7" s="196"/>
      <c r="E7" s="196"/>
      <c r="F7" s="196"/>
      <c r="G7" s="196"/>
      <c r="H7" s="196"/>
      <c r="I7" s="196"/>
      <c r="J7" s="57"/>
    </row>
    <row r="8" spans="1:10" s="61" customFormat="1" ht="103.5" customHeight="1" x14ac:dyDescent="0.35">
      <c r="A8" s="93"/>
      <c r="B8" s="196"/>
      <c r="C8" s="196"/>
      <c r="D8" s="196"/>
      <c r="E8" s="196"/>
      <c r="F8" s="196"/>
      <c r="G8" s="196"/>
      <c r="H8" s="196"/>
      <c r="I8" s="196"/>
      <c r="J8" s="63"/>
    </row>
    <row r="9" spans="1:10" s="61" customFormat="1" ht="12.75" customHeight="1" thickBot="1" x14ac:dyDescent="0.4">
      <c r="A9" s="93"/>
      <c r="B9" s="59"/>
      <c r="C9" s="1"/>
      <c r="D9" s="1"/>
      <c r="E9" s="1"/>
      <c r="F9" s="1"/>
      <c r="G9" s="59"/>
      <c r="H9" s="59"/>
      <c r="I9" s="59"/>
      <c r="J9" s="63"/>
    </row>
    <row r="10" spans="1:10" x14ac:dyDescent="0.3">
      <c r="A10" s="92"/>
      <c r="B10" s="64"/>
      <c r="C10" s="199" t="s">
        <v>470</v>
      </c>
      <c r="D10" s="200"/>
      <c r="E10" s="200"/>
      <c r="F10" s="200"/>
      <c r="G10" s="201"/>
      <c r="H10" s="122">
        <f>INDEX(Withholding!$E$2:$E$425,Withholding!$A$1)</f>
        <v>0</v>
      </c>
      <c r="I10" s="58"/>
      <c r="J10" s="57"/>
    </row>
    <row r="11" spans="1:10" ht="15.75" customHeight="1" thickBot="1" x14ac:dyDescent="0.35">
      <c r="A11" s="92"/>
      <c r="B11" s="3"/>
      <c r="C11" s="202" t="s">
        <v>471</v>
      </c>
      <c r="D11" s="203"/>
      <c r="E11" s="203"/>
      <c r="F11" s="203"/>
      <c r="G11" s="204"/>
      <c r="H11" s="123">
        <f>INDEX(Withholding!$H$2:$H$425,Withholding!$A$1)</f>
        <v>0</v>
      </c>
      <c r="I11" s="58"/>
      <c r="J11" s="57"/>
    </row>
    <row r="12" spans="1:10" s="64" customFormat="1" ht="14.5" thickBot="1" x14ac:dyDescent="0.35">
      <c r="A12" s="92"/>
      <c r="B12" s="2"/>
      <c r="C12" s="216" t="s">
        <v>472</v>
      </c>
      <c r="D12" s="217"/>
      <c r="E12" s="217"/>
      <c r="F12" s="217"/>
      <c r="G12" s="218"/>
      <c r="H12" s="98">
        <f>+H10-H11</f>
        <v>0</v>
      </c>
      <c r="I12" s="58"/>
      <c r="J12" s="57"/>
    </row>
    <row r="13" spans="1:10" s="64" customFormat="1" ht="14.5" thickBot="1" x14ac:dyDescent="0.35">
      <c r="A13" s="92"/>
      <c r="B13" s="2"/>
      <c r="C13" s="2"/>
      <c r="D13" s="2"/>
      <c r="E13" s="2"/>
      <c r="F13" s="2"/>
      <c r="G13" s="2"/>
      <c r="H13" s="104"/>
      <c r="I13" s="58"/>
      <c r="J13" s="57"/>
    </row>
    <row r="14" spans="1:10" s="64" customFormat="1" x14ac:dyDescent="0.3">
      <c r="A14" s="92"/>
      <c r="B14" s="2"/>
      <c r="C14" s="207" t="s">
        <v>469</v>
      </c>
      <c r="D14" s="208"/>
      <c r="E14" s="208"/>
      <c r="F14" s="208"/>
      <c r="G14" s="209"/>
      <c r="H14" s="122">
        <f>-INDEX(Withholding!$J$2:$J$425,Withholding!$A$1)</f>
        <v>0</v>
      </c>
      <c r="I14" s="58"/>
      <c r="J14" s="57"/>
    </row>
    <row r="15" spans="1:10" s="64" customFormat="1" x14ac:dyDescent="0.3">
      <c r="A15" s="92"/>
      <c r="B15" s="2"/>
      <c r="C15" s="183" t="s">
        <v>467</v>
      </c>
      <c r="D15" s="184"/>
      <c r="E15" s="184"/>
      <c r="F15" s="184"/>
      <c r="G15" s="185"/>
      <c r="H15" s="124">
        <f>-INDEX(Withholding!$K$2:$K$425,Withholding!$A$1)</f>
        <v>0</v>
      </c>
      <c r="I15" s="58"/>
      <c r="J15" s="57"/>
    </row>
    <row r="16" spans="1:10" s="64" customFormat="1" x14ac:dyDescent="0.3">
      <c r="A16" s="92"/>
      <c r="B16" s="2"/>
      <c r="C16" s="183" t="s">
        <v>488</v>
      </c>
      <c r="D16" s="184"/>
      <c r="E16" s="184"/>
      <c r="F16" s="184"/>
      <c r="G16" s="185"/>
      <c r="H16" s="124">
        <f>-INDEX(Withholding!$L$2:$L$425,Withholding!$A$1)</f>
        <v>0</v>
      </c>
      <c r="I16" s="58"/>
      <c r="J16" s="57"/>
    </row>
    <row r="17" spans="1:10" s="64" customFormat="1" x14ac:dyDescent="0.3">
      <c r="A17" s="92"/>
      <c r="B17" s="2"/>
      <c r="C17" s="210" t="s">
        <v>468</v>
      </c>
      <c r="D17" s="211"/>
      <c r="E17" s="211"/>
      <c r="F17" s="211"/>
      <c r="G17" s="212"/>
      <c r="H17" s="125">
        <f>-INDEX(Withholding!$M$2:$M$425,Withholding!$A$1)</f>
        <v>0</v>
      </c>
      <c r="I17" s="58"/>
      <c r="J17" s="57"/>
    </row>
    <row r="18" spans="1:10" s="64" customFormat="1" x14ac:dyDescent="0.3">
      <c r="A18" s="92"/>
      <c r="B18" s="2"/>
      <c r="C18" s="183" t="s">
        <v>493</v>
      </c>
      <c r="D18" s="184"/>
      <c r="E18" s="184"/>
      <c r="F18" s="184"/>
      <c r="G18" s="185"/>
      <c r="H18" s="126">
        <f>-INDEX(Withholding!$N$2:$N$425,Withholding!$A$1)</f>
        <v>0</v>
      </c>
      <c r="I18" s="58"/>
      <c r="J18" s="57"/>
    </row>
    <row r="19" spans="1:10" s="64" customFormat="1" ht="14.5" thickBot="1" x14ac:dyDescent="0.35">
      <c r="A19" s="92"/>
      <c r="B19" s="2"/>
      <c r="C19" s="219" t="s">
        <v>495</v>
      </c>
      <c r="D19" s="220"/>
      <c r="E19" s="220"/>
      <c r="F19" s="220"/>
      <c r="G19" s="221"/>
      <c r="H19" s="127">
        <f>-INDEX(Withholding!$O$2:$O$425,Withholding!$A$1)</f>
        <v>0</v>
      </c>
      <c r="I19" s="58"/>
      <c r="J19" s="57"/>
    </row>
    <row r="20" spans="1:10" s="64" customFormat="1" ht="14.5" thickBot="1" x14ac:dyDescent="0.35">
      <c r="A20" s="92"/>
      <c r="B20" s="2"/>
      <c r="C20" s="213" t="s">
        <v>491</v>
      </c>
      <c r="D20" s="214"/>
      <c r="E20" s="214"/>
      <c r="F20" s="214"/>
      <c r="G20" s="215"/>
      <c r="H20" s="98">
        <f>SUM(H14:H19)</f>
        <v>0</v>
      </c>
      <c r="I20" s="58"/>
      <c r="J20" s="57"/>
    </row>
    <row r="21" spans="1:10" s="64" customFormat="1" ht="14.5" thickBot="1" x14ac:dyDescent="0.35">
      <c r="A21" s="92"/>
      <c r="B21" s="2"/>
      <c r="C21" s="2"/>
      <c r="D21" s="2"/>
      <c r="E21" s="2"/>
      <c r="F21" s="2"/>
      <c r="G21" s="2"/>
      <c r="H21" s="69"/>
      <c r="I21" s="58"/>
      <c r="J21" s="57"/>
    </row>
    <row r="22" spans="1:10" s="64" customFormat="1" ht="14.5" thickBot="1" x14ac:dyDescent="0.35">
      <c r="A22" s="92"/>
      <c r="B22" s="2"/>
      <c r="C22" s="186" t="s">
        <v>489</v>
      </c>
      <c r="D22" s="187"/>
      <c r="E22" s="187"/>
      <c r="F22" s="187"/>
      <c r="G22" s="188"/>
      <c r="H22" s="99">
        <f>IF(H12&lt;0,H12+H20,H20)</f>
        <v>0</v>
      </c>
      <c r="I22" s="58"/>
      <c r="J22" s="57"/>
    </row>
    <row r="23" spans="1:10" s="64" customFormat="1" ht="14.5" thickBot="1" x14ac:dyDescent="0.35">
      <c r="A23" s="92"/>
      <c r="B23" s="2"/>
      <c r="C23" s="2"/>
      <c r="D23" s="2"/>
      <c r="E23" s="2"/>
      <c r="F23" s="2"/>
      <c r="G23" s="2"/>
      <c r="H23" s="2"/>
      <c r="I23" s="58"/>
      <c r="J23" s="57"/>
    </row>
    <row r="24" spans="1:10" s="64" customFormat="1" ht="14.5" thickBot="1" x14ac:dyDescent="0.35">
      <c r="A24" s="92"/>
      <c r="B24" s="68" t="s">
        <v>460</v>
      </c>
      <c r="C24" s="2"/>
      <c r="D24" s="103" t="s">
        <v>484</v>
      </c>
      <c r="E24" s="105" t="s">
        <v>476</v>
      </c>
      <c r="F24" s="105" t="s">
        <v>477</v>
      </c>
      <c r="G24" s="105" t="s">
        <v>478</v>
      </c>
      <c r="H24" s="2"/>
      <c r="I24" s="58"/>
      <c r="J24" s="57"/>
    </row>
    <row r="25" spans="1:10" s="64" customFormat="1" ht="14.5" thickBot="1" x14ac:dyDescent="0.35">
      <c r="A25" s="92"/>
      <c r="B25" s="109" t="s">
        <v>486</v>
      </c>
      <c r="C25" s="58"/>
      <c r="D25" s="192" t="s">
        <v>2</v>
      </c>
      <c r="E25" s="193"/>
      <c r="F25" s="193"/>
      <c r="G25" s="194"/>
      <c r="H25" s="56"/>
      <c r="I25" s="58"/>
      <c r="J25" s="57"/>
    </row>
    <row r="26" spans="1:10" s="64" customFormat="1" ht="14.5" thickBot="1" x14ac:dyDescent="0.35">
      <c r="A26" s="92"/>
      <c r="B26" s="118" t="s">
        <v>487</v>
      </c>
      <c r="C26" s="58"/>
      <c r="D26" s="96">
        <v>44095</v>
      </c>
      <c r="E26" s="108">
        <f>INDEX(Eligibility!$C$2:$C$423,Eligibility!$A$1)</f>
        <v>0</v>
      </c>
      <c r="F26" s="108">
        <v>0</v>
      </c>
      <c r="G26" s="108">
        <f>E26+F26</f>
        <v>0</v>
      </c>
      <c r="H26" s="56"/>
      <c r="I26" s="58"/>
      <c r="J26" s="57"/>
    </row>
    <row r="27" spans="1:10" s="64" customFormat="1" ht="14.5" thickBot="1" x14ac:dyDescent="0.35">
      <c r="A27" s="92"/>
      <c r="B27" s="110" t="s">
        <v>490</v>
      </c>
      <c r="D27" s="138">
        <v>44172</v>
      </c>
      <c r="E27" s="139">
        <f>INDEX(Eligibility!$D$2:$D$423,Eligibility!$A$1)</f>
        <v>0</v>
      </c>
      <c r="F27" s="139">
        <f>-INDEX(Withholding!$Q$2:$Q$425,Withholding!$A$1)</f>
        <v>0</v>
      </c>
      <c r="G27" s="139">
        <f>E27+F27</f>
        <v>0</v>
      </c>
      <c r="H27" s="56"/>
      <c r="I27" s="58"/>
      <c r="J27" s="57"/>
    </row>
    <row r="28" spans="1:10" s="64" customFormat="1" ht="14.5" thickBot="1" x14ac:dyDescent="0.35">
      <c r="A28" s="92"/>
      <c r="B28" s="58"/>
      <c r="C28" s="58"/>
      <c r="D28" s="138">
        <v>44277</v>
      </c>
      <c r="E28" s="139">
        <f>INDEX(Eligibility!$E$2:$E$423,Eligibility!$A$1)</f>
        <v>0</v>
      </c>
      <c r="F28" s="139">
        <f>-INDEX(Withholding!$R$2:$R$425,Withholding!$A$1)</f>
        <v>0</v>
      </c>
      <c r="G28" s="139">
        <f>E28+F28</f>
        <v>0</v>
      </c>
      <c r="H28" s="56"/>
      <c r="I28" s="58"/>
      <c r="J28" s="57"/>
    </row>
    <row r="29" spans="1:10" s="64" customFormat="1" ht="14.5" thickBot="1" x14ac:dyDescent="0.35">
      <c r="A29" s="92"/>
      <c r="B29" s="58"/>
      <c r="C29" s="58"/>
      <c r="D29" s="138">
        <v>44368</v>
      </c>
      <c r="E29" s="139">
        <f>INDEX(Eligibility!$F$2:$F$423,Eligibility!$A$1)</f>
        <v>0</v>
      </c>
      <c r="F29" s="139">
        <f>-INDEX(Withholding!$S$2:$S$425,Withholding!$A$1)</f>
        <v>0</v>
      </c>
      <c r="G29" s="139">
        <f>E29+F29</f>
        <v>0</v>
      </c>
      <c r="H29" s="56"/>
      <c r="I29" s="58"/>
      <c r="J29" s="57"/>
    </row>
    <row r="30" spans="1:10" s="64" customFormat="1" ht="14.5" thickBot="1" x14ac:dyDescent="0.35">
      <c r="A30" s="92"/>
      <c r="B30" s="58"/>
      <c r="C30" s="58"/>
      <c r="D30" s="173">
        <v>44403</v>
      </c>
      <c r="E30" s="139">
        <f>INDEX(Eligibility!$G$2:$G$423,Eligibility!$A$1)</f>
        <v>0</v>
      </c>
      <c r="F30" s="174">
        <v>0</v>
      </c>
      <c r="G30" s="139">
        <f>E30+F30</f>
        <v>0</v>
      </c>
      <c r="H30" s="56"/>
      <c r="I30" s="58"/>
      <c r="J30" s="57"/>
    </row>
    <row r="31" spans="1:10" s="64" customFormat="1" ht="14.5" thickBot="1" x14ac:dyDescent="0.35">
      <c r="A31" s="92"/>
      <c r="B31" s="58"/>
      <c r="C31" s="58"/>
      <c r="D31" s="100" t="s">
        <v>479</v>
      </c>
      <c r="E31" s="101">
        <f>SUM(E26:E30)</f>
        <v>0</v>
      </c>
      <c r="F31" s="101">
        <f>SUM(F26:F30)</f>
        <v>0</v>
      </c>
      <c r="G31" s="101">
        <f>SUM(G26:G30)</f>
        <v>0</v>
      </c>
      <c r="H31" s="56"/>
      <c r="I31" s="58"/>
      <c r="J31" s="57"/>
    </row>
    <row r="32" spans="1:10" s="64" customFormat="1" ht="14.5" thickBot="1" x14ac:dyDescent="0.35">
      <c r="A32" s="92"/>
      <c r="B32" s="58"/>
      <c r="C32" s="58"/>
      <c r="D32" s="189" t="s">
        <v>3</v>
      </c>
      <c r="E32" s="190"/>
      <c r="F32" s="190"/>
      <c r="G32" s="191"/>
      <c r="H32" s="56"/>
      <c r="I32" s="58"/>
      <c r="J32" s="57"/>
    </row>
    <row r="33" spans="1:10" s="64" customFormat="1" ht="14.5" thickBot="1" x14ac:dyDescent="0.35">
      <c r="A33" s="92"/>
      <c r="B33" s="58"/>
      <c r="C33" s="58"/>
      <c r="D33" s="89">
        <v>44172</v>
      </c>
      <c r="E33" s="139">
        <f>INDEX(Eligibility!$H$2:$H$423,Eligibility!$A$1)</f>
        <v>0</v>
      </c>
      <c r="F33" s="139">
        <f>-INDEX(Withholding!$T$2:$T$425,Withholding!$A$1)</f>
        <v>0</v>
      </c>
      <c r="G33" s="139">
        <f>E33+F33</f>
        <v>0</v>
      </c>
      <c r="H33" s="56"/>
      <c r="I33" s="58"/>
      <c r="J33" s="57"/>
    </row>
    <row r="34" spans="1:10" s="64" customFormat="1" ht="14.5" thickBot="1" x14ac:dyDescent="0.35">
      <c r="A34" s="92"/>
      <c r="B34" s="58"/>
      <c r="C34" s="58"/>
      <c r="D34" s="138">
        <v>44277</v>
      </c>
      <c r="E34" s="139">
        <f>INDEX(Eligibility!$I$2:$I$423,Eligibility!$A$1)</f>
        <v>0</v>
      </c>
      <c r="F34" s="139">
        <f>-INDEX(Withholding!$U$2:$U$425,Withholding!$A$1)</f>
        <v>0</v>
      </c>
      <c r="G34" s="139">
        <f>E34+F34</f>
        <v>0</v>
      </c>
      <c r="H34" s="56"/>
      <c r="I34" s="58"/>
      <c r="J34" s="57"/>
    </row>
    <row r="35" spans="1:10" s="64" customFormat="1" ht="14.5" thickBot="1" x14ac:dyDescent="0.35">
      <c r="A35" s="92"/>
      <c r="B35" s="58"/>
      <c r="C35" s="58"/>
      <c r="D35" s="172">
        <v>44368</v>
      </c>
      <c r="E35" s="139">
        <f>INDEX(Eligibility!$J$2:$J$423,Eligibility!$A$1)</f>
        <v>0</v>
      </c>
      <c r="F35" s="139">
        <f>-INDEX(Withholding!$V$2:$V$425,Withholding!$A$1)</f>
        <v>0</v>
      </c>
      <c r="G35" s="139">
        <f>E35+F35</f>
        <v>0</v>
      </c>
      <c r="H35" s="56"/>
      <c r="I35" s="58"/>
      <c r="J35" s="57"/>
    </row>
    <row r="36" spans="1:10" s="64" customFormat="1" ht="14.5" thickBot="1" x14ac:dyDescent="0.35">
      <c r="A36" s="92"/>
      <c r="B36" s="58"/>
      <c r="C36" s="58"/>
      <c r="D36" s="100" t="s">
        <v>480</v>
      </c>
      <c r="E36" s="101">
        <f>SUM(E33:E35)</f>
        <v>0</v>
      </c>
      <c r="F36" s="101">
        <f>SUM(F33:F35)</f>
        <v>0</v>
      </c>
      <c r="G36" s="101">
        <f>SUM(G33:G35)</f>
        <v>0</v>
      </c>
      <c r="H36" s="56"/>
      <c r="I36" s="58"/>
      <c r="J36" s="57"/>
    </row>
    <row r="37" spans="1:10" s="64" customFormat="1" ht="14.5" thickBot="1" x14ac:dyDescent="0.35">
      <c r="A37" s="92"/>
      <c r="B37" s="58"/>
      <c r="C37" s="58"/>
      <c r="D37" s="189" t="s">
        <v>53</v>
      </c>
      <c r="E37" s="190"/>
      <c r="F37" s="190"/>
      <c r="G37" s="191"/>
      <c r="H37" s="58"/>
      <c r="I37" s="58"/>
      <c r="J37" s="57"/>
    </row>
    <row r="38" spans="1:10" s="64" customFormat="1" ht="14.5" thickBot="1" x14ac:dyDescent="0.35">
      <c r="A38" s="92"/>
      <c r="B38" s="58"/>
      <c r="C38" s="58"/>
      <c r="D38" s="138" t="s">
        <v>506</v>
      </c>
      <c r="E38" s="139">
        <f>INDEX(Eligibility!$K$2:$K$423,Eligibility!$A$1)</f>
        <v>0</v>
      </c>
      <c r="F38" s="139">
        <f>-INDEX(Withholding!$W$2:$W$425,Withholding!$A$1)</f>
        <v>0</v>
      </c>
      <c r="G38" s="139">
        <f>E38+F38</f>
        <v>0</v>
      </c>
      <c r="H38" s="58"/>
      <c r="I38" s="58"/>
      <c r="J38" s="57"/>
    </row>
    <row r="39" spans="1:10" s="64" customFormat="1" ht="14.5" thickBot="1" x14ac:dyDescent="0.35">
      <c r="A39" s="92"/>
      <c r="B39" s="58"/>
      <c r="C39" s="58"/>
      <c r="D39" s="189" t="s">
        <v>461</v>
      </c>
      <c r="E39" s="190"/>
      <c r="F39" s="190"/>
      <c r="G39" s="191"/>
      <c r="H39" s="58"/>
      <c r="I39" s="58"/>
      <c r="J39" s="57"/>
    </row>
    <row r="40" spans="1:10" s="64" customFormat="1" ht="14.5" thickBot="1" x14ac:dyDescent="0.35">
      <c r="A40" s="92"/>
      <c r="B40" s="58"/>
      <c r="C40" s="58"/>
      <c r="D40" s="90">
        <v>44151</v>
      </c>
      <c r="E40" s="108">
        <f>INDEX(Eligibility!$L$2:$L$423,Eligibility!$A$1)</f>
        <v>0</v>
      </c>
      <c r="F40" s="108">
        <f>-INDEX(Withholding!$X$2:$X$425,Withholding!$A$1)</f>
        <v>0</v>
      </c>
      <c r="G40" s="108">
        <f>E40+F40</f>
        <v>0</v>
      </c>
      <c r="H40" s="58"/>
      <c r="I40" s="58"/>
      <c r="J40" s="57"/>
    </row>
    <row r="41" spans="1:10" s="64" customFormat="1" ht="14.5" thickBot="1" x14ac:dyDescent="0.35">
      <c r="A41" s="92"/>
      <c r="B41" s="58"/>
      <c r="C41" s="58"/>
      <c r="D41" s="160">
        <v>44243</v>
      </c>
      <c r="E41" s="139">
        <f>INDEX(Eligibility!$M$2:$M$423,Eligibility!$A$1)</f>
        <v>0</v>
      </c>
      <c r="F41" s="139">
        <f>-INDEX(Withholding!$Y$2:$Y$425,Withholding!$A$1)</f>
        <v>0</v>
      </c>
      <c r="G41" s="139">
        <f>E41+F41</f>
        <v>0</v>
      </c>
      <c r="H41" s="58"/>
      <c r="I41" s="58"/>
      <c r="J41" s="57"/>
    </row>
    <row r="42" spans="1:10" s="64" customFormat="1" ht="14.5" thickBot="1" x14ac:dyDescent="0.35">
      <c r="A42" s="92"/>
      <c r="B42" s="58"/>
      <c r="C42" s="58"/>
      <c r="D42" s="172">
        <v>44361</v>
      </c>
      <c r="E42" s="139">
        <f>INDEX(Eligibility!$N$2:$N$423,Eligibility!$A$1)</f>
        <v>0</v>
      </c>
      <c r="F42" s="139">
        <f>-INDEX(Withholding!$Z$2:$Z$425,Withholding!$A$1)</f>
        <v>0</v>
      </c>
      <c r="G42" s="139">
        <f>E42+F42</f>
        <v>0</v>
      </c>
      <c r="H42" s="58"/>
      <c r="I42" s="58"/>
      <c r="J42" s="57"/>
    </row>
    <row r="43" spans="1:10" s="64" customFormat="1" ht="14.5" thickBot="1" x14ac:dyDescent="0.35">
      <c r="A43" s="92"/>
      <c r="B43" s="58"/>
      <c r="C43" s="58"/>
      <c r="D43" s="100" t="s">
        <v>481</v>
      </c>
      <c r="E43" s="101">
        <f>SUM(E40:E42)</f>
        <v>0</v>
      </c>
      <c r="F43" s="101">
        <f>SUM(F40:F42)</f>
        <v>0</v>
      </c>
      <c r="G43" s="101">
        <f>SUM(G40:G42)</f>
        <v>0</v>
      </c>
      <c r="H43" s="58"/>
      <c r="I43" s="58"/>
      <c r="J43" s="57"/>
    </row>
    <row r="44" spans="1:10" s="64" customFormat="1" ht="14.5" thickBot="1" x14ac:dyDescent="0.35">
      <c r="A44" s="92"/>
      <c r="B44" s="58"/>
      <c r="C44" s="58"/>
      <c r="D44" s="189" t="s">
        <v>51</v>
      </c>
      <c r="E44" s="190"/>
      <c r="F44" s="190"/>
      <c r="G44" s="191"/>
      <c r="H44" s="58"/>
      <c r="I44" s="58"/>
      <c r="J44" s="57"/>
    </row>
    <row r="45" spans="1:10" s="64" customFormat="1" ht="14.5" thickBot="1" x14ac:dyDescent="0.35">
      <c r="A45" s="92"/>
      <c r="B45" s="58"/>
      <c r="C45" s="58"/>
      <c r="D45" s="163" t="s">
        <v>507</v>
      </c>
      <c r="E45" s="139">
        <f>INDEX(Eligibility!$O$2:$O$423,Eligibility!$A$1)</f>
        <v>0</v>
      </c>
      <c r="F45" s="139">
        <f>-INDEX(Withholding!$AA$2:$AA$425,Withholding!$A$1)</f>
        <v>0</v>
      </c>
      <c r="G45" s="139">
        <f>E45+F45</f>
        <v>0</v>
      </c>
      <c r="H45" s="58"/>
      <c r="I45" s="58"/>
      <c r="J45" s="57"/>
    </row>
    <row r="46" spans="1:10" s="64" customFormat="1" ht="14.5" thickBot="1" x14ac:dyDescent="0.35">
      <c r="A46" s="92"/>
      <c r="B46" s="58"/>
      <c r="C46" s="58"/>
      <c r="D46" s="189" t="s">
        <v>501</v>
      </c>
      <c r="E46" s="190"/>
      <c r="F46" s="190"/>
      <c r="G46" s="191"/>
      <c r="H46" s="58"/>
      <c r="I46" s="58"/>
      <c r="J46" s="57"/>
    </row>
    <row r="47" spans="1:10" s="64" customFormat="1" ht="14.5" thickBot="1" x14ac:dyDescent="0.35">
      <c r="A47" s="92"/>
      <c r="B47" s="58"/>
      <c r="C47" s="58"/>
      <c r="D47" s="163" t="s">
        <v>508</v>
      </c>
      <c r="E47" s="139">
        <f>INDEX(Eligibility!$P$2:$P$423,Eligibility!$A$1)</f>
        <v>0</v>
      </c>
      <c r="F47" s="139">
        <f>-INDEX(Withholding!$AB$2:$AB$425,Withholding!$A$1)</f>
        <v>0</v>
      </c>
      <c r="G47" s="139">
        <f>E47+F47</f>
        <v>0</v>
      </c>
      <c r="H47" s="58"/>
      <c r="I47" s="58"/>
      <c r="J47" s="57"/>
    </row>
    <row r="48" spans="1:10" s="64" customFormat="1" ht="14.5" thickBot="1" x14ac:dyDescent="0.35">
      <c r="A48" s="92"/>
      <c r="B48" s="58"/>
      <c r="C48" s="58"/>
      <c r="D48" s="189" t="s">
        <v>494</v>
      </c>
      <c r="E48" s="190"/>
      <c r="F48" s="190"/>
      <c r="G48" s="191"/>
      <c r="H48" s="58"/>
      <c r="I48" s="58"/>
      <c r="J48" s="57"/>
    </row>
    <row r="49" spans="1:10" s="64" customFormat="1" ht="14.5" thickBot="1" x14ac:dyDescent="0.35">
      <c r="A49" s="92"/>
      <c r="B49" s="58"/>
      <c r="C49" s="58"/>
      <c r="D49" s="89">
        <v>44221</v>
      </c>
      <c r="E49" s="139">
        <f>INDEX(Eligibility!$Q$2:$Q$423,Eligibility!$A$1)</f>
        <v>0</v>
      </c>
      <c r="F49" s="139">
        <f>-INDEX(Withholding!$AC$2:$AC$425,Withholding!$A$1)</f>
        <v>0</v>
      </c>
      <c r="G49" s="139">
        <f>E49+F49</f>
        <v>0</v>
      </c>
      <c r="H49" s="58"/>
      <c r="I49" s="58"/>
      <c r="J49" s="57"/>
    </row>
    <row r="50" spans="1:10" s="64" customFormat="1" ht="14.5" thickBot="1" x14ac:dyDescent="0.35">
      <c r="A50" s="92"/>
      <c r="B50" s="58"/>
      <c r="C50" s="58"/>
      <c r="D50" s="138">
        <v>44368</v>
      </c>
      <c r="E50" s="139">
        <f>INDEX(Eligibility!$R$2:$R$423,Eligibility!$A$1)</f>
        <v>0</v>
      </c>
      <c r="F50" s="139">
        <f>-INDEX(Withholding!$AD$2:$AD$425,Withholding!$A$1)</f>
        <v>0</v>
      </c>
      <c r="G50" s="139">
        <f>E50+F50</f>
        <v>0</v>
      </c>
      <c r="H50" s="58"/>
      <c r="I50" s="58"/>
      <c r="J50" s="57"/>
    </row>
    <row r="51" spans="1:10" s="64" customFormat="1" ht="14.5" thickBot="1" x14ac:dyDescent="0.35">
      <c r="A51" s="92"/>
      <c r="B51" s="58"/>
      <c r="C51" s="58"/>
      <c r="D51" s="172" t="s">
        <v>510</v>
      </c>
      <c r="E51" s="139">
        <f>INDEX(Eligibility!$S$2:$S$423,Eligibility!$A$1)</f>
        <v>0</v>
      </c>
      <c r="F51" s="139">
        <f>-INDEX(Withholding!$AE$2:$AE$425,Withholding!$A$1)</f>
        <v>0</v>
      </c>
      <c r="G51" s="139">
        <f>E51+F51</f>
        <v>0</v>
      </c>
      <c r="H51" s="58"/>
      <c r="I51" s="58"/>
      <c r="J51" s="57"/>
    </row>
    <row r="52" spans="1:10" s="64" customFormat="1" ht="14.5" thickBot="1" x14ac:dyDescent="0.35">
      <c r="A52" s="92"/>
      <c r="B52" s="58"/>
      <c r="C52" s="58"/>
      <c r="D52" s="100" t="s">
        <v>482</v>
      </c>
      <c r="E52" s="101">
        <f>SUM(E49:E51)</f>
        <v>0</v>
      </c>
      <c r="F52" s="101">
        <f>SUM(F49:F51)</f>
        <v>0</v>
      </c>
      <c r="G52" s="101">
        <f>SUM(G49:G51)</f>
        <v>0</v>
      </c>
      <c r="H52" s="58"/>
      <c r="I52" s="58"/>
      <c r="J52" s="57"/>
    </row>
    <row r="53" spans="1:10" s="64" customFormat="1" ht="14.5" thickBot="1" x14ac:dyDescent="0.35">
      <c r="A53" s="92"/>
      <c r="B53" s="58"/>
      <c r="C53" s="58"/>
      <c r="D53" s="189" t="s">
        <v>4</v>
      </c>
      <c r="E53" s="190"/>
      <c r="F53" s="190"/>
      <c r="G53" s="191"/>
      <c r="H53" s="58"/>
      <c r="I53" s="58"/>
      <c r="J53" s="57"/>
    </row>
    <row r="54" spans="1:10" s="64" customFormat="1" ht="14.5" thickBot="1" x14ac:dyDescent="0.35">
      <c r="A54" s="92"/>
      <c r="B54" s="58"/>
      <c r="C54" s="58"/>
      <c r="D54" s="89">
        <v>44151</v>
      </c>
      <c r="E54" s="108">
        <f>INDEX(Eligibility!$T$2:$T$423,Eligibility!$A$1)</f>
        <v>0</v>
      </c>
      <c r="F54" s="108">
        <f>-INDEX(Withholding!$AF$2:$AF$425,Withholding!$A$1)</f>
        <v>0</v>
      </c>
      <c r="G54" s="108">
        <f t="shared" ref="G54:G60" si="0">E54+F54</f>
        <v>0</v>
      </c>
      <c r="H54" s="58"/>
      <c r="I54" s="58"/>
      <c r="J54" s="57"/>
    </row>
    <row r="55" spans="1:10" s="64" customFormat="1" ht="14.5" thickBot="1" x14ac:dyDescent="0.35">
      <c r="A55" s="92"/>
      <c r="B55" s="58"/>
      <c r="C55" s="58"/>
      <c r="D55" s="138">
        <v>44186</v>
      </c>
      <c r="E55" s="139">
        <f>INDEX(Eligibility!$U$2:$U$423,Eligibility!$A$1)</f>
        <v>0</v>
      </c>
      <c r="F55" s="139">
        <f>-INDEX(Withholding!$AG$2:$AG$425,Withholding!$A$1)</f>
        <v>0</v>
      </c>
      <c r="G55" s="139">
        <f t="shared" si="0"/>
        <v>0</v>
      </c>
      <c r="H55" s="58"/>
      <c r="I55" s="58"/>
      <c r="J55" s="57"/>
    </row>
    <row r="56" spans="1:10" s="67" customFormat="1" ht="14.5" thickBot="1" x14ac:dyDescent="0.35">
      <c r="A56" s="92"/>
      <c r="B56" s="58"/>
      <c r="C56" s="58"/>
      <c r="D56" s="138">
        <v>44214</v>
      </c>
      <c r="E56" s="139">
        <f>INDEX(Eligibility!$V$2:$V$423,Eligibility!$A$1)</f>
        <v>0</v>
      </c>
      <c r="F56" s="139">
        <f>-INDEX(Withholding!$AH$2:$AH$425,Withholding!$A$1)</f>
        <v>0</v>
      </c>
      <c r="G56" s="139">
        <f t="shared" si="0"/>
        <v>0</v>
      </c>
      <c r="H56" s="66"/>
      <c r="I56" s="66"/>
      <c r="J56" s="57"/>
    </row>
    <row r="57" spans="1:10" ht="16" thickBot="1" x14ac:dyDescent="0.4">
      <c r="A57" s="92"/>
      <c r="B57" s="58"/>
      <c r="C57" s="58"/>
      <c r="D57" s="138">
        <v>44243</v>
      </c>
      <c r="E57" s="139">
        <f>INDEX(Eligibility!$W$2:$W$423,Eligibility!$A$1)</f>
        <v>0</v>
      </c>
      <c r="F57" s="139">
        <f>-INDEX(Withholding!$AI$2:$AI$425,Withholding!$A$1)</f>
        <v>0</v>
      </c>
      <c r="G57" s="139">
        <f t="shared" si="0"/>
        <v>0</v>
      </c>
      <c r="H57" s="5"/>
      <c r="I57" s="58"/>
      <c r="J57" s="57"/>
    </row>
    <row r="58" spans="1:10" ht="14.5" thickBot="1" x14ac:dyDescent="0.35">
      <c r="A58" s="92"/>
      <c r="B58" s="58"/>
      <c r="C58" s="58"/>
      <c r="D58" s="138">
        <v>44270</v>
      </c>
      <c r="E58" s="139">
        <f>INDEX(Eligibility!$X$2:$X$423,Eligibility!$A$1)</f>
        <v>0</v>
      </c>
      <c r="F58" s="139">
        <f>-INDEX(Withholding!$AJ$2:$AJ$425,Withholding!$A$1)</f>
        <v>0</v>
      </c>
      <c r="G58" s="139">
        <f t="shared" si="0"/>
        <v>0</v>
      </c>
      <c r="H58" s="58"/>
      <c r="I58" s="58"/>
      <c r="J58" s="57"/>
    </row>
    <row r="59" spans="1:10" ht="14.5" thickBot="1" x14ac:dyDescent="0.35">
      <c r="A59" s="92"/>
      <c r="B59" s="58"/>
      <c r="C59" s="58"/>
      <c r="D59" s="160">
        <v>44361</v>
      </c>
      <c r="E59" s="139">
        <f>INDEX(Eligibility!$Y$2:$Y$423,Eligibility!$A$1)</f>
        <v>0</v>
      </c>
      <c r="F59" s="139">
        <f>-INDEX(Withholding!$AK$2:$AK$425,Withholding!$A$1)</f>
        <v>0</v>
      </c>
      <c r="G59" s="139">
        <f t="shared" si="0"/>
        <v>0</v>
      </c>
      <c r="H59" s="58"/>
      <c r="I59" s="58"/>
      <c r="J59" s="57"/>
    </row>
    <row r="60" spans="1:10" ht="14.5" thickBot="1" x14ac:dyDescent="0.35">
      <c r="A60" s="92"/>
      <c r="B60" s="58"/>
      <c r="C60" s="58"/>
      <c r="D60" s="172" t="s">
        <v>509</v>
      </c>
      <c r="E60" s="139">
        <f>INDEX(Eligibility!$Z$2:$Z$423,Eligibility!$A$1)</f>
        <v>0</v>
      </c>
      <c r="F60" s="139">
        <f>-INDEX(Withholding!$AL$2:$AL$425,Withholding!$A$1)</f>
        <v>0</v>
      </c>
      <c r="G60" s="139">
        <f t="shared" si="0"/>
        <v>0</v>
      </c>
      <c r="H60" s="58"/>
      <c r="I60" s="58"/>
      <c r="J60" s="57"/>
    </row>
    <row r="61" spans="1:10" ht="14.5" thickBot="1" x14ac:dyDescent="0.35">
      <c r="A61" s="92"/>
      <c r="B61" s="58"/>
      <c r="C61" s="58"/>
      <c r="D61" s="102" t="s">
        <v>483</v>
      </c>
      <c r="E61" s="101">
        <f>SUM(E54:E60)</f>
        <v>0</v>
      </c>
      <c r="F61" s="101">
        <f>SUM(F54:F60)</f>
        <v>0</v>
      </c>
      <c r="G61" s="101">
        <f>SUM(G54:G60)</f>
        <v>0</v>
      </c>
      <c r="H61" s="58"/>
      <c r="I61" s="58"/>
      <c r="J61" s="57"/>
    </row>
    <row r="62" spans="1:10" ht="14.5" thickBot="1" x14ac:dyDescent="0.35">
      <c r="A62" s="92"/>
      <c r="B62" s="58"/>
      <c r="C62" s="58"/>
      <c r="D62" s="180" t="s">
        <v>492</v>
      </c>
      <c r="E62" s="181"/>
      <c r="F62" s="181"/>
      <c r="G62" s="182"/>
      <c r="H62" s="58"/>
      <c r="I62" s="58"/>
      <c r="J62" s="57"/>
    </row>
    <row r="63" spans="1:10" ht="14.5" thickBot="1" x14ac:dyDescent="0.35">
      <c r="A63" s="92"/>
      <c r="C63" s="58"/>
      <c r="D63" s="171" t="s">
        <v>511</v>
      </c>
      <c r="E63" s="139">
        <f>INDEX(Eligibility!$AA$2:$AA$423,Eligibility!$A$1)</f>
        <v>0</v>
      </c>
      <c r="F63" s="139">
        <f>-INDEX(Withholding!$AM$2:$AM$425,Withholding!$A$1)</f>
        <v>0</v>
      </c>
      <c r="G63" s="139">
        <f>E63+F63</f>
        <v>0</v>
      </c>
      <c r="H63" s="58"/>
      <c r="I63" s="58"/>
      <c r="J63" s="57"/>
    </row>
    <row r="64" spans="1:10" ht="14.5" thickBot="1" x14ac:dyDescent="0.35">
      <c r="A64" s="92"/>
      <c r="B64" s="58"/>
      <c r="C64" s="58"/>
      <c r="D64" s="2"/>
      <c r="E64" s="65"/>
      <c r="F64" s="58"/>
      <c r="G64" s="58"/>
      <c r="H64" s="58"/>
      <c r="I64" s="58"/>
      <c r="J64" s="57"/>
    </row>
    <row r="65" spans="1:10" ht="14.5" thickBot="1" x14ac:dyDescent="0.35">
      <c r="A65" s="92"/>
      <c r="B65" s="58"/>
      <c r="C65" s="58"/>
      <c r="D65" s="106" t="s">
        <v>485</v>
      </c>
      <c r="E65" s="128">
        <f>E31+E36+E38+E43+E45+E52+E61+E63</f>
        <v>0</v>
      </c>
      <c r="F65" s="128">
        <f>F31+F36+F38+F43+F45+F47+F52+F61+F63</f>
        <v>0</v>
      </c>
      <c r="G65" s="128">
        <f>G31+G36+G38+G43+G45+G52+G61+G63</f>
        <v>0</v>
      </c>
      <c r="H65" s="58"/>
      <c r="I65" s="58"/>
      <c r="J65" s="57"/>
    </row>
    <row r="66" spans="1:10" ht="14.5" thickBot="1" x14ac:dyDescent="0.35">
      <c r="A66" s="94"/>
      <c r="B66" s="72"/>
      <c r="C66" s="72"/>
      <c r="D66" s="70"/>
      <c r="E66" s="70"/>
      <c r="F66" s="4"/>
      <c r="G66" s="71"/>
      <c r="H66" s="72"/>
      <c r="I66" s="72"/>
      <c r="J66" s="73"/>
    </row>
  </sheetData>
  <mergeCells count="24">
    <mergeCell ref="C14:G14"/>
    <mergeCell ref="C15:G15"/>
    <mergeCell ref="C17:G17"/>
    <mergeCell ref="C20:G20"/>
    <mergeCell ref="C12:G12"/>
    <mergeCell ref="C18:G18"/>
    <mergeCell ref="C19:G19"/>
    <mergeCell ref="B2:I2"/>
    <mergeCell ref="B6:I8"/>
    <mergeCell ref="I4:J4"/>
    <mergeCell ref="C10:G10"/>
    <mergeCell ref="C11:G11"/>
    <mergeCell ref="I3:J3"/>
    <mergeCell ref="D62:G62"/>
    <mergeCell ref="C16:G16"/>
    <mergeCell ref="C22:G22"/>
    <mergeCell ref="D32:G32"/>
    <mergeCell ref="D37:G37"/>
    <mergeCell ref="D39:G39"/>
    <mergeCell ref="D44:G44"/>
    <mergeCell ref="D48:G48"/>
    <mergeCell ref="D53:G53"/>
    <mergeCell ref="D25:G25"/>
    <mergeCell ref="D46:G46"/>
  </mergeCells>
  <pageMargins left="0.47" right="0.43"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Fill="0" autoLine="0" autoPict="0">
                <anchor moveWithCells="1">
                  <from>
                    <xdr:col>3</xdr:col>
                    <xdr:colOff>0</xdr:colOff>
                    <xdr:row>3</xdr:row>
                    <xdr:rowOff>0</xdr:rowOff>
                  </from>
                  <to>
                    <xdr:col>3</xdr:col>
                    <xdr:colOff>2032000</xdr:colOff>
                    <xdr:row>4</xdr:row>
                    <xdr:rowOff>0</xdr:rowOff>
                  </to>
                </anchor>
              </controlPr>
            </control>
          </mc:Choice>
        </mc:AlternateContent>
        <mc:AlternateContent xmlns:mc="http://schemas.openxmlformats.org/markup-compatibility/2006">
          <mc:Choice Requires="x14">
            <control shapeId="1026" r:id="rId5" name="Drop Down 2">
              <controlPr locked="0" defaultSize="0" autoFill="0" autoLine="0" autoPict="0">
                <anchor moveWithCells="1">
                  <from>
                    <xdr:col>5</xdr:col>
                    <xdr:colOff>990600</xdr:colOff>
                    <xdr:row>3</xdr:row>
                    <xdr:rowOff>0</xdr:rowOff>
                  </from>
                  <to>
                    <xdr:col>6</xdr:col>
                    <xdr:colOff>1079500</xdr:colOff>
                    <xdr:row>4</xdr:row>
                    <xdr:rowOff>0</xdr:rowOff>
                  </to>
                </anchor>
              </controlPr>
            </control>
          </mc:Choice>
        </mc:AlternateContent>
        <mc:AlternateContent xmlns:mc="http://schemas.openxmlformats.org/markup-compatibility/2006">
          <mc:Choice Requires="x14">
            <control shapeId="1027" r:id="rId6" name="Drop Down 3">
              <controlPr locked="0" defaultSize="0" autoFill="0" autoLine="0" autoPict="0">
                <anchor moveWithCells="1">
                  <from>
                    <xdr:col>3</xdr:col>
                    <xdr:colOff>0</xdr:colOff>
                    <xdr:row>65508</xdr:row>
                    <xdr:rowOff>0</xdr:rowOff>
                  </from>
                  <to>
                    <xdr:col>3</xdr:col>
                    <xdr:colOff>2032000</xdr:colOff>
                    <xdr:row>65508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425"/>
  <sheetViews>
    <sheetView zoomScale="93" zoomScaleNormal="93" workbookViewId="0">
      <pane xSplit="2" ySplit="2" topLeftCell="C3" activePane="bottomRight" state="frozen"/>
      <selection pane="topRight" activeCell="C1" sqref="C1"/>
      <selection pane="bottomLeft" activeCell="A3" sqref="A3"/>
      <selection pane="bottomRight"/>
    </sheetView>
  </sheetViews>
  <sheetFormatPr defaultColWidth="9.1796875" defaultRowHeight="14.5" x14ac:dyDescent="0.35"/>
  <cols>
    <col min="1" max="1" width="8.7265625" style="12" customWidth="1"/>
    <col min="2" max="2" width="32.54296875" style="8" customWidth="1"/>
    <col min="3" max="3" width="19" style="15" bestFit="1" customWidth="1"/>
    <col min="4" max="4" width="19.453125" style="15" bestFit="1" customWidth="1"/>
    <col min="5" max="5" width="16.1796875" style="15" bestFit="1" customWidth="1"/>
    <col min="6" max="6" width="20.7265625" style="15" bestFit="1" customWidth="1"/>
    <col min="7" max="7" width="21" style="15" bestFit="1" customWidth="1"/>
    <col min="8" max="8" width="15.81640625" style="15" customWidth="1"/>
    <col min="9" max="9" width="16.26953125" style="15" bestFit="1" customWidth="1"/>
    <col min="10" max="12" width="24.453125" style="37" customWidth="1"/>
    <col min="13" max="13" width="16.26953125" style="15" customWidth="1"/>
    <col min="14" max="15" width="15" style="15" customWidth="1"/>
    <col min="16" max="16" width="16.26953125" style="15" customWidth="1"/>
    <col min="17" max="17" width="13.81640625" style="15" bestFit="1" customWidth="1"/>
    <col min="18" max="19" width="17.7265625" style="15" customWidth="1"/>
    <col min="20" max="20" width="13.81640625" style="15" customWidth="1"/>
    <col min="21" max="21" width="12.1796875" style="15" bestFit="1" customWidth="1"/>
    <col min="22" max="22" width="15.453125" style="15" customWidth="1"/>
    <col min="23" max="23" width="22" style="9" customWidth="1"/>
    <col min="24" max="26" width="15" style="15" customWidth="1"/>
    <col min="27" max="28" width="18.54296875" style="15" customWidth="1"/>
    <col min="29" max="29" width="12.1796875" style="15" customWidth="1"/>
    <col min="30" max="31" width="17.7265625" style="15" customWidth="1"/>
    <col min="32" max="32" width="15" style="15" customWidth="1"/>
    <col min="33" max="36" width="15" style="9" customWidth="1"/>
    <col min="37" max="37" width="15" style="15" customWidth="1"/>
    <col min="38" max="38" width="22.1796875" style="15" customWidth="1"/>
    <col min="39" max="39" width="25.1796875" style="9" customWidth="1"/>
    <col min="40" max="40" width="24" style="21" bestFit="1" customWidth="1"/>
    <col min="41" max="16384" width="9.1796875" style="32"/>
  </cols>
  <sheetData>
    <row r="1" spans="1:40" s="28" customFormat="1" ht="42.5" x14ac:dyDescent="0.35">
      <c r="A1" s="6">
        <v>1</v>
      </c>
      <c r="B1" s="130" t="s">
        <v>5</v>
      </c>
      <c r="C1" s="22" t="s">
        <v>35</v>
      </c>
      <c r="D1" s="22" t="s">
        <v>36</v>
      </c>
      <c r="E1" s="18" t="s">
        <v>27</v>
      </c>
      <c r="F1" s="22" t="s">
        <v>37</v>
      </c>
      <c r="G1" s="22" t="s">
        <v>38</v>
      </c>
      <c r="H1" s="6" t="s">
        <v>28</v>
      </c>
      <c r="I1" s="28" t="s">
        <v>457</v>
      </c>
      <c r="J1" s="36" t="s">
        <v>462</v>
      </c>
      <c r="K1" s="36" t="s">
        <v>463</v>
      </c>
      <c r="L1" s="36" t="s">
        <v>475</v>
      </c>
      <c r="M1" s="36" t="s">
        <v>464</v>
      </c>
      <c r="N1" s="36" t="s">
        <v>465</v>
      </c>
      <c r="O1" s="36" t="s">
        <v>495</v>
      </c>
      <c r="P1" s="29" t="s">
        <v>458</v>
      </c>
      <c r="Q1" s="140" t="s">
        <v>459</v>
      </c>
      <c r="R1" s="140" t="s">
        <v>21</v>
      </c>
      <c r="S1" s="87" t="s">
        <v>24</v>
      </c>
      <c r="T1" s="140" t="s">
        <v>16</v>
      </c>
      <c r="U1" s="140" t="s">
        <v>22</v>
      </c>
      <c r="V1" s="87" t="s">
        <v>25</v>
      </c>
      <c r="W1" s="140" t="s">
        <v>52</v>
      </c>
      <c r="X1" s="140" t="s">
        <v>453</v>
      </c>
      <c r="Y1" s="140" t="s">
        <v>454</v>
      </c>
      <c r="Z1" s="87" t="s">
        <v>455</v>
      </c>
      <c r="AA1" s="140" t="s">
        <v>456</v>
      </c>
      <c r="AB1" s="140" t="s">
        <v>503</v>
      </c>
      <c r="AC1" s="140" t="s">
        <v>18</v>
      </c>
      <c r="AD1" s="87" t="s">
        <v>449</v>
      </c>
      <c r="AE1" s="87" t="s">
        <v>451</v>
      </c>
      <c r="AF1" s="140" t="s">
        <v>14</v>
      </c>
      <c r="AG1" s="140" t="s">
        <v>15</v>
      </c>
      <c r="AH1" s="140" t="s">
        <v>17</v>
      </c>
      <c r="AI1" s="140" t="s">
        <v>19</v>
      </c>
      <c r="AJ1" s="140" t="s">
        <v>20</v>
      </c>
      <c r="AK1" s="87" t="s">
        <v>23</v>
      </c>
      <c r="AL1" s="87" t="s">
        <v>450</v>
      </c>
      <c r="AM1" s="140" t="s">
        <v>473</v>
      </c>
      <c r="AN1" s="30" t="s">
        <v>26</v>
      </c>
    </row>
    <row r="2" spans="1:40" ht="15" thickBot="1" x14ac:dyDescent="0.4">
      <c r="A2" s="47" t="s">
        <v>29</v>
      </c>
      <c r="B2" s="48" t="s">
        <v>30</v>
      </c>
      <c r="C2" s="49">
        <v>0</v>
      </c>
      <c r="D2" s="49">
        <v>0</v>
      </c>
      <c r="E2" s="49">
        <v>0</v>
      </c>
      <c r="F2" s="49">
        <v>0</v>
      </c>
      <c r="G2" s="49">
        <v>0</v>
      </c>
      <c r="H2" s="49">
        <v>0</v>
      </c>
      <c r="I2" s="49">
        <v>0</v>
      </c>
      <c r="J2" s="50">
        <v>0</v>
      </c>
      <c r="K2" s="50">
        <v>0</v>
      </c>
      <c r="L2" s="50">
        <v>0</v>
      </c>
      <c r="M2" s="44">
        <v>0</v>
      </c>
      <c r="N2" s="44">
        <v>0</v>
      </c>
      <c r="O2" s="44"/>
      <c r="P2" s="49">
        <v>0</v>
      </c>
      <c r="Q2" s="141">
        <v>0</v>
      </c>
      <c r="R2" s="141">
        <v>0</v>
      </c>
      <c r="S2" s="44">
        <v>0</v>
      </c>
      <c r="T2" s="141">
        <v>0</v>
      </c>
      <c r="U2" s="141">
        <v>0</v>
      </c>
      <c r="V2" s="51">
        <v>0</v>
      </c>
      <c r="W2" s="141">
        <v>0</v>
      </c>
      <c r="X2" s="141">
        <v>0</v>
      </c>
      <c r="Y2" s="141">
        <v>0</v>
      </c>
      <c r="Z2" s="44">
        <v>0</v>
      </c>
      <c r="AA2" s="141">
        <v>0</v>
      </c>
      <c r="AB2" s="141"/>
      <c r="AC2" s="141">
        <v>0</v>
      </c>
      <c r="AD2" s="44">
        <v>0</v>
      </c>
      <c r="AE2" s="44">
        <v>0</v>
      </c>
      <c r="AF2" s="141">
        <v>0</v>
      </c>
      <c r="AG2" s="141">
        <v>0</v>
      </c>
      <c r="AH2" s="141">
        <v>0</v>
      </c>
      <c r="AI2" s="141">
        <v>0</v>
      </c>
      <c r="AJ2" s="141">
        <v>0</v>
      </c>
      <c r="AK2" s="44">
        <v>0</v>
      </c>
      <c r="AL2" s="44">
        <v>0</v>
      </c>
      <c r="AM2" s="141">
        <v>0</v>
      </c>
      <c r="AN2" s="44">
        <v>0</v>
      </c>
    </row>
    <row r="3" spans="1:40" ht="15" thickBot="1" x14ac:dyDescent="0.4">
      <c r="A3" s="76">
        <v>7</v>
      </c>
      <c r="B3" s="82" t="s">
        <v>55</v>
      </c>
      <c r="C3" s="226">
        <v>808909</v>
      </c>
      <c r="D3" s="227">
        <v>0</v>
      </c>
      <c r="E3" s="77">
        <f>C3+D3</f>
        <v>808909</v>
      </c>
      <c r="F3" s="226">
        <v>989549</v>
      </c>
      <c r="G3" s="226">
        <v>0</v>
      </c>
      <c r="H3" s="78">
        <f>F3+G3</f>
        <v>989549</v>
      </c>
      <c r="I3" s="78">
        <f>E3-H3</f>
        <v>-180640</v>
      </c>
      <c r="J3" s="226">
        <v>24900</v>
      </c>
      <c r="K3" s="226">
        <v>0</v>
      </c>
      <c r="L3" s="226">
        <v>0</v>
      </c>
      <c r="M3" s="226">
        <v>0</v>
      </c>
      <c r="N3" s="226">
        <v>0</v>
      </c>
      <c r="O3" s="226">
        <v>0</v>
      </c>
      <c r="P3" s="78">
        <f>I3-M3-J3-K3-N3-L3</f>
        <v>-205540</v>
      </c>
      <c r="Q3" s="228"/>
      <c r="R3" s="228"/>
      <c r="S3" s="229">
        <f>IF(-$P3&lt;VLOOKUP(A3,Eligibility!$A$3:$F$423,6,0),-P3,VLOOKUP(A3,Eligibility!$A$3:$F$423,6,0))</f>
        <v>205540</v>
      </c>
      <c r="T3" s="228"/>
      <c r="U3" s="228"/>
      <c r="V3" s="77"/>
      <c r="W3" s="228"/>
      <c r="X3" s="142"/>
      <c r="Y3" s="142"/>
      <c r="Z3" s="77"/>
      <c r="AA3" s="228"/>
      <c r="AB3" s="228"/>
      <c r="AC3" s="142"/>
      <c r="AD3" s="78"/>
      <c r="AE3" s="78"/>
      <c r="AF3" s="142"/>
      <c r="AG3" s="142"/>
      <c r="AH3" s="142"/>
      <c r="AI3" s="142"/>
      <c r="AJ3" s="142"/>
      <c r="AK3" s="78"/>
      <c r="AL3" s="78"/>
      <c r="AM3" s="142"/>
      <c r="AN3" s="223">
        <f>SUM(P3:AM3)-O3</f>
        <v>0</v>
      </c>
    </row>
    <row r="4" spans="1:40" ht="15" thickBot="1" x14ac:dyDescent="0.4">
      <c r="A4" s="40">
        <v>14</v>
      </c>
      <c r="B4" s="79" t="s">
        <v>56</v>
      </c>
      <c r="C4" s="46">
        <v>261084</v>
      </c>
      <c r="D4" s="97">
        <v>0</v>
      </c>
      <c r="E4" s="10">
        <f>C4+D4</f>
        <v>261084</v>
      </c>
      <c r="F4" s="23">
        <v>1150235</v>
      </c>
      <c r="G4" s="23">
        <v>0</v>
      </c>
      <c r="H4" s="16">
        <f>F4+G4</f>
        <v>1150235</v>
      </c>
      <c r="I4" s="16">
        <f>E4-H4</f>
        <v>-889151</v>
      </c>
      <c r="J4" s="23">
        <v>0</v>
      </c>
      <c r="K4" s="23">
        <v>12977</v>
      </c>
      <c r="L4" s="46">
        <v>0</v>
      </c>
      <c r="M4" s="46">
        <v>0</v>
      </c>
      <c r="N4" s="46">
        <v>0</v>
      </c>
      <c r="O4" s="46">
        <v>0</v>
      </c>
      <c r="P4" s="78">
        <f>I4-M4-J4-K4-N4-L4</f>
        <v>-902128</v>
      </c>
      <c r="Q4" s="155"/>
      <c r="R4" s="155"/>
      <c r="S4" s="45">
        <f>IF(-$P4&lt;VLOOKUP(A4,Eligibility!$A$3:$F$423,6,0),-P4,VLOOKUP(A4,Eligibility!$A$3:$F$423,6,0))</f>
        <v>902128</v>
      </c>
      <c r="T4" s="155"/>
      <c r="U4" s="155"/>
      <c r="V4" s="39"/>
      <c r="W4" s="155"/>
      <c r="X4" s="143"/>
      <c r="Y4" s="143"/>
      <c r="Z4" s="10"/>
      <c r="AA4" s="155"/>
      <c r="AB4" s="155"/>
      <c r="AC4" s="143"/>
      <c r="AD4" s="16"/>
      <c r="AE4" s="16"/>
      <c r="AF4" s="143"/>
      <c r="AG4" s="143"/>
      <c r="AH4" s="143"/>
      <c r="AI4" s="143"/>
      <c r="AJ4" s="143"/>
      <c r="AK4" s="16"/>
      <c r="AL4" s="16"/>
      <c r="AM4" s="143"/>
      <c r="AN4" s="177">
        <f>SUM(P4:AM4)-O4</f>
        <v>0</v>
      </c>
    </row>
    <row r="5" spans="1:40" ht="15" thickBot="1" x14ac:dyDescent="0.4">
      <c r="A5" s="40">
        <v>63</v>
      </c>
      <c r="B5" s="79" t="s">
        <v>57</v>
      </c>
      <c r="C5" s="46">
        <v>188185</v>
      </c>
      <c r="D5" s="97">
        <v>0</v>
      </c>
      <c r="E5" s="10">
        <f>C5+D5</f>
        <v>188185</v>
      </c>
      <c r="F5" s="23">
        <v>1105293</v>
      </c>
      <c r="G5" s="23">
        <v>0</v>
      </c>
      <c r="H5" s="16">
        <f>F5+G5</f>
        <v>1105293</v>
      </c>
      <c r="I5" s="16">
        <f>E5-H5</f>
        <v>-917108</v>
      </c>
      <c r="J5" s="23">
        <v>0</v>
      </c>
      <c r="K5" s="23">
        <v>0</v>
      </c>
      <c r="L5" s="46">
        <v>0</v>
      </c>
      <c r="M5" s="46">
        <v>0</v>
      </c>
      <c r="N5" s="46">
        <v>0</v>
      </c>
      <c r="O5" s="46">
        <v>0</v>
      </c>
      <c r="P5" s="78">
        <f>I5-M5-J5-K5-N5-L5</f>
        <v>-917108</v>
      </c>
      <c r="Q5" s="155"/>
      <c r="R5" s="155"/>
      <c r="S5" s="45">
        <f>IF(-$P5&lt;VLOOKUP(A5,Eligibility!$A$3:$F$423,6,0),-P5,VLOOKUP(A5,Eligibility!$A$3:$F$423,6,0))</f>
        <v>917108</v>
      </c>
      <c r="T5" s="155"/>
      <c r="U5" s="155"/>
      <c r="V5" s="39"/>
      <c r="W5" s="155"/>
      <c r="X5" s="143"/>
      <c r="Y5" s="143"/>
      <c r="Z5" s="10"/>
      <c r="AA5" s="155"/>
      <c r="AB5" s="155"/>
      <c r="AC5" s="143"/>
      <c r="AD5" s="16"/>
      <c r="AE5" s="16"/>
      <c r="AF5" s="143"/>
      <c r="AG5" s="143"/>
      <c r="AH5" s="143"/>
      <c r="AI5" s="143"/>
      <c r="AJ5" s="143"/>
      <c r="AK5" s="16"/>
      <c r="AL5" s="16"/>
      <c r="AM5" s="143"/>
      <c r="AN5" s="177">
        <f>SUM(P5:AM5)-O5</f>
        <v>0</v>
      </c>
    </row>
    <row r="6" spans="1:40" ht="15" thickBot="1" x14ac:dyDescent="0.4">
      <c r="A6" s="40">
        <v>70</v>
      </c>
      <c r="B6" s="79" t="s">
        <v>58</v>
      </c>
      <c r="C6" s="46">
        <v>284552</v>
      </c>
      <c r="D6" s="97">
        <v>0</v>
      </c>
      <c r="E6" s="10">
        <f>C6+D6</f>
        <v>284552</v>
      </c>
      <c r="F6" s="23">
        <v>668575</v>
      </c>
      <c r="G6" s="23">
        <v>0</v>
      </c>
      <c r="H6" s="16">
        <f>F6+G6</f>
        <v>668575</v>
      </c>
      <c r="I6" s="16">
        <f>E6-H6</f>
        <v>-384023</v>
      </c>
      <c r="J6" s="23">
        <v>72488</v>
      </c>
      <c r="K6" s="23">
        <v>0</v>
      </c>
      <c r="L6" s="46">
        <v>0</v>
      </c>
      <c r="M6" s="46">
        <v>0</v>
      </c>
      <c r="N6" s="46">
        <v>51300</v>
      </c>
      <c r="O6" s="46">
        <v>0</v>
      </c>
      <c r="P6" s="78">
        <f>I6-M6-J6-K6-N6-L6</f>
        <v>-507811</v>
      </c>
      <c r="Q6" s="155"/>
      <c r="R6" s="155"/>
      <c r="S6" s="45">
        <f>IF(-$P6&lt;VLOOKUP(A6,Eligibility!$A$3:$F$423,6,0),-P6,VLOOKUP(A6,Eligibility!$A$3:$F$423,6,0))</f>
        <v>507811</v>
      </c>
      <c r="T6" s="155"/>
      <c r="U6" s="155"/>
      <c r="V6" s="39"/>
      <c r="W6" s="155"/>
      <c r="X6" s="143"/>
      <c r="Y6" s="143"/>
      <c r="Z6" s="25"/>
      <c r="AA6" s="155"/>
      <c r="AB6" s="155"/>
      <c r="AC6" s="143"/>
      <c r="AD6" s="16"/>
      <c r="AE6" s="16"/>
      <c r="AF6" s="143"/>
      <c r="AG6" s="143"/>
      <c r="AH6" s="143"/>
      <c r="AI6" s="143"/>
      <c r="AJ6" s="143"/>
      <c r="AK6" s="16"/>
      <c r="AL6" s="16"/>
      <c r="AM6" s="143"/>
      <c r="AN6" s="177">
        <f>SUM(P6:AM6)-O6</f>
        <v>0</v>
      </c>
    </row>
    <row r="7" spans="1:40" ht="15" thickBot="1" x14ac:dyDescent="0.4">
      <c r="A7" s="40">
        <v>84</v>
      </c>
      <c r="B7" s="79" t="s">
        <v>59</v>
      </c>
      <c r="C7" s="46">
        <v>392681</v>
      </c>
      <c r="D7" s="97">
        <v>0</v>
      </c>
      <c r="E7" s="10">
        <f>C7+D7</f>
        <v>392681</v>
      </c>
      <c r="F7" s="23">
        <v>195521</v>
      </c>
      <c r="G7" s="23">
        <v>0</v>
      </c>
      <c r="H7" s="16">
        <f>F7+G7</f>
        <v>195521</v>
      </c>
      <c r="I7" s="16">
        <f>E7-H7</f>
        <v>197160</v>
      </c>
      <c r="J7" s="23">
        <v>0</v>
      </c>
      <c r="K7" s="23">
        <v>0</v>
      </c>
      <c r="L7" s="46">
        <v>0</v>
      </c>
      <c r="M7" s="46">
        <v>0</v>
      </c>
      <c r="N7" s="46">
        <v>0</v>
      </c>
      <c r="O7" s="46">
        <v>0</v>
      </c>
      <c r="P7" s="78">
        <f>I7-M7-J7-K7-N7-L7</f>
        <v>197160</v>
      </c>
      <c r="Q7" s="155"/>
      <c r="R7" s="155"/>
      <c r="S7" s="45">
        <f>IF(J7+K7+L7+M7+N7&lt;VLOOKUP(A7,Eligibility!$A$3:$F$423,6,0),J7+K7+L7+M7+N7,VLOOKUP(A7,Eligibility!$A$3:$F$423,6,0))</f>
        <v>0</v>
      </c>
      <c r="T7" s="155"/>
      <c r="U7" s="155"/>
      <c r="V7" s="39"/>
      <c r="W7" s="155"/>
      <c r="X7" s="143"/>
      <c r="Y7" s="143"/>
      <c r="Z7" s="10"/>
      <c r="AA7" s="155"/>
      <c r="AB7" s="155"/>
      <c r="AC7" s="143"/>
      <c r="AD7" s="16"/>
      <c r="AE7" s="16"/>
      <c r="AF7" s="143"/>
      <c r="AG7" s="143"/>
      <c r="AH7" s="143"/>
      <c r="AI7" s="143"/>
      <c r="AJ7" s="143"/>
      <c r="AK7" s="16"/>
      <c r="AL7" s="16"/>
      <c r="AM7" s="143"/>
      <c r="AN7" s="177">
        <f>SUM(P7:AM7)-O7</f>
        <v>197160</v>
      </c>
    </row>
    <row r="8" spans="1:40" ht="15" thickBot="1" x14ac:dyDescent="0.4">
      <c r="A8" s="40">
        <v>91</v>
      </c>
      <c r="B8" s="79" t="s">
        <v>60</v>
      </c>
      <c r="C8" s="46">
        <v>660249</v>
      </c>
      <c r="D8" s="97">
        <v>0</v>
      </c>
      <c r="E8" s="10">
        <f>C8+D8</f>
        <v>660249</v>
      </c>
      <c r="F8" s="23">
        <v>298430</v>
      </c>
      <c r="G8" s="23">
        <v>0</v>
      </c>
      <c r="H8" s="16">
        <f>F8+G8</f>
        <v>298430</v>
      </c>
      <c r="I8" s="16">
        <f>E8-H8</f>
        <v>361819</v>
      </c>
      <c r="J8" s="23">
        <v>0</v>
      </c>
      <c r="K8" s="23">
        <v>0</v>
      </c>
      <c r="L8" s="46">
        <v>0</v>
      </c>
      <c r="M8" s="46">
        <v>0</v>
      </c>
      <c r="N8" s="46">
        <v>0</v>
      </c>
      <c r="O8" s="46">
        <v>0</v>
      </c>
      <c r="P8" s="78">
        <f>I8-M8-J8-K8-N8-L8</f>
        <v>361819</v>
      </c>
      <c r="Q8" s="155"/>
      <c r="R8" s="155"/>
      <c r="S8" s="45">
        <f>IF(J8+K8+L8+M8+N8&lt;VLOOKUP(A8,Eligibility!$A$3:$F$423,6,0),J8+K8+L8+M8+N8,VLOOKUP(A8,Eligibility!$A$3:$F$423,6,0))</f>
        <v>0</v>
      </c>
      <c r="T8" s="155"/>
      <c r="U8" s="155"/>
      <c r="V8" s="10"/>
      <c r="W8" s="155"/>
      <c r="X8" s="143"/>
      <c r="Y8" s="143"/>
      <c r="Z8" s="10"/>
      <c r="AA8" s="155"/>
      <c r="AB8" s="155"/>
      <c r="AC8" s="143"/>
      <c r="AD8" s="16"/>
      <c r="AE8" s="16"/>
      <c r="AF8" s="143"/>
      <c r="AG8" s="143"/>
      <c r="AH8" s="143"/>
      <c r="AI8" s="143"/>
      <c r="AJ8" s="143"/>
      <c r="AK8" s="16"/>
      <c r="AL8" s="16"/>
      <c r="AM8" s="143"/>
      <c r="AN8" s="177">
        <f>SUM(P8:AM8)-O8</f>
        <v>361819</v>
      </c>
    </row>
    <row r="9" spans="1:40" ht="15" thickBot="1" x14ac:dyDescent="0.4">
      <c r="A9" s="40">
        <v>105</v>
      </c>
      <c r="B9" s="79" t="s">
        <v>61</v>
      </c>
      <c r="C9" s="46">
        <v>260384</v>
      </c>
      <c r="D9" s="97">
        <v>0</v>
      </c>
      <c r="E9" s="10">
        <f>C9+D9</f>
        <v>260384</v>
      </c>
      <c r="F9" s="23">
        <v>870453</v>
      </c>
      <c r="G9" s="23">
        <v>0</v>
      </c>
      <c r="H9" s="16">
        <f>F9+G9</f>
        <v>870453</v>
      </c>
      <c r="I9" s="16">
        <f>E9-H9</f>
        <v>-610069</v>
      </c>
      <c r="J9" s="23">
        <v>33200</v>
      </c>
      <c r="K9" s="23">
        <v>0</v>
      </c>
      <c r="L9" s="46">
        <v>0</v>
      </c>
      <c r="M9" s="46">
        <v>0</v>
      </c>
      <c r="N9" s="46">
        <v>0</v>
      </c>
      <c r="O9" s="46">
        <v>0</v>
      </c>
      <c r="P9" s="78">
        <f>I9-M9-J9-K9-N9-L9</f>
        <v>-643269</v>
      </c>
      <c r="Q9" s="155"/>
      <c r="R9" s="155"/>
      <c r="S9" s="45">
        <f>IF(-$P9&lt;VLOOKUP(A9,Eligibility!$A$3:$F$423,6,0),-P9,VLOOKUP(A9,Eligibility!$A$3:$F$423,6,0))</f>
        <v>643269</v>
      </c>
      <c r="T9" s="155"/>
      <c r="U9" s="155"/>
      <c r="V9" s="10"/>
      <c r="W9" s="155"/>
      <c r="X9" s="143"/>
      <c r="Y9" s="143"/>
      <c r="Z9" s="10"/>
      <c r="AA9" s="155"/>
      <c r="AB9" s="155"/>
      <c r="AC9" s="143"/>
      <c r="AD9" s="16"/>
      <c r="AE9" s="16"/>
      <c r="AF9" s="143"/>
      <c r="AG9" s="143"/>
      <c r="AH9" s="143"/>
      <c r="AI9" s="143"/>
      <c r="AJ9" s="143"/>
      <c r="AK9" s="16"/>
      <c r="AL9" s="16"/>
      <c r="AM9" s="143"/>
      <c r="AN9" s="177">
        <f>SUM(P9:AM9)-O9</f>
        <v>0</v>
      </c>
    </row>
    <row r="10" spans="1:40" ht="15" thickBot="1" x14ac:dyDescent="0.4">
      <c r="A10" s="40">
        <v>112</v>
      </c>
      <c r="B10" s="79" t="s">
        <v>62</v>
      </c>
      <c r="C10" s="46">
        <v>2820179</v>
      </c>
      <c r="D10" s="97">
        <v>0</v>
      </c>
      <c r="E10" s="10">
        <f>C10+D10</f>
        <v>2820179</v>
      </c>
      <c r="F10" s="23">
        <v>1129972</v>
      </c>
      <c r="G10" s="23">
        <v>0</v>
      </c>
      <c r="H10" s="16">
        <f>F10+G10</f>
        <v>1129972</v>
      </c>
      <c r="I10" s="16">
        <f>E10-H10</f>
        <v>1690207</v>
      </c>
      <c r="J10" s="23">
        <v>141100</v>
      </c>
      <c r="K10" s="23">
        <v>0</v>
      </c>
      <c r="L10" s="46">
        <v>0</v>
      </c>
      <c r="M10" s="46">
        <v>0</v>
      </c>
      <c r="N10" s="46">
        <v>0</v>
      </c>
      <c r="O10" s="46">
        <v>0</v>
      </c>
      <c r="P10" s="78">
        <f>I10-M10-J10-K10-N10-L10</f>
        <v>1549107</v>
      </c>
      <c r="Q10" s="155"/>
      <c r="R10" s="155"/>
      <c r="S10" s="45">
        <f>IF(J10+K10+L10+M10+N10&lt;VLOOKUP(A10,Eligibility!$A$3:$F$423,6,0),J10+K10+L10+M10+N10,VLOOKUP(A10,Eligibility!$A$3:$F$423,6,0))</f>
        <v>141100</v>
      </c>
      <c r="T10" s="155"/>
      <c r="U10" s="155"/>
      <c r="V10" s="10"/>
      <c r="W10" s="155"/>
      <c r="X10" s="143"/>
      <c r="Y10" s="143"/>
      <c r="Z10" s="10"/>
      <c r="AA10" s="155"/>
      <c r="AB10" s="155"/>
      <c r="AC10" s="143"/>
      <c r="AD10" s="16"/>
      <c r="AE10" s="16"/>
      <c r="AF10" s="143"/>
      <c r="AG10" s="143"/>
      <c r="AH10" s="143"/>
      <c r="AI10" s="143"/>
      <c r="AJ10" s="143"/>
      <c r="AK10" s="16"/>
      <c r="AL10" s="16"/>
      <c r="AM10" s="143"/>
      <c r="AN10" s="177">
        <f>SUM(P10:AM10)-O10</f>
        <v>1690207</v>
      </c>
    </row>
    <row r="11" spans="1:40" ht="15" thickBot="1" x14ac:dyDescent="0.4">
      <c r="A11" s="40">
        <v>119</v>
      </c>
      <c r="B11" s="79" t="s">
        <v>63</v>
      </c>
      <c r="C11" s="46">
        <v>1008024</v>
      </c>
      <c r="D11" s="97">
        <v>0</v>
      </c>
      <c r="E11" s="10">
        <f>C11+D11</f>
        <v>1008024</v>
      </c>
      <c r="F11" s="23">
        <v>1336236</v>
      </c>
      <c r="G11" s="23">
        <v>0</v>
      </c>
      <c r="H11" s="16">
        <f>F11+G11</f>
        <v>1336236</v>
      </c>
      <c r="I11" s="16">
        <f>E11-H11</f>
        <v>-328212</v>
      </c>
      <c r="J11" s="23">
        <v>0</v>
      </c>
      <c r="K11" s="23">
        <v>0</v>
      </c>
      <c r="L11" s="46">
        <v>0</v>
      </c>
      <c r="M11" s="46">
        <v>0</v>
      </c>
      <c r="N11" s="46">
        <v>0</v>
      </c>
      <c r="O11" s="46">
        <v>0</v>
      </c>
      <c r="P11" s="78">
        <f>I11-M11-J11-K11-N11-L11</f>
        <v>-328212</v>
      </c>
      <c r="Q11" s="155"/>
      <c r="R11" s="155"/>
      <c r="S11" s="45">
        <f>IF(-$P11&lt;VLOOKUP(A11,Eligibility!$A$3:$F$423,6,0),-P11,VLOOKUP(A11,Eligibility!$A$3:$F$423,6,0))</f>
        <v>328212</v>
      </c>
      <c r="T11" s="155"/>
      <c r="U11" s="155"/>
      <c r="V11" s="10"/>
      <c r="W11" s="155"/>
      <c r="X11" s="143"/>
      <c r="Y11" s="143"/>
      <c r="Z11" s="10"/>
      <c r="AA11" s="155"/>
      <c r="AB11" s="155"/>
      <c r="AC11" s="143"/>
      <c r="AD11" s="16"/>
      <c r="AE11" s="16"/>
      <c r="AF11" s="143"/>
      <c r="AG11" s="143"/>
      <c r="AH11" s="143"/>
      <c r="AI11" s="143"/>
      <c r="AJ11" s="143"/>
      <c r="AK11" s="16"/>
      <c r="AL11" s="16"/>
      <c r="AM11" s="143"/>
      <c r="AN11" s="177">
        <f>SUM(P11:AM11)-O11</f>
        <v>0</v>
      </c>
    </row>
    <row r="12" spans="1:40" ht="15" thickBot="1" x14ac:dyDescent="0.4">
      <c r="A12" s="40">
        <v>140</v>
      </c>
      <c r="B12" s="79" t="s">
        <v>64</v>
      </c>
      <c r="C12" s="46">
        <v>268433</v>
      </c>
      <c r="D12" s="97">
        <v>0</v>
      </c>
      <c r="E12" s="10">
        <f>C12+D12</f>
        <v>268433</v>
      </c>
      <c r="F12" s="23">
        <v>1523177</v>
      </c>
      <c r="G12" s="23">
        <v>0</v>
      </c>
      <c r="H12" s="16">
        <f>F12+G12</f>
        <v>1523177</v>
      </c>
      <c r="I12" s="16">
        <f>E12-H12</f>
        <v>-1254744</v>
      </c>
      <c r="J12" s="23">
        <v>764246</v>
      </c>
      <c r="K12" s="23">
        <v>0</v>
      </c>
      <c r="L12" s="46">
        <v>0</v>
      </c>
      <c r="M12" s="46">
        <v>7059.17</v>
      </c>
      <c r="N12" s="46">
        <v>20000</v>
      </c>
      <c r="O12" s="46">
        <v>0</v>
      </c>
      <c r="P12" s="78">
        <f>I12-M12-J12-K12-N12-L12</f>
        <v>-2046049.17</v>
      </c>
      <c r="Q12" s="155"/>
      <c r="R12" s="155"/>
      <c r="S12" s="45">
        <f>IF(-$P12&lt;VLOOKUP(A12,Eligibility!$A$3:$F$423,6,0),-P12,VLOOKUP(A12,Eligibility!$A$3:$F$423,6,0))</f>
        <v>2046049.17</v>
      </c>
      <c r="T12" s="155"/>
      <c r="U12" s="155"/>
      <c r="V12" s="10"/>
      <c r="W12" s="155"/>
      <c r="X12" s="143"/>
      <c r="Y12" s="143"/>
      <c r="Z12" s="10"/>
      <c r="AA12" s="155"/>
      <c r="AB12" s="155"/>
      <c r="AC12" s="143"/>
      <c r="AD12" s="16"/>
      <c r="AE12" s="16"/>
      <c r="AF12" s="143"/>
      <c r="AG12" s="143"/>
      <c r="AH12" s="143"/>
      <c r="AI12" s="143"/>
      <c r="AJ12" s="143"/>
      <c r="AK12" s="16"/>
      <c r="AL12" s="16"/>
      <c r="AM12" s="143"/>
      <c r="AN12" s="177">
        <f>SUM(P12:AM12)-O12</f>
        <v>0</v>
      </c>
    </row>
    <row r="13" spans="1:40" ht="15" thickBot="1" x14ac:dyDescent="0.4">
      <c r="A13" s="40">
        <v>147</v>
      </c>
      <c r="B13" s="79" t="s">
        <v>65</v>
      </c>
      <c r="C13" s="46">
        <v>16279682</v>
      </c>
      <c r="D13" s="97">
        <v>0</v>
      </c>
      <c r="E13" s="10">
        <f>C13+D13</f>
        <v>16279682</v>
      </c>
      <c r="F13" s="23">
        <v>7676722</v>
      </c>
      <c r="G13" s="23">
        <v>51908</v>
      </c>
      <c r="H13" s="16">
        <f>F13+G13</f>
        <v>7728630</v>
      </c>
      <c r="I13" s="16">
        <f>E13-H13</f>
        <v>8551052</v>
      </c>
      <c r="J13" s="23">
        <v>3298047</v>
      </c>
      <c r="K13" s="23">
        <v>462495</v>
      </c>
      <c r="L13" s="46">
        <v>0</v>
      </c>
      <c r="M13" s="46">
        <v>21177.51</v>
      </c>
      <c r="N13" s="46">
        <v>0</v>
      </c>
      <c r="O13" s="46">
        <v>0</v>
      </c>
      <c r="P13" s="78">
        <f>I13-M13-J13-K13-N13-L13</f>
        <v>4769332.49</v>
      </c>
      <c r="Q13" s="155"/>
      <c r="R13" s="155"/>
      <c r="S13" s="45">
        <f>IF(J13+K13+L13+M13+N13&lt;VLOOKUP(A13,Eligibility!$A$3:$F$423,6,0),J13+K13+L13+M13+N13,VLOOKUP(A13,Eligibility!$A$3:$F$423,6,0))</f>
        <v>3781719.51</v>
      </c>
      <c r="T13" s="155"/>
      <c r="U13" s="155"/>
      <c r="V13" s="10"/>
      <c r="W13" s="155"/>
      <c r="X13" s="143"/>
      <c r="Y13" s="143"/>
      <c r="Z13" s="10"/>
      <c r="AA13" s="155"/>
      <c r="AB13" s="155"/>
      <c r="AC13" s="143"/>
      <c r="AD13" s="16"/>
      <c r="AE13" s="16"/>
      <c r="AF13" s="143"/>
      <c r="AG13" s="143"/>
      <c r="AH13" s="143"/>
      <c r="AI13" s="143"/>
      <c r="AJ13" s="143"/>
      <c r="AK13" s="16"/>
      <c r="AL13" s="16"/>
      <c r="AM13" s="143"/>
      <c r="AN13" s="177">
        <f>SUM(P13:AM13)-O13</f>
        <v>8551052</v>
      </c>
    </row>
    <row r="14" spans="1:40" ht="15" thickBot="1" x14ac:dyDescent="0.4">
      <c r="A14" s="40">
        <v>154</v>
      </c>
      <c r="B14" s="79" t="s">
        <v>66</v>
      </c>
      <c r="C14" s="46">
        <v>517043</v>
      </c>
      <c r="D14" s="97">
        <v>0</v>
      </c>
      <c r="E14" s="10">
        <f>C14+D14</f>
        <v>517043</v>
      </c>
      <c r="F14" s="23">
        <v>416306</v>
      </c>
      <c r="G14" s="23">
        <v>0</v>
      </c>
      <c r="H14" s="16">
        <f>F14+G14</f>
        <v>416306</v>
      </c>
      <c r="I14" s="16">
        <f>E14-H14</f>
        <v>100737</v>
      </c>
      <c r="J14" s="23">
        <v>0</v>
      </c>
      <c r="K14" s="23">
        <v>0</v>
      </c>
      <c r="L14" s="46">
        <v>0</v>
      </c>
      <c r="M14" s="46">
        <v>0</v>
      </c>
      <c r="N14" s="46">
        <v>0</v>
      </c>
      <c r="O14" s="46">
        <v>0</v>
      </c>
      <c r="P14" s="78">
        <f>I14-M14-J14-K14-N14-L14</f>
        <v>100737</v>
      </c>
      <c r="Q14" s="155"/>
      <c r="R14" s="155"/>
      <c r="S14" s="45">
        <f>IF(J14+K14+L14+M14+N14&lt;VLOOKUP(A14,Eligibility!$A$3:$F$423,6,0),J14+K14+L14+M14+N14,VLOOKUP(A14,Eligibility!$A$3:$F$423,6,0))</f>
        <v>0</v>
      </c>
      <c r="T14" s="155"/>
      <c r="U14" s="155"/>
      <c r="V14" s="10"/>
      <c r="W14" s="155"/>
      <c r="X14" s="143"/>
      <c r="Y14" s="143"/>
      <c r="Z14" s="10"/>
      <c r="AA14" s="155"/>
      <c r="AB14" s="155"/>
      <c r="AC14" s="143"/>
      <c r="AD14" s="16"/>
      <c r="AE14" s="16"/>
      <c r="AF14" s="143"/>
      <c r="AG14" s="143"/>
      <c r="AH14" s="143"/>
      <c r="AI14" s="143"/>
      <c r="AJ14" s="143"/>
      <c r="AK14" s="16"/>
      <c r="AL14" s="16"/>
      <c r="AM14" s="143"/>
      <c r="AN14" s="177">
        <f>SUM(P14:AM14)-O14</f>
        <v>100737</v>
      </c>
    </row>
    <row r="15" spans="1:40" ht="15" thickBot="1" x14ac:dyDescent="0.4">
      <c r="A15" s="40">
        <v>161</v>
      </c>
      <c r="B15" s="79" t="s">
        <v>67</v>
      </c>
      <c r="C15" s="46">
        <v>304939</v>
      </c>
      <c r="D15" s="97">
        <v>0</v>
      </c>
      <c r="E15" s="10">
        <f>C15+D15</f>
        <v>304939</v>
      </c>
      <c r="F15" s="23">
        <v>320552</v>
      </c>
      <c r="G15" s="23">
        <v>0</v>
      </c>
      <c r="H15" s="16">
        <f>F15+G15</f>
        <v>320552</v>
      </c>
      <c r="I15" s="16">
        <f>E15-H15</f>
        <v>-15613</v>
      </c>
      <c r="J15" s="23">
        <v>0</v>
      </c>
      <c r="K15" s="23">
        <v>0</v>
      </c>
      <c r="L15" s="46">
        <v>0</v>
      </c>
      <c r="M15" s="46">
        <v>0</v>
      </c>
      <c r="N15" s="46">
        <v>0</v>
      </c>
      <c r="O15" s="46">
        <v>0</v>
      </c>
      <c r="P15" s="78">
        <f>I15-M15-J15-K15-N15-L15</f>
        <v>-15613</v>
      </c>
      <c r="Q15" s="155"/>
      <c r="R15" s="155"/>
      <c r="S15" s="45">
        <f>IF(-$P15&lt;VLOOKUP(A15,Eligibility!$A$3:$F$423,6,0),-P15,VLOOKUP(A15,Eligibility!$A$3:$F$423,6,0))</f>
        <v>15613</v>
      </c>
      <c r="T15" s="155"/>
      <c r="U15" s="155"/>
      <c r="V15" s="39"/>
      <c r="W15" s="155"/>
      <c r="X15" s="143"/>
      <c r="Y15" s="143"/>
      <c r="Z15" s="10"/>
      <c r="AA15" s="155"/>
      <c r="AB15" s="155"/>
      <c r="AC15" s="143"/>
      <c r="AD15" s="16"/>
      <c r="AE15" s="16"/>
      <c r="AF15" s="143"/>
      <c r="AG15" s="143"/>
      <c r="AH15" s="143"/>
      <c r="AI15" s="143"/>
      <c r="AJ15" s="143"/>
      <c r="AK15" s="16"/>
      <c r="AL15" s="16"/>
      <c r="AM15" s="143"/>
      <c r="AN15" s="177">
        <f>SUM(P15:AM15)-O15</f>
        <v>0</v>
      </c>
    </row>
    <row r="16" spans="1:40" ht="15" thickBot="1" x14ac:dyDescent="0.4">
      <c r="A16" s="40">
        <v>2450</v>
      </c>
      <c r="B16" s="79" t="s">
        <v>68</v>
      </c>
      <c r="C16" s="46">
        <v>1760979</v>
      </c>
      <c r="D16" s="97">
        <v>0</v>
      </c>
      <c r="E16" s="10">
        <f>C16+D16</f>
        <v>1760979</v>
      </c>
      <c r="F16" s="23">
        <v>566200</v>
      </c>
      <c r="G16" s="23">
        <v>0</v>
      </c>
      <c r="H16" s="16">
        <f>F16+G16</f>
        <v>566200</v>
      </c>
      <c r="I16" s="16">
        <f>E16-H16</f>
        <v>1194779</v>
      </c>
      <c r="J16" s="23">
        <v>125244</v>
      </c>
      <c r="K16" s="23">
        <v>64885</v>
      </c>
      <c r="L16" s="46">
        <v>0</v>
      </c>
      <c r="M16" s="46">
        <v>0</v>
      </c>
      <c r="N16" s="46">
        <v>0</v>
      </c>
      <c r="O16" s="46">
        <v>0</v>
      </c>
      <c r="P16" s="78">
        <f>I16-M16-J16-K16-N16-L16</f>
        <v>1004650</v>
      </c>
      <c r="Q16" s="155"/>
      <c r="R16" s="155"/>
      <c r="S16" s="45">
        <f>IF(J16+K16+L16+M16+N16&lt;VLOOKUP(A16,Eligibility!$A$3:$F$423,6,0),J16+K16+L16+M16+N16,VLOOKUP(A16,Eligibility!$A$3:$F$423,6,0))</f>
        <v>190129</v>
      </c>
      <c r="T16" s="155"/>
      <c r="U16" s="155"/>
      <c r="V16" s="10"/>
      <c r="W16" s="155"/>
      <c r="X16" s="143"/>
      <c r="Y16" s="143"/>
      <c r="Z16" s="10"/>
      <c r="AA16" s="155"/>
      <c r="AB16" s="155"/>
      <c r="AC16" s="143"/>
      <c r="AD16" s="16"/>
      <c r="AE16" s="16"/>
      <c r="AF16" s="143"/>
      <c r="AG16" s="143"/>
      <c r="AH16" s="143"/>
      <c r="AI16" s="143"/>
      <c r="AJ16" s="143"/>
      <c r="AK16" s="16"/>
      <c r="AL16" s="16"/>
      <c r="AM16" s="143"/>
      <c r="AN16" s="177">
        <f>SUM(P16:AM16)-O16</f>
        <v>1194779</v>
      </c>
    </row>
    <row r="17" spans="1:40" ht="15" thickBot="1" x14ac:dyDescent="0.4">
      <c r="A17" s="40">
        <v>170</v>
      </c>
      <c r="B17" s="79" t="s">
        <v>69</v>
      </c>
      <c r="C17" s="46">
        <v>453070</v>
      </c>
      <c r="D17" s="97">
        <v>0</v>
      </c>
      <c r="E17" s="10">
        <f>C17+D17</f>
        <v>453070</v>
      </c>
      <c r="F17" s="23">
        <v>1071085</v>
      </c>
      <c r="G17" s="23">
        <v>0</v>
      </c>
      <c r="H17" s="16">
        <f>F17+G17</f>
        <v>1071085</v>
      </c>
      <c r="I17" s="16">
        <f>E17-H17</f>
        <v>-618015</v>
      </c>
      <c r="J17" s="23">
        <v>349246</v>
      </c>
      <c r="K17" s="23">
        <v>139881.5</v>
      </c>
      <c r="L17" s="46">
        <v>0</v>
      </c>
      <c r="M17" s="46">
        <v>0</v>
      </c>
      <c r="N17" s="46">
        <v>20000</v>
      </c>
      <c r="O17" s="46">
        <v>0</v>
      </c>
      <c r="P17" s="78">
        <f>I17-M17-J17-K17-N17-L17</f>
        <v>-1127142.5</v>
      </c>
      <c r="Q17" s="155"/>
      <c r="R17" s="155"/>
      <c r="S17" s="45">
        <f>IF(-$P17&lt;VLOOKUP(A17,Eligibility!$A$3:$F$423,6,0),-P17,VLOOKUP(A17,Eligibility!$A$3:$F$423,6,0))</f>
        <v>1127142.5</v>
      </c>
      <c r="T17" s="155"/>
      <c r="U17" s="155"/>
      <c r="V17" s="10"/>
      <c r="W17" s="155"/>
      <c r="X17" s="143"/>
      <c r="Y17" s="143"/>
      <c r="Z17" s="10"/>
      <c r="AA17" s="155"/>
      <c r="AB17" s="155"/>
      <c r="AC17" s="143"/>
      <c r="AD17" s="16"/>
      <c r="AE17" s="16"/>
      <c r="AF17" s="143"/>
      <c r="AG17" s="143"/>
      <c r="AH17" s="143"/>
      <c r="AI17" s="143"/>
      <c r="AJ17" s="143"/>
      <c r="AK17" s="16"/>
      <c r="AL17" s="16"/>
      <c r="AM17" s="143"/>
      <c r="AN17" s="177">
        <f>SUM(P17:AM17)-O17</f>
        <v>0</v>
      </c>
    </row>
    <row r="18" spans="1:40" ht="15" thickBot="1" x14ac:dyDescent="0.4">
      <c r="A18" s="40">
        <v>182</v>
      </c>
      <c r="B18" s="79" t="s">
        <v>70</v>
      </c>
      <c r="C18" s="46">
        <v>9425480</v>
      </c>
      <c r="D18" s="97">
        <v>8125</v>
      </c>
      <c r="E18" s="10">
        <f>C18+D18</f>
        <v>9433605</v>
      </c>
      <c r="F18" s="23">
        <v>1126627</v>
      </c>
      <c r="G18" s="23">
        <v>0</v>
      </c>
      <c r="H18" s="16">
        <f>F18+G18</f>
        <v>1126627</v>
      </c>
      <c r="I18" s="16">
        <f>E18-H18</f>
        <v>8306978</v>
      </c>
      <c r="J18" s="23">
        <v>191456</v>
      </c>
      <c r="K18" s="23">
        <v>12977</v>
      </c>
      <c r="L18" s="46">
        <v>0</v>
      </c>
      <c r="M18" s="46">
        <v>7059.17</v>
      </c>
      <c r="N18" s="46">
        <v>0</v>
      </c>
      <c r="O18" s="46">
        <v>0</v>
      </c>
      <c r="P18" s="78">
        <f>I18-M18-J18-K18-N18-L18</f>
        <v>8095485.8300000001</v>
      </c>
      <c r="Q18" s="155"/>
      <c r="R18" s="155"/>
      <c r="S18" s="45">
        <f>IF(J18+K18+L18+M18+N18&lt;VLOOKUP(A18,Eligibility!$A$3:$F$423,6,0),J18+K18+L18+M18+N18,VLOOKUP(A18,Eligibility!$A$3:$F$423,6,0))</f>
        <v>211492.17</v>
      </c>
      <c r="T18" s="155"/>
      <c r="U18" s="155"/>
      <c r="V18" s="10"/>
      <c r="W18" s="155"/>
      <c r="X18" s="143"/>
      <c r="Y18" s="143"/>
      <c r="Z18" s="10"/>
      <c r="AA18" s="155"/>
      <c r="AB18" s="155"/>
      <c r="AC18" s="143"/>
      <c r="AD18" s="16"/>
      <c r="AE18" s="16"/>
      <c r="AF18" s="143"/>
      <c r="AG18" s="143"/>
      <c r="AH18" s="143"/>
      <c r="AI18" s="143"/>
      <c r="AJ18" s="143"/>
      <c r="AK18" s="16"/>
      <c r="AL18" s="16"/>
      <c r="AM18" s="143"/>
      <c r="AN18" s="177">
        <f>SUM(P18:AM18)-O18</f>
        <v>8306978</v>
      </c>
    </row>
    <row r="19" spans="1:40" ht="15" thickBot="1" x14ac:dyDescent="0.4">
      <c r="A19" s="40">
        <v>196</v>
      </c>
      <c r="B19" s="79" t="s">
        <v>71</v>
      </c>
      <c r="C19" s="46">
        <v>277852</v>
      </c>
      <c r="D19" s="97">
        <v>0</v>
      </c>
      <c r="E19" s="39">
        <f>C19+D19</f>
        <v>277852</v>
      </c>
      <c r="F19" s="23">
        <v>268056</v>
      </c>
      <c r="G19" s="23">
        <v>0</v>
      </c>
      <c r="H19" s="38">
        <f>F19+G19</f>
        <v>268056</v>
      </c>
      <c r="I19" s="38">
        <f>E19-H19</f>
        <v>9796</v>
      </c>
      <c r="J19" s="23">
        <v>186750</v>
      </c>
      <c r="K19" s="23">
        <v>0</v>
      </c>
      <c r="L19" s="46">
        <v>0</v>
      </c>
      <c r="M19" s="46">
        <v>0</v>
      </c>
      <c r="N19" s="46">
        <v>0</v>
      </c>
      <c r="O19" s="46">
        <v>0</v>
      </c>
      <c r="P19" s="78">
        <f>I19-M19-J19-K19-N19-L19</f>
        <v>-176954</v>
      </c>
      <c r="Q19" s="155"/>
      <c r="R19" s="155"/>
      <c r="S19" s="45">
        <f>IF(J19+K19+L19+M19+N19&lt;VLOOKUP(A19,Eligibility!$A$3:$F$423,6,0),J19+K19+L19+M19+N19,VLOOKUP(A19,Eligibility!$A$3:$F$423,6,0))</f>
        <v>186750</v>
      </c>
      <c r="T19" s="155"/>
      <c r="U19" s="155"/>
      <c r="V19" s="39"/>
      <c r="W19" s="155"/>
      <c r="X19" s="144"/>
      <c r="Y19" s="143"/>
      <c r="Z19" s="39"/>
      <c r="AA19" s="155"/>
      <c r="AB19" s="155"/>
      <c r="AC19" s="143"/>
      <c r="AD19" s="38"/>
      <c r="AE19" s="38"/>
      <c r="AF19" s="144"/>
      <c r="AG19" s="143"/>
      <c r="AH19" s="143"/>
      <c r="AI19" s="143"/>
      <c r="AJ19" s="143"/>
      <c r="AK19" s="38"/>
      <c r="AL19" s="38"/>
      <c r="AM19" s="143"/>
      <c r="AN19" s="177">
        <f>SUM(P19:AM19)-O19</f>
        <v>9796</v>
      </c>
    </row>
    <row r="20" spans="1:40" ht="15" thickBot="1" x14ac:dyDescent="0.4">
      <c r="A20" s="40">
        <v>203</v>
      </c>
      <c r="B20" s="79" t="s">
        <v>72</v>
      </c>
      <c r="C20" s="46">
        <v>1105558</v>
      </c>
      <c r="D20" s="97">
        <v>0</v>
      </c>
      <c r="E20" s="10">
        <f>C20+D20</f>
        <v>1105558</v>
      </c>
      <c r="F20" s="23">
        <v>766705</v>
      </c>
      <c r="G20" s="23">
        <v>0</v>
      </c>
      <c r="H20" s="16">
        <f>F20+G20</f>
        <v>766705</v>
      </c>
      <c r="I20" s="16">
        <f>E20-H20</f>
        <v>338853</v>
      </c>
      <c r="J20" s="23">
        <v>8946</v>
      </c>
      <c r="K20" s="23">
        <v>0</v>
      </c>
      <c r="L20" s="46">
        <v>0</v>
      </c>
      <c r="M20" s="46">
        <v>0</v>
      </c>
      <c r="N20" s="46">
        <v>0</v>
      </c>
      <c r="O20" s="46">
        <v>0</v>
      </c>
      <c r="P20" s="78">
        <f>I20-M20-J20-K20-N20-L20</f>
        <v>329907</v>
      </c>
      <c r="Q20" s="155"/>
      <c r="R20" s="155"/>
      <c r="S20" s="45">
        <f>IF(J20+K20+L20+M20+N20&lt;VLOOKUP(A20,Eligibility!$A$3:$F$423,6,0),J20+K20+L20+M20+N20,VLOOKUP(A20,Eligibility!$A$3:$F$423,6,0))</f>
        <v>8946</v>
      </c>
      <c r="T20" s="155"/>
      <c r="U20" s="155"/>
      <c r="V20" s="39"/>
      <c r="W20" s="155"/>
      <c r="X20" s="143"/>
      <c r="Y20" s="143"/>
      <c r="Z20" s="10"/>
      <c r="AA20" s="155"/>
      <c r="AB20" s="155"/>
      <c r="AC20" s="143"/>
      <c r="AD20" s="16"/>
      <c r="AE20" s="16"/>
      <c r="AF20" s="143"/>
      <c r="AG20" s="143"/>
      <c r="AH20" s="143"/>
      <c r="AI20" s="143"/>
      <c r="AJ20" s="143"/>
      <c r="AK20" s="16"/>
      <c r="AL20" s="16"/>
      <c r="AM20" s="143"/>
      <c r="AN20" s="177">
        <f>SUM(P20:AM20)-O20</f>
        <v>338853</v>
      </c>
    </row>
    <row r="21" spans="1:40" ht="15" thickBot="1" x14ac:dyDescent="0.4">
      <c r="A21" s="40">
        <v>217</v>
      </c>
      <c r="B21" s="79" t="s">
        <v>73</v>
      </c>
      <c r="C21" s="46">
        <v>626988</v>
      </c>
      <c r="D21" s="97">
        <v>0</v>
      </c>
      <c r="E21" s="10">
        <f>C21+D21</f>
        <v>626988</v>
      </c>
      <c r="F21" s="23">
        <v>468305</v>
      </c>
      <c r="G21" s="23">
        <v>0</v>
      </c>
      <c r="H21" s="16">
        <f>F21+G21</f>
        <v>468305</v>
      </c>
      <c r="I21" s="16">
        <f>E21-H21</f>
        <v>158683</v>
      </c>
      <c r="J21" s="23">
        <v>17246</v>
      </c>
      <c r="K21" s="23">
        <v>0</v>
      </c>
      <c r="L21" s="46">
        <v>0</v>
      </c>
      <c r="M21" s="46">
        <v>0</v>
      </c>
      <c r="N21" s="46">
        <v>0</v>
      </c>
      <c r="O21" s="46">
        <v>0</v>
      </c>
      <c r="P21" s="78">
        <f>I21-M21-J21-K21-N21-L21</f>
        <v>141437</v>
      </c>
      <c r="Q21" s="155"/>
      <c r="R21" s="155"/>
      <c r="S21" s="45">
        <f>IF(J21+K21+L21+M21+N21&lt;VLOOKUP(A21,Eligibility!$A$3:$F$423,6,0),J21+K21+L21+M21+N21,VLOOKUP(A21,Eligibility!$A$3:$F$423,6,0))</f>
        <v>17246</v>
      </c>
      <c r="T21" s="155"/>
      <c r="U21" s="155"/>
      <c r="V21" s="39"/>
      <c r="W21" s="155"/>
      <c r="X21" s="143"/>
      <c r="Y21" s="143"/>
      <c r="Z21" s="10"/>
      <c r="AA21" s="155"/>
      <c r="AB21" s="155"/>
      <c r="AC21" s="143"/>
      <c r="AD21" s="16"/>
      <c r="AE21" s="16"/>
      <c r="AF21" s="143"/>
      <c r="AG21" s="143"/>
      <c r="AH21" s="143"/>
      <c r="AI21" s="143"/>
      <c r="AJ21" s="143"/>
      <c r="AK21" s="16"/>
      <c r="AL21" s="16"/>
      <c r="AM21" s="143"/>
      <c r="AN21" s="177">
        <f>SUM(P21:AM21)-O21</f>
        <v>158683</v>
      </c>
    </row>
    <row r="22" spans="1:40" ht="15" thickBot="1" x14ac:dyDescent="0.4">
      <c r="A22" s="40">
        <v>231</v>
      </c>
      <c r="B22" s="79" t="s">
        <v>74</v>
      </c>
      <c r="C22" s="46">
        <v>1496618</v>
      </c>
      <c r="D22" s="97">
        <v>0</v>
      </c>
      <c r="E22" s="10">
        <f>C22+D22</f>
        <v>1496618</v>
      </c>
      <c r="F22" s="23">
        <v>996102</v>
      </c>
      <c r="G22" s="23">
        <v>0</v>
      </c>
      <c r="H22" s="16">
        <f>F22+G22</f>
        <v>996102</v>
      </c>
      <c r="I22" s="16">
        <f>E22-H22</f>
        <v>500516</v>
      </c>
      <c r="J22" s="23">
        <v>0</v>
      </c>
      <c r="K22" s="23">
        <v>0</v>
      </c>
      <c r="L22" s="46">
        <v>0</v>
      </c>
      <c r="M22" s="46">
        <v>0</v>
      </c>
      <c r="N22" s="46">
        <v>0</v>
      </c>
      <c r="O22" s="46">
        <v>0</v>
      </c>
      <c r="P22" s="78">
        <f>I22-M22-J22-K22-N22-L22</f>
        <v>500516</v>
      </c>
      <c r="Q22" s="155"/>
      <c r="R22" s="155"/>
      <c r="S22" s="45">
        <f>IF(J22+K22+L22+M22+N22&lt;VLOOKUP(A22,Eligibility!$A$3:$F$423,6,0),J22+K22+L22+M22+N22,VLOOKUP(A22,Eligibility!$A$3:$F$423,6,0))</f>
        <v>0</v>
      </c>
      <c r="T22" s="155"/>
      <c r="U22" s="155"/>
      <c r="V22" s="10"/>
      <c r="W22" s="155"/>
      <c r="X22" s="143"/>
      <c r="Y22" s="143"/>
      <c r="Z22" s="10"/>
      <c r="AA22" s="155"/>
      <c r="AB22" s="155"/>
      <c r="AC22" s="143"/>
      <c r="AD22" s="16"/>
      <c r="AE22" s="16"/>
      <c r="AF22" s="143"/>
      <c r="AG22" s="143"/>
      <c r="AH22" s="143"/>
      <c r="AI22" s="143"/>
      <c r="AJ22" s="143"/>
      <c r="AK22" s="16"/>
      <c r="AL22" s="16"/>
      <c r="AM22" s="143"/>
      <c r="AN22" s="177">
        <f>SUM(P22:AM22)-O22</f>
        <v>500516</v>
      </c>
    </row>
    <row r="23" spans="1:40" ht="15" thickBot="1" x14ac:dyDescent="0.4">
      <c r="A23" s="40">
        <v>245</v>
      </c>
      <c r="B23" s="79" t="s">
        <v>75</v>
      </c>
      <c r="C23" s="46">
        <v>742778</v>
      </c>
      <c r="D23" s="97">
        <v>0</v>
      </c>
      <c r="E23" s="10">
        <f>C23+D23</f>
        <v>742778</v>
      </c>
      <c r="F23" s="23">
        <v>846180</v>
      </c>
      <c r="G23" s="23">
        <v>0</v>
      </c>
      <c r="H23" s="16">
        <f>F23+G23</f>
        <v>846180</v>
      </c>
      <c r="I23" s="16">
        <f>E23-H23</f>
        <v>-103402</v>
      </c>
      <c r="J23" s="23">
        <v>42146</v>
      </c>
      <c r="K23" s="23">
        <v>12977</v>
      </c>
      <c r="L23" s="46">
        <v>0</v>
      </c>
      <c r="M23" s="46">
        <v>0</v>
      </c>
      <c r="N23" s="46">
        <v>0</v>
      </c>
      <c r="O23" s="46">
        <v>0</v>
      </c>
      <c r="P23" s="78">
        <f>I23-M23-J23-K23-N23-L23</f>
        <v>-158525</v>
      </c>
      <c r="Q23" s="155"/>
      <c r="R23" s="155"/>
      <c r="S23" s="45">
        <f>IF(-$P23&lt;VLOOKUP(A23,Eligibility!$A$3:$F$423,6,0),-P23,VLOOKUP(A23,Eligibility!$A$3:$F$423,6,0))</f>
        <v>158525</v>
      </c>
      <c r="T23" s="155"/>
      <c r="U23" s="155"/>
      <c r="V23" s="10"/>
      <c r="W23" s="155"/>
      <c r="X23" s="143"/>
      <c r="Y23" s="143"/>
      <c r="Z23" s="10"/>
      <c r="AA23" s="155"/>
      <c r="AB23" s="155"/>
      <c r="AC23" s="143"/>
      <c r="AD23" s="16"/>
      <c r="AE23" s="16"/>
      <c r="AF23" s="143"/>
      <c r="AG23" s="143"/>
      <c r="AH23" s="143"/>
      <c r="AI23" s="143"/>
      <c r="AJ23" s="143"/>
      <c r="AK23" s="16"/>
      <c r="AL23" s="16"/>
      <c r="AM23" s="143"/>
      <c r="AN23" s="177">
        <f>SUM(P23:AM23)-O23</f>
        <v>0</v>
      </c>
    </row>
    <row r="24" spans="1:40" ht="15" thickBot="1" x14ac:dyDescent="0.4">
      <c r="A24" s="40">
        <v>280</v>
      </c>
      <c r="B24" s="79" t="s">
        <v>76</v>
      </c>
      <c r="C24" s="46">
        <v>789444</v>
      </c>
      <c r="D24" s="97">
        <v>0</v>
      </c>
      <c r="E24" s="10">
        <f>C24+D24</f>
        <v>789444</v>
      </c>
      <c r="F24" s="23">
        <v>1738252</v>
      </c>
      <c r="G24" s="23">
        <v>0</v>
      </c>
      <c r="H24" s="16">
        <f>F24+G24</f>
        <v>1738252</v>
      </c>
      <c r="I24" s="16">
        <f>E24-H24</f>
        <v>-948808</v>
      </c>
      <c r="J24" s="23">
        <v>344499</v>
      </c>
      <c r="K24" s="23">
        <v>25954</v>
      </c>
      <c r="L24" s="46">
        <v>0</v>
      </c>
      <c r="M24" s="46">
        <v>0</v>
      </c>
      <c r="N24" s="46">
        <v>0</v>
      </c>
      <c r="O24" s="46">
        <v>0</v>
      </c>
      <c r="P24" s="78">
        <f>I24-M24-J24-K24-N24-L24</f>
        <v>-1319261</v>
      </c>
      <c r="Q24" s="155"/>
      <c r="R24" s="155"/>
      <c r="S24" s="45">
        <f>IF(-$P24&lt;VLOOKUP(A24,Eligibility!$A$3:$F$423,6,0),-P24,VLOOKUP(A24,Eligibility!$A$3:$F$423,6,0))</f>
        <v>1319261</v>
      </c>
      <c r="T24" s="155"/>
      <c r="U24" s="155"/>
      <c r="V24" s="39"/>
      <c r="W24" s="155"/>
      <c r="X24" s="143"/>
      <c r="Y24" s="143"/>
      <c r="Z24" s="10"/>
      <c r="AA24" s="155"/>
      <c r="AB24" s="155"/>
      <c r="AC24" s="143"/>
      <c r="AD24" s="16"/>
      <c r="AE24" s="16"/>
      <c r="AF24" s="143"/>
      <c r="AG24" s="143"/>
      <c r="AH24" s="143"/>
      <c r="AI24" s="143"/>
      <c r="AJ24" s="143"/>
      <c r="AK24" s="16"/>
      <c r="AL24" s="16"/>
      <c r="AM24" s="143"/>
      <c r="AN24" s="177">
        <f>SUM(P24:AM24)-O24</f>
        <v>0</v>
      </c>
    </row>
    <row r="25" spans="1:40" ht="15" thickBot="1" x14ac:dyDescent="0.4">
      <c r="A25" s="40">
        <v>287</v>
      </c>
      <c r="B25" s="79" t="s">
        <v>77</v>
      </c>
      <c r="C25" s="46">
        <v>581747</v>
      </c>
      <c r="D25" s="97">
        <v>0</v>
      </c>
      <c r="E25" s="10">
        <f>C25+D25</f>
        <v>581747</v>
      </c>
      <c r="F25" s="23">
        <v>265257</v>
      </c>
      <c r="G25" s="23">
        <v>0</v>
      </c>
      <c r="H25" s="16">
        <f>F25+G25</f>
        <v>265257</v>
      </c>
      <c r="I25" s="16">
        <f>E25-H25</f>
        <v>316490</v>
      </c>
      <c r="J25" s="23">
        <v>0</v>
      </c>
      <c r="K25" s="23">
        <v>0</v>
      </c>
      <c r="L25" s="46">
        <v>9165</v>
      </c>
      <c r="M25" s="46">
        <v>0</v>
      </c>
      <c r="N25" s="46">
        <v>0</v>
      </c>
      <c r="O25" s="46">
        <v>0</v>
      </c>
      <c r="P25" s="78">
        <f>I25-M25-J25-K25-N25-L25</f>
        <v>307325</v>
      </c>
      <c r="Q25" s="155"/>
      <c r="R25" s="155"/>
      <c r="S25" s="45">
        <f>IF(J25+K25+L25+M25+N25&lt;VLOOKUP(A25,Eligibility!$A$3:$F$423,6,0),J25+K25+L25+M25+N25,VLOOKUP(A25,Eligibility!$A$3:$F$423,6,0))</f>
        <v>9165</v>
      </c>
      <c r="T25" s="155"/>
      <c r="U25" s="155"/>
      <c r="V25" s="39"/>
      <c r="W25" s="155"/>
      <c r="X25" s="143"/>
      <c r="Y25" s="143"/>
      <c r="Z25" s="10"/>
      <c r="AA25" s="155"/>
      <c r="AB25" s="155"/>
      <c r="AC25" s="143"/>
      <c r="AD25" s="16"/>
      <c r="AE25" s="16"/>
      <c r="AF25" s="143"/>
      <c r="AG25" s="143"/>
      <c r="AH25" s="143"/>
      <c r="AI25" s="143"/>
      <c r="AJ25" s="143"/>
      <c r="AK25" s="16"/>
      <c r="AL25" s="16"/>
      <c r="AM25" s="143"/>
      <c r="AN25" s="177">
        <f>SUM(P25:AM25)-O25</f>
        <v>316490</v>
      </c>
    </row>
    <row r="26" spans="1:40" ht="15" thickBot="1" x14ac:dyDescent="0.4">
      <c r="A26" s="40">
        <v>308</v>
      </c>
      <c r="B26" s="79" t="s">
        <v>78</v>
      </c>
      <c r="C26" s="46">
        <v>980129</v>
      </c>
      <c r="D26" s="97">
        <v>0</v>
      </c>
      <c r="E26" s="10">
        <f>C26+D26</f>
        <v>980129</v>
      </c>
      <c r="F26" s="23">
        <v>2413573</v>
      </c>
      <c r="G26" s="23">
        <v>0</v>
      </c>
      <c r="H26" s="16">
        <f>F26+G26</f>
        <v>2413573</v>
      </c>
      <c r="I26" s="16">
        <f>E26-H26</f>
        <v>-1433444</v>
      </c>
      <c r="J26" s="23">
        <v>17892</v>
      </c>
      <c r="K26" s="23">
        <v>0</v>
      </c>
      <c r="L26" s="46">
        <v>0</v>
      </c>
      <c r="M26" s="46">
        <v>0</v>
      </c>
      <c r="N26" s="46">
        <v>0</v>
      </c>
      <c r="O26" s="46">
        <v>0</v>
      </c>
      <c r="P26" s="78">
        <f>I26-M26-J26-K26-N26-L26</f>
        <v>-1451336</v>
      </c>
      <c r="Q26" s="155"/>
      <c r="R26" s="155"/>
      <c r="S26" s="45">
        <f>IF(-$P26&lt;VLOOKUP(A26,Eligibility!$A$3:$F$423,6,0),-P26,VLOOKUP(A26,Eligibility!$A$3:$F$423,6,0))</f>
        <v>1451336</v>
      </c>
      <c r="T26" s="155"/>
      <c r="U26" s="155"/>
      <c r="V26" s="10"/>
      <c r="W26" s="155"/>
      <c r="X26" s="143"/>
      <c r="Y26" s="143"/>
      <c r="Z26" s="10"/>
      <c r="AA26" s="155"/>
      <c r="AB26" s="155"/>
      <c r="AC26" s="143"/>
      <c r="AD26" s="16"/>
      <c r="AE26" s="16"/>
      <c r="AF26" s="143"/>
      <c r="AG26" s="143"/>
      <c r="AH26" s="143"/>
      <c r="AI26" s="143"/>
      <c r="AJ26" s="143"/>
      <c r="AK26" s="16"/>
      <c r="AL26" s="16"/>
      <c r="AM26" s="143"/>
      <c r="AN26" s="177">
        <f>SUM(P26:AM26)-O26</f>
        <v>0</v>
      </c>
    </row>
    <row r="27" spans="1:40" ht="15" thickBot="1" x14ac:dyDescent="0.4">
      <c r="A27" s="40">
        <v>315</v>
      </c>
      <c r="B27" s="79" t="s">
        <v>31</v>
      </c>
      <c r="C27" s="46">
        <v>75746</v>
      </c>
      <c r="D27" s="97">
        <v>0</v>
      </c>
      <c r="E27" s="10">
        <f>C27+D27</f>
        <v>75746</v>
      </c>
      <c r="F27" s="23">
        <v>401125</v>
      </c>
      <c r="G27" s="23">
        <v>0</v>
      </c>
      <c r="H27" s="16">
        <f>F27+G27</f>
        <v>401125</v>
      </c>
      <c r="I27" s="16">
        <f>E27-H27</f>
        <v>-325379</v>
      </c>
      <c r="J27" s="23">
        <v>0</v>
      </c>
      <c r="K27" s="23">
        <v>0</v>
      </c>
      <c r="L27" s="46">
        <v>0</v>
      </c>
      <c r="M27" s="46">
        <v>0</v>
      </c>
      <c r="N27" s="46">
        <v>0</v>
      </c>
      <c r="O27" s="46">
        <v>0</v>
      </c>
      <c r="P27" s="78">
        <f>I27-M27-J27-K27-N27-L27</f>
        <v>-325379</v>
      </c>
      <c r="Q27" s="155">
        <v>33734</v>
      </c>
      <c r="R27" s="155">
        <v>33908</v>
      </c>
      <c r="S27" s="45">
        <f>IF(-$P27&lt;VLOOKUP(A27,Eligibility!$A$3:$F$423,6,0),-P27,VLOOKUP(A27,Eligibility!$A$3:$F$423,6,0))</f>
        <v>47471</v>
      </c>
      <c r="T27" s="155"/>
      <c r="U27" s="155"/>
      <c r="V27" s="38"/>
      <c r="W27" s="155">
        <v>29092</v>
      </c>
      <c r="X27" s="143">
        <v>33185.160000000003</v>
      </c>
      <c r="Y27" s="143">
        <v>69848</v>
      </c>
      <c r="Z27" s="10">
        <v>70767.5</v>
      </c>
      <c r="AA27" s="155">
        <v>7373.34</v>
      </c>
      <c r="AB27" s="155"/>
      <c r="AC27" s="143"/>
      <c r="AD27" s="16"/>
      <c r="AE27" s="16"/>
      <c r="AF27" s="143"/>
      <c r="AG27" s="143"/>
      <c r="AH27" s="143"/>
      <c r="AI27" s="143"/>
      <c r="AJ27" s="143"/>
      <c r="AK27" s="16"/>
      <c r="AL27" s="16"/>
      <c r="AM27" s="143"/>
      <c r="AN27" s="177">
        <f>SUM(P27:AM27)-O27</f>
        <v>0</v>
      </c>
    </row>
    <row r="28" spans="1:40" ht="15" thickBot="1" x14ac:dyDescent="0.4">
      <c r="A28" s="40">
        <v>336</v>
      </c>
      <c r="B28" s="79" t="s">
        <v>79</v>
      </c>
      <c r="C28" s="46">
        <v>974404</v>
      </c>
      <c r="D28" s="97">
        <v>0</v>
      </c>
      <c r="E28" s="10">
        <f>C28+D28</f>
        <v>974404</v>
      </c>
      <c r="F28" s="23">
        <v>1226704</v>
      </c>
      <c r="G28" s="23">
        <v>0</v>
      </c>
      <c r="H28" s="16">
        <f>F28+G28</f>
        <v>1226704</v>
      </c>
      <c r="I28" s="16">
        <f>E28-H28</f>
        <v>-252300</v>
      </c>
      <c r="J28" s="23">
        <v>482974</v>
      </c>
      <c r="K28" s="23">
        <v>38931</v>
      </c>
      <c r="L28" s="46">
        <v>0</v>
      </c>
      <c r="M28" s="46">
        <v>14118.34</v>
      </c>
      <c r="N28" s="46">
        <v>0</v>
      </c>
      <c r="O28" s="46">
        <v>0</v>
      </c>
      <c r="P28" s="78">
        <f>I28-M28-J28-K28-N28-L28</f>
        <v>-788323.34</v>
      </c>
      <c r="Q28" s="155"/>
      <c r="R28" s="155"/>
      <c r="S28" s="45">
        <f>IF(-$P28&lt;VLOOKUP(A28,Eligibility!$A$3:$F$423,6,0),-P28,VLOOKUP(A28,Eligibility!$A$3:$F$423,6,0))</f>
        <v>788323.34</v>
      </c>
      <c r="T28" s="155"/>
      <c r="U28" s="155"/>
      <c r="V28" s="10"/>
      <c r="W28" s="155"/>
      <c r="X28" s="143"/>
      <c r="Y28" s="143"/>
      <c r="Z28" s="10"/>
      <c r="AA28" s="155"/>
      <c r="AB28" s="155"/>
      <c r="AC28" s="143"/>
      <c r="AD28" s="16"/>
      <c r="AE28" s="16"/>
      <c r="AF28" s="143"/>
      <c r="AG28" s="143"/>
      <c r="AH28" s="143"/>
      <c r="AI28" s="143"/>
      <c r="AJ28" s="143"/>
      <c r="AK28" s="16"/>
      <c r="AL28" s="16"/>
      <c r="AM28" s="143"/>
      <c r="AN28" s="177">
        <f>SUM(P28:AM28)-O28</f>
        <v>0</v>
      </c>
    </row>
    <row r="29" spans="1:40" ht="15" thickBot="1" x14ac:dyDescent="0.4">
      <c r="A29" s="40">
        <v>4263</v>
      </c>
      <c r="B29" s="79" t="s">
        <v>80</v>
      </c>
      <c r="C29" s="46">
        <v>98300</v>
      </c>
      <c r="D29" s="97">
        <v>0</v>
      </c>
      <c r="E29" s="10">
        <f>C29+D29</f>
        <v>98300</v>
      </c>
      <c r="F29" s="23">
        <v>282031</v>
      </c>
      <c r="G29" s="23">
        <v>0</v>
      </c>
      <c r="H29" s="16">
        <f>F29+G29</f>
        <v>282031</v>
      </c>
      <c r="I29" s="16">
        <f>E29-H29</f>
        <v>-183731</v>
      </c>
      <c r="J29" s="23">
        <v>16600</v>
      </c>
      <c r="K29" s="23">
        <v>0</v>
      </c>
      <c r="L29" s="46">
        <v>0</v>
      </c>
      <c r="M29" s="46">
        <v>0</v>
      </c>
      <c r="N29" s="46">
        <v>0</v>
      </c>
      <c r="O29" s="46">
        <v>0</v>
      </c>
      <c r="P29" s="78">
        <f>I29-M29-J29-K29-N29-L29</f>
        <v>-200331</v>
      </c>
      <c r="Q29" s="155">
        <v>24049</v>
      </c>
      <c r="R29" s="155">
        <v>24508</v>
      </c>
      <c r="S29" s="45">
        <f>IF(-$P29&lt;VLOOKUP(A29,Eligibility!$A$3:$F$423,6,0),-P29,VLOOKUP(A29,Eligibility!$A$3:$F$423,6,0))</f>
        <v>34311</v>
      </c>
      <c r="T29" s="155">
        <v>26158</v>
      </c>
      <c r="U29" s="155">
        <v>16349</v>
      </c>
      <c r="V29" s="38">
        <v>22887</v>
      </c>
      <c r="W29" s="155">
        <v>15670</v>
      </c>
      <c r="X29" s="143"/>
      <c r="Y29" s="143">
        <v>3198.89</v>
      </c>
      <c r="Z29" s="162">
        <v>33200.11</v>
      </c>
      <c r="AA29" s="155"/>
      <c r="AB29" s="155"/>
      <c r="AC29" s="143"/>
      <c r="AD29" s="16"/>
      <c r="AE29" s="16"/>
      <c r="AF29" s="143"/>
      <c r="AG29" s="143"/>
      <c r="AH29" s="143"/>
      <c r="AI29" s="143"/>
      <c r="AJ29" s="143"/>
      <c r="AK29" s="16"/>
      <c r="AL29" s="11"/>
      <c r="AM29" s="143"/>
      <c r="AN29" s="177">
        <f>SUM(P29:AM29)-O29</f>
        <v>0</v>
      </c>
    </row>
    <row r="30" spans="1:40" ht="15" thickBot="1" x14ac:dyDescent="0.4">
      <c r="A30" s="40">
        <v>350</v>
      </c>
      <c r="B30" s="79" t="s">
        <v>81</v>
      </c>
      <c r="C30" s="46">
        <v>484971</v>
      </c>
      <c r="D30" s="97">
        <v>0</v>
      </c>
      <c r="E30" s="10">
        <f>C30+D30</f>
        <v>484971</v>
      </c>
      <c r="F30" s="23">
        <v>570794</v>
      </c>
      <c r="G30" s="23">
        <v>16250</v>
      </c>
      <c r="H30" s="16">
        <f>F30+G30</f>
        <v>587044</v>
      </c>
      <c r="I30" s="16">
        <f>E30-H30</f>
        <v>-102073</v>
      </c>
      <c r="J30" s="23">
        <v>0</v>
      </c>
      <c r="K30" s="23">
        <v>0</v>
      </c>
      <c r="L30" s="46">
        <v>9165</v>
      </c>
      <c r="M30" s="46">
        <v>0</v>
      </c>
      <c r="N30" s="46">
        <v>0</v>
      </c>
      <c r="O30" s="46">
        <v>0</v>
      </c>
      <c r="P30" s="78">
        <f>I30-M30-J30-K30-N30-L30</f>
        <v>-111238</v>
      </c>
      <c r="Q30" s="155"/>
      <c r="R30" s="155"/>
      <c r="S30" s="45">
        <f>IF(-$P30&lt;VLOOKUP(A30,Eligibility!$A$3:$F$423,6,0),-P30,VLOOKUP(A30,Eligibility!$A$3:$F$423,6,0))</f>
        <v>111238</v>
      </c>
      <c r="T30" s="155"/>
      <c r="U30" s="155"/>
      <c r="V30" s="39"/>
      <c r="W30" s="155"/>
      <c r="X30" s="143"/>
      <c r="Y30" s="143"/>
      <c r="Z30" s="10"/>
      <c r="AA30" s="155"/>
      <c r="AB30" s="155"/>
      <c r="AC30" s="143"/>
      <c r="AD30" s="16"/>
      <c r="AE30" s="16"/>
      <c r="AF30" s="143"/>
      <c r="AG30" s="143"/>
      <c r="AH30" s="143"/>
      <c r="AI30" s="143"/>
      <c r="AJ30" s="143"/>
      <c r="AK30" s="16"/>
      <c r="AL30" s="16"/>
      <c r="AM30" s="143"/>
      <c r="AN30" s="177">
        <f>SUM(P30:AM30)-O30</f>
        <v>0</v>
      </c>
    </row>
    <row r="31" spans="1:40" ht="15" thickBot="1" x14ac:dyDescent="0.4">
      <c r="A31" s="40">
        <v>364</v>
      </c>
      <c r="B31" s="79" t="s">
        <v>82</v>
      </c>
      <c r="C31" s="46">
        <v>404671</v>
      </c>
      <c r="D31" s="97">
        <v>0</v>
      </c>
      <c r="E31" s="10">
        <f>C31+D31</f>
        <v>404671</v>
      </c>
      <c r="F31" s="23">
        <v>280048</v>
      </c>
      <c r="G31" s="23">
        <v>0</v>
      </c>
      <c r="H31" s="16">
        <f>F31+G31</f>
        <v>280048</v>
      </c>
      <c r="I31" s="16">
        <f>E31-H31</f>
        <v>124623</v>
      </c>
      <c r="J31" s="23">
        <v>0</v>
      </c>
      <c r="K31" s="23">
        <v>0</v>
      </c>
      <c r="L31" s="46">
        <v>0</v>
      </c>
      <c r="M31" s="46">
        <v>0</v>
      </c>
      <c r="N31" s="46">
        <v>0</v>
      </c>
      <c r="O31" s="46">
        <v>0</v>
      </c>
      <c r="P31" s="78">
        <f>I31-M31-J31-K31-N31-L31</f>
        <v>124623</v>
      </c>
      <c r="Q31" s="155"/>
      <c r="R31" s="155"/>
      <c r="S31" s="45">
        <f>IF(J31+K31+L31+M31+N31&lt;VLOOKUP(A31,Eligibility!$A$3:$F$423,6,0),J31+K31+L31+M31+N31,VLOOKUP(A31,Eligibility!$A$3:$F$423,6,0))</f>
        <v>0</v>
      </c>
      <c r="T31" s="155"/>
      <c r="U31" s="155"/>
      <c r="V31" s="39"/>
      <c r="W31" s="155"/>
      <c r="X31" s="143"/>
      <c r="Y31" s="143"/>
      <c r="Z31" s="10"/>
      <c r="AA31" s="155"/>
      <c r="AB31" s="155"/>
      <c r="AC31" s="143"/>
      <c r="AD31" s="16"/>
      <c r="AE31" s="16"/>
      <c r="AF31" s="143"/>
      <c r="AG31" s="143"/>
      <c r="AH31" s="143"/>
      <c r="AI31" s="143"/>
      <c r="AJ31" s="143"/>
      <c r="AK31" s="16"/>
      <c r="AL31" s="16"/>
      <c r="AM31" s="143"/>
      <c r="AN31" s="177">
        <f>SUM(P31:AM31)-O31</f>
        <v>124623</v>
      </c>
    </row>
    <row r="32" spans="1:40" s="75" customFormat="1" ht="15" thickBot="1" x14ac:dyDescent="0.4">
      <c r="A32" s="40">
        <v>413</v>
      </c>
      <c r="B32" s="79" t="s">
        <v>83</v>
      </c>
      <c r="C32" s="46">
        <v>982156</v>
      </c>
      <c r="D32" s="97">
        <v>0</v>
      </c>
      <c r="E32" s="10">
        <f>C32+D32</f>
        <v>982156</v>
      </c>
      <c r="F32" s="23">
        <v>6840819</v>
      </c>
      <c r="G32" s="23">
        <v>0</v>
      </c>
      <c r="H32" s="16">
        <f>F32+G32</f>
        <v>6840819</v>
      </c>
      <c r="I32" s="16">
        <f>E32-H32</f>
        <v>-5858663</v>
      </c>
      <c r="J32" s="23">
        <v>1452351.6</v>
      </c>
      <c r="K32" s="23">
        <v>0</v>
      </c>
      <c r="L32" s="46">
        <v>0</v>
      </c>
      <c r="M32" s="46">
        <v>127065.06</v>
      </c>
      <c r="N32" s="46">
        <v>0</v>
      </c>
      <c r="O32" s="46">
        <v>0</v>
      </c>
      <c r="P32" s="78">
        <f>I32-M32-J32-K32-N32-L32</f>
        <v>-7438079.6600000001</v>
      </c>
      <c r="Q32" s="155"/>
      <c r="R32" s="155"/>
      <c r="S32" s="45">
        <f>IF(-$P32&lt;VLOOKUP(A32,Eligibility!$A$3:$F$423,6,0),-P32,VLOOKUP(A32,Eligibility!$A$3:$F$423,6,0))</f>
        <v>7438079.6600000001</v>
      </c>
      <c r="T32" s="155"/>
      <c r="U32" s="155"/>
      <c r="V32" s="39"/>
      <c r="W32" s="155"/>
      <c r="X32" s="143"/>
      <c r="Y32" s="143"/>
      <c r="Z32" s="10"/>
      <c r="AA32" s="155"/>
      <c r="AB32" s="155"/>
      <c r="AC32" s="143"/>
      <c r="AD32" s="16"/>
      <c r="AE32" s="16"/>
      <c r="AF32" s="143"/>
      <c r="AG32" s="143"/>
      <c r="AH32" s="143"/>
      <c r="AI32" s="143"/>
      <c r="AJ32" s="143"/>
      <c r="AK32" s="16"/>
      <c r="AL32" s="16"/>
      <c r="AM32" s="143"/>
      <c r="AN32" s="177">
        <f>SUM(P32:AM32)-O32</f>
        <v>0</v>
      </c>
    </row>
    <row r="33" spans="1:40" ht="15" thickBot="1" x14ac:dyDescent="0.4">
      <c r="A33" s="40">
        <v>422</v>
      </c>
      <c r="B33" s="79" t="s">
        <v>84</v>
      </c>
      <c r="C33" s="46">
        <v>4454419</v>
      </c>
      <c r="D33" s="97">
        <v>0</v>
      </c>
      <c r="E33" s="10">
        <f>C33+D33</f>
        <v>4454419</v>
      </c>
      <c r="F33" s="23">
        <v>983497</v>
      </c>
      <c r="G33" s="23">
        <v>12977</v>
      </c>
      <c r="H33" s="16">
        <f>F33+G33</f>
        <v>996474</v>
      </c>
      <c r="I33" s="16">
        <f>E33-H33</f>
        <v>3457945</v>
      </c>
      <c r="J33" s="23">
        <v>199110</v>
      </c>
      <c r="K33" s="23">
        <v>0</v>
      </c>
      <c r="L33" s="46">
        <v>0</v>
      </c>
      <c r="M33" s="46">
        <v>0</v>
      </c>
      <c r="N33" s="46">
        <v>0</v>
      </c>
      <c r="O33" s="46"/>
      <c r="P33" s="78">
        <f>I33-M33-J33-K33-N33-L33</f>
        <v>3258835</v>
      </c>
      <c r="Q33" s="155"/>
      <c r="R33" s="155"/>
      <c r="S33" s="45">
        <f>IF(J33+K33+L33+M33+N33&lt;VLOOKUP(A33,Eligibility!$A$3:$F$423,6,0),J33+K33+L33+M33+N33,VLOOKUP(A33,Eligibility!$A$3:$F$423,6,0))</f>
        <v>199110</v>
      </c>
      <c r="T33" s="155"/>
      <c r="U33" s="155"/>
      <c r="V33" s="39"/>
      <c r="W33" s="155"/>
      <c r="X33" s="143"/>
      <c r="Y33" s="143"/>
      <c r="Z33" s="10"/>
      <c r="AA33" s="155"/>
      <c r="AB33" s="155"/>
      <c r="AC33" s="143"/>
      <c r="AD33" s="16"/>
      <c r="AE33" s="16"/>
      <c r="AF33" s="143"/>
      <c r="AG33" s="143"/>
      <c r="AH33" s="143"/>
      <c r="AI33" s="143"/>
      <c r="AJ33" s="143"/>
      <c r="AK33" s="16"/>
      <c r="AL33" s="16"/>
      <c r="AM33" s="143"/>
      <c r="AN33" s="177">
        <f>SUM(P33:AM33)-O33</f>
        <v>3457945</v>
      </c>
    </row>
    <row r="34" spans="1:40" ht="15" thickBot="1" x14ac:dyDescent="0.4">
      <c r="A34" s="40">
        <v>427</v>
      </c>
      <c r="B34" s="79" t="s">
        <v>85</v>
      </c>
      <c r="C34" s="46">
        <v>176855</v>
      </c>
      <c r="D34" s="97">
        <v>0</v>
      </c>
      <c r="E34" s="10">
        <f>C34+D34</f>
        <v>176855</v>
      </c>
      <c r="F34" s="23">
        <v>492104</v>
      </c>
      <c r="G34" s="23">
        <v>0</v>
      </c>
      <c r="H34" s="16">
        <f>F34+G34</f>
        <v>492104</v>
      </c>
      <c r="I34" s="16">
        <f>E34-H34</f>
        <v>-315249</v>
      </c>
      <c r="J34" s="23">
        <v>0</v>
      </c>
      <c r="K34" s="23">
        <v>0</v>
      </c>
      <c r="L34" s="46">
        <v>0</v>
      </c>
      <c r="M34" s="46">
        <v>0</v>
      </c>
      <c r="N34" s="46">
        <v>0</v>
      </c>
      <c r="O34" s="46">
        <v>0</v>
      </c>
      <c r="P34" s="78">
        <f>I34-M34-J34-K34-N34-L34</f>
        <v>-315249</v>
      </c>
      <c r="Q34" s="155"/>
      <c r="R34" s="155"/>
      <c r="S34" s="45">
        <f>IF(-$P34&lt;VLOOKUP(A34,Eligibility!$A$3:$F$423,6,0),-P34,VLOOKUP(A34,Eligibility!$A$3:$F$423,6,0))</f>
        <v>315249</v>
      </c>
      <c r="T34" s="155"/>
      <c r="U34" s="155"/>
      <c r="V34" s="39"/>
      <c r="W34" s="155"/>
      <c r="X34" s="143"/>
      <c r="Y34" s="143"/>
      <c r="Z34" s="10"/>
      <c r="AA34" s="155"/>
      <c r="AB34" s="155"/>
      <c r="AC34" s="143"/>
      <c r="AD34" s="16"/>
      <c r="AE34" s="16"/>
      <c r="AF34" s="143"/>
      <c r="AG34" s="143"/>
      <c r="AH34" s="143"/>
      <c r="AI34" s="143"/>
      <c r="AJ34" s="143"/>
      <c r="AK34" s="16"/>
      <c r="AL34" s="16"/>
      <c r="AM34" s="143"/>
      <c r="AN34" s="177">
        <f>SUM(P34:AM34)-O34</f>
        <v>0</v>
      </c>
    </row>
    <row r="35" spans="1:40" ht="15" thickBot="1" x14ac:dyDescent="0.4">
      <c r="A35" s="40">
        <v>434</v>
      </c>
      <c r="B35" s="79" t="s">
        <v>86</v>
      </c>
      <c r="C35" s="46">
        <v>808519</v>
      </c>
      <c r="D35" s="97">
        <v>0</v>
      </c>
      <c r="E35" s="10">
        <f>C35+D35</f>
        <v>808519</v>
      </c>
      <c r="F35" s="23">
        <v>1402266</v>
      </c>
      <c r="G35" s="23">
        <v>0</v>
      </c>
      <c r="H35" s="16">
        <f>F35+G35</f>
        <v>1402266</v>
      </c>
      <c r="I35" s="16">
        <f>E35-H35</f>
        <v>-593747</v>
      </c>
      <c r="J35" s="23">
        <v>280634</v>
      </c>
      <c r="K35" s="23">
        <v>0</v>
      </c>
      <c r="L35" s="46">
        <v>0</v>
      </c>
      <c r="M35" s="46">
        <v>0</v>
      </c>
      <c r="N35" s="46">
        <v>0</v>
      </c>
      <c r="O35" s="46">
        <v>0</v>
      </c>
      <c r="P35" s="78">
        <f>I35-M35-J35-K35-N35-L35</f>
        <v>-874381</v>
      </c>
      <c r="Q35" s="155"/>
      <c r="R35" s="155"/>
      <c r="S35" s="45">
        <f>IF(-$P35&lt;VLOOKUP(A35,Eligibility!$A$3:$F$423,6,0),-P35,VLOOKUP(A35,Eligibility!$A$3:$F$423,6,0))</f>
        <v>874381</v>
      </c>
      <c r="T35" s="155"/>
      <c r="U35" s="155"/>
      <c r="V35" s="39"/>
      <c r="W35" s="155"/>
      <c r="X35" s="143"/>
      <c r="Y35" s="143"/>
      <c r="Z35" s="10"/>
      <c r="AA35" s="155"/>
      <c r="AB35" s="155"/>
      <c r="AC35" s="143"/>
      <c r="AD35" s="16"/>
      <c r="AE35" s="16"/>
      <c r="AF35" s="143"/>
      <c r="AG35" s="143"/>
      <c r="AH35" s="143"/>
      <c r="AI35" s="143"/>
      <c r="AJ35" s="143"/>
      <c r="AK35" s="16"/>
      <c r="AL35" s="16"/>
      <c r="AM35" s="143"/>
      <c r="AN35" s="177">
        <f>SUM(P35:AM35)-O35</f>
        <v>0</v>
      </c>
    </row>
    <row r="36" spans="1:40" ht="15" thickBot="1" x14ac:dyDescent="0.4">
      <c r="A36" s="40">
        <v>6013</v>
      </c>
      <c r="B36" s="79" t="s">
        <v>41</v>
      </c>
      <c r="C36" s="46">
        <v>544056</v>
      </c>
      <c r="D36" s="97">
        <v>0</v>
      </c>
      <c r="E36" s="39">
        <f>C36+D36</f>
        <v>544056</v>
      </c>
      <c r="F36" s="23">
        <v>835039</v>
      </c>
      <c r="G36" s="23">
        <v>0</v>
      </c>
      <c r="H36" s="38">
        <f>F36+G36</f>
        <v>835039</v>
      </c>
      <c r="I36" s="38">
        <f>E36-H36</f>
        <v>-290983</v>
      </c>
      <c r="J36" s="23">
        <v>0</v>
      </c>
      <c r="K36" s="23">
        <v>0</v>
      </c>
      <c r="L36" s="46">
        <v>0</v>
      </c>
      <c r="M36" s="46">
        <v>7059.17</v>
      </c>
      <c r="N36" s="46">
        <v>0</v>
      </c>
      <c r="O36" s="46">
        <v>0</v>
      </c>
      <c r="P36" s="78">
        <f>I36-M36-J36-K36-N36-L36</f>
        <v>-298042.17</v>
      </c>
      <c r="Q36" s="155">
        <v>10819</v>
      </c>
      <c r="R36" s="155">
        <v>12318</v>
      </c>
      <c r="S36" s="45">
        <f>IF(-$P36&lt;VLOOKUP(A36,Eligibility!$A$3:$F$423,6,0),-P36,VLOOKUP(A36,Eligibility!$A$3:$F$423,6,0))</f>
        <v>17245</v>
      </c>
      <c r="T36" s="155">
        <v>5280</v>
      </c>
      <c r="U36" s="155">
        <v>3300</v>
      </c>
      <c r="V36" s="38">
        <v>4620</v>
      </c>
      <c r="W36" s="155"/>
      <c r="X36" s="144"/>
      <c r="Y36" s="143"/>
      <c r="Z36" s="39"/>
      <c r="AA36" s="155">
        <f>211423-5417+24105+11691-2776</f>
        <v>239026</v>
      </c>
      <c r="AB36" s="155"/>
      <c r="AC36" s="143"/>
      <c r="AD36" s="38">
        <v>1528</v>
      </c>
      <c r="AE36" s="39">
        <f>3904.81+1.36</f>
        <v>3906.17</v>
      </c>
      <c r="AF36" s="144"/>
      <c r="AG36" s="143"/>
      <c r="AH36" s="143"/>
      <c r="AI36" s="143"/>
      <c r="AJ36" s="143"/>
      <c r="AK36" s="38"/>
      <c r="AL36" s="38"/>
      <c r="AM36" s="143"/>
      <c r="AN36" s="177">
        <f>SUM(P36:AM36)-O36</f>
        <v>0</v>
      </c>
    </row>
    <row r="37" spans="1:40" ht="15" thickBot="1" x14ac:dyDescent="0.4">
      <c r="A37" s="40">
        <v>441</v>
      </c>
      <c r="B37" s="79" t="s">
        <v>87</v>
      </c>
      <c r="C37" s="46">
        <v>1072162</v>
      </c>
      <c r="D37" s="97">
        <v>0</v>
      </c>
      <c r="E37" s="10">
        <f>C37+D37</f>
        <v>1072162</v>
      </c>
      <c r="F37" s="23">
        <v>295358</v>
      </c>
      <c r="G37" s="23">
        <v>0</v>
      </c>
      <c r="H37" s="16">
        <f>F37+G37</f>
        <v>295358</v>
      </c>
      <c r="I37" s="16">
        <f>E37-H37</f>
        <v>776804</v>
      </c>
      <c r="J37" s="23">
        <v>0</v>
      </c>
      <c r="K37" s="23">
        <v>0</v>
      </c>
      <c r="L37" s="46">
        <v>0</v>
      </c>
      <c r="M37" s="46">
        <v>0</v>
      </c>
      <c r="N37" s="46">
        <v>0</v>
      </c>
      <c r="O37" s="46">
        <v>0</v>
      </c>
      <c r="P37" s="78">
        <f>I37-M37-J37-K37-N37-L37</f>
        <v>776804</v>
      </c>
      <c r="Q37" s="155"/>
      <c r="R37" s="155"/>
      <c r="S37" s="45">
        <f>IF(J37+K37+L37+M37+N37&lt;VLOOKUP(A37,Eligibility!$A$3:$F$423,6,0),J37+K37+L37+M37+N37,VLOOKUP(A37,Eligibility!$A$3:$F$423,6,0))</f>
        <v>0</v>
      </c>
      <c r="T37" s="155"/>
      <c r="U37" s="155"/>
      <c r="V37" s="39"/>
      <c r="W37" s="155"/>
      <c r="X37" s="143"/>
      <c r="Y37" s="143"/>
      <c r="Z37" s="10"/>
      <c r="AA37" s="155"/>
      <c r="AB37" s="155"/>
      <c r="AC37" s="143"/>
      <c r="AD37" s="16"/>
      <c r="AE37" s="16"/>
      <c r="AF37" s="143"/>
      <c r="AG37" s="143"/>
      <c r="AH37" s="143"/>
      <c r="AI37" s="143"/>
      <c r="AJ37" s="143"/>
      <c r="AK37" s="16"/>
      <c r="AL37" s="16"/>
      <c r="AM37" s="143"/>
      <c r="AN37" s="177">
        <f>SUM(P37:AM37)-O37</f>
        <v>776804</v>
      </c>
    </row>
    <row r="38" spans="1:40" ht="15" thickBot="1" x14ac:dyDescent="0.4">
      <c r="A38" s="40">
        <v>2240</v>
      </c>
      <c r="B38" s="79" t="s">
        <v>88</v>
      </c>
      <c r="C38" s="46">
        <v>316264</v>
      </c>
      <c r="D38" s="97">
        <v>0</v>
      </c>
      <c r="E38" s="10">
        <f>C38+D38</f>
        <v>316264</v>
      </c>
      <c r="F38" s="23">
        <v>524455</v>
      </c>
      <c r="G38" s="23">
        <v>0</v>
      </c>
      <c r="H38" s="16">
        <f>F38+G38</f>
        <v>524455</v>
      </c>
      <c r="I38" s="16">
        <f>E38-H38</f>
        <v>-208191</v>
      </c>
      <c r="J38" s="23">
        <v>0</v>
      </c>
      <c r="K38" s="23">
        <v>0</v>
      </c>
      <c r="L38" s="46">
        <v>0</v>
      </c>
      <c r="M38" s="46">
        <v>0</v>
      </c>
      <c r="N38" s="46">
        <v>0</v>
      </c>
      <c r="O38" s="46">
        <v>0</v>
      </c>
      <c r="P38" s="78">
        <f>I38-M38-J38-K38-N38-L38</f>
        <v>-208191</v>
      </c>
      <c r="Q38" s="155"/>
      <c r="R38" s="155"/>
      <c r="S38" s="45">
        <f>IF(-$P38&lt;VLOOKUP(A38,Eligibility!$A$3:$F$423,6,0),-P38,VLOOKUP(A38,Eligibility!$A$3:$F$423,6,0))</f>
        <v>208191</v>
      </c>
      <c r="T38" s="155"/>
      <c r="U38" s="155"/>
      <c r="V38" s="39"/>
      <c r="W38" s="155"/>
      <c r="X38" s="143"/>
      <c r="Y38" s="143"/>
      <c r="Z38" s="10"/>
      <c r="AA38" s="155"/>
      <c r="AB38" s="155"/>
      <c r="AC38" s="143"/>
      <c r="AD38" s="16"/>
      <c r="AE38" s="16"/>
      <c r="AF38" s="143"/>
      <c r="AG38" s="143"/>
      <c r="AH38" s="143"/>
      <c r="AI38" s="143"/>
      <c r="AJ38" s="143"/>
      <c r="AK38" s="16"/>
      <c r="AL38" s="16"/>
      <c r="AM38" s="143"/>
      <c r="AN38" s="177">
        <f>SUM(P38:AM38)-O38</f>
        <v>0</v>
      </c>
    </row>
    <row r="39" spans="1:40" ht="15" thickBot="1" x14ac:dyDescent="0.4">
      <c r="A39" s="40">
        <v>476</v>
      </c>
      <c r="B39" s="79" t="s">
        <v>89</v>
      </c>
      <c r="C39" s="46">
        <v>367567</v>
      </c>
      <c r="D39" s="97">
        <v>0</v>
      </c>
      <c r="E39" s="10">
        <f>C39+D39</f>
        <v>367567</v>
      </c>
      <c r="F39" s="23">
        <v>1309828</v>
      </c>
      <c r="G39" s="23">
        <v>0</v>
      </c>
      <c r="H39" s="16">
        <f>F39+G39</f>
        <v>1309828</v>
      </c>
      <c r="I39" s="16">
        <f>E39-H39</f>
        <v>-942261</v>
      </c>
      <c r="J39" s="23">
        <v>30342</v>
      </c>
      <c r="K39" s="23">
        <v>0</v>
      </c>
      <c r="L39" s="46">
        <v>0</v>
      </c>
      <c r="M39" s="46">
        <v>49414.19</v>
      </c>
      <c r="N39" s="46">
        <v>0</v>
      </c>
      <c r="O39" s="46">
        <v>0</v>
      </c>
      <c r="P39" s="78">
        <f>I39-M39-J39-K39-N39-L39</f>
        <v>-1022017.19</v>
      </c>
      <c r="Q39" s="155"/>
      <c r="R39" s="155"/>
      <c r="S39" s="45">
        <f>IF(-$P39&lt;VLOOKUP(A39,Eligibility!$A$3:$F$423,6,0),-P39,VLOOKUP(A39,Eligibility!$A$3:$F$423,6,0))</f>
        <v>1022017.19</v>
      </c>
      <c r="T39" s="155"/>
      <c r="U39" s="155"/>
      <c r="V39" s="39"/>
      <c r="W39" s="155"/>
      <c r="X39" s="143"/>
      <c r="Y39" s="143"/>
      <c r="Z39" s="10"/>
      <c r="AA39" s="155"/>
      <c r="AB39" s="155"/>
      <c r="AC39" s="143"/>
      <c r="AD39" s="16"/>
      <c r="AE39" s="16"/>
      <c r="AF39" s="143"/>
      <c r="AG39" s="143"/>
      <c r="AH39" s="143"/>
      <c r="AI39" s="143"/>
      <c r="AJ39" s="143"/>
      <c r="AK39" s="16"/>
      <c r="AL39" s="16"/>
      <c r="AM39" s="143"/>
      <c r="AN39" s="177">
        <f>SUM(P39:AM39)-O39</f>
        <v>0</v>
      </c>
    </row>
    <row r="40" spans="1:40" ht="15" thickBot="1" x14ac:dyDescent="0.4">
      <c r="A40" s="40">
        <v>485</v>
      </c>
      <c r="B40" s="79" t="s">
        <v>90</v>
      </c>
      <c r="C40" s="46">
        <v>432714</v>
      </c>
      <c r="D40" s="97">
        <v>0</v>
      </c>
      <c r="E40" s="10">
        <f>C40+D40</f>
        <v>432714</v>
      </c>
      <c r="F40" s="23">
        <v>663032</v>
      </c>
      <c r="G40" s="23">
        <v>0</v>
      </c>
      <c r="H40" s="16">
        <f>F40+G40</f>
        <v>663032</v>
      </c>
      <c r="I40" s="16">
        <f>E40-H40</f>
        <v>-230318</v>
      </c>
      <c r="J40" s="23">
        <v>0</v>
      </c>
      <c r="K40" s="23">
        <v>0</v>
      </c>
      <c r="L40" s="46">
        <v>0</v>
      </c>
      <c r="M40" s="46">
        <v>0</v>
      </c>
      <c r="N40" s="46">
        <v>0</v>
      </c>
      <c r="O40" s="46">
        <v>0</v>
      </c>
      <c r="P40" s="78">
        <f>I40-M40-J40-K40-N40-L40</f>
        <v>-230318</v>
      </c>
      <c r="Q40" s="155"/>
      <c r="R40" s="155"/>
      <c r="S40" s="45">
        <f>IF(-$P40&lt;VLOOKUP(A40,Eligibility!$A$3:$F$423,6,0),-P40,VLOOKUP(A40,Eligibility!$A$3:$F$423,6,0))</f>
        <v>230318</v>
      </c>
      <c r="T40" s="155"/>
      <c r="U40" s="155"/>
      <c r="V40" s="39"/>
      <c r="W40" s="155"/>
      <c r="X40" s="143"/>
      <c r="Y40" s="143"/>
      <c r="Z40" s="10"/>
      <c r="AA40" s="155"/>
      <c r="AB40" s="155"/>
      <c r="AC40" s="143"/>
      <c r="AD40" s="16"/>
      <c r="AE40" s="16"/>
      <c r="AF40" s="143"/>
      <c r="AG40" s="143"/>
      <c r="AH40" s="143"/>
      <c r="AI40" s="143"/>
      <c r="AJ40" s="143"/>
      <c r="AK40" s="16"/>
      <c r="AL40" s="16"/>
      <c r="AM40" s="143"/>
      <c r="AN40" s="177">
        <f>SUM(P40:AM40)-O40</f>
        <v>0</v>
      </c>
    </row>
    <row r="41" spans="1:40" ht="15" thickBot="1" x14ac:dyDescent="0.4">
      <c r="A41" s="40">
        <v>497</v>
      </c>
      <c r="B41" s="79" t="s">
        <v>91</v>
      </c>
      <c r="C41" s="46">
        <v>807536</v>
      </c>
      <c r="D41" s="97">
        <v>0</v>
      </c>
      <c r="E41" s="10">
        <f>C41+D41</f>
        <v>807536</v>
      </c>
      <c r="F41" s="23">
        <v>672084</v>
      </c>
      <c r="G41" s="23">
        <v>0</v>
      </c>
      <c r="H41" s="16">
        <f>F41+G41</f>
        <v>672084</v>
      </c>
      <c r="I41" s="16">
        <f>E41-H41</f>
        <v>135452</v>
      </c>
      <c r="J41" s="23">
        <v>25546</v>
      </c>
      <c r="K41" s="23">
        <v>0</v>
      </c>
      <c r="L41" s="46">
        <v>0</v>
      </c>
      <c r="M41" s="46">
        <v>0</v>
      </c>
      <c r="N41" s="46">
        <v>0</v>
      </c>
      <c r="O41" s="46">
        <v>0</v>
      </c>
      <c r="P41" s="78">
        <f>I41-M41-J41-K41-N41-L41</f>
        <v>109906</v>
      </c>
      <c r="Q41" s="155"/>
      <c r="R41" s="155"/>
      <c r="S41" s="45">
        <f>IF(J41+K41+L41+M41+N41&lt;VLOOKUP(A41,Eligibility!$A$3:$F$423,6,0),J41+K41+L41+M41+N41,VLOOKUP(A41,Eligibility!$A$3:$F$423,6,0))</f>
        <v>25546</v>
      </c>
      <c r="T41" s="155"/>
      <c r="U41" s="155"/>
      <c r="V41" s="39"/>
      <c r="W41" s="155"/>
      <c r="X41" s="143"/>
      <c r="Y41" s="143"/>
      <c r="Z41" s="10"/>
      <c r="AA41" s="155"/>
      <c r="AB41" s="155"/>
      <c r="AC41" s="143"/>
      <c r="AD41" s="16"/>
      <c r="AE41" s="16"/>
      <c r="AF41" s="143"/>
      <c r="AG41" s="143"/>
      <c r="AH41" s="143"/>
      <c r="AI41" s="143"/>
      <c r="AJ41" s="143"/>
      <c r="AK41" s="16"/>
      <c r="AL41" s="16"/>
      <c r="AM41" s="143"/>
      <c r="AN41" s="177">
        <f>SUM(P41:AM41)-O41</f>
        <v>135452</v>
      </c>
    </row>
    <row r="42" spans="1:40" ht="15" thickBot="1" x14ac:dyDescent="0.4">
      <c r="A42" s="40">
        <v>602</v>
      </c>
      <c r="B42" s="79" t="s">
        <v>92</v>
      </c>
      <c r="C42" s="46">
        <v>572361</v>
      </c>
      <c r="D42" s="97">
        <v>0</v>
      </c>
      <c r="E42" s="10">
        <f>C42+D42</f>
        <v>572361</v>
      </c>
      <c r="F42" s="23">
        <v>967597</v>
      </c>
      <c r="G42" s="23">
        <v>0</v>
      </c>
      <c r="H42" s="16">
        <f>F42+G42</f>
        <v>967597</v>
      </c>
      <c r="I42" s="16">
        <f>E42-H42</f>
        <v>-395236</v>
      </c>
      <c r="J42" s="23">
        <v>228250</v>
      </c>
      <c r="K42" s="23">
        <v>103816</v>
      </c>
      <c r="L42" s="46">
        <v>0</v>
      </c>
      <c r="M42" s="46">
        <v>0</v>
      </c>
      <c r="N42" s="46">
        <v>0</v>
      </c>
      <c r="O42" s="46">
        <v>0</v>
      </c>
      <c r="P42" s="78">
        <f>I42-M42-J42-K42-N42-L42</f>
        <v>-727302</v>
      </c>
      <c r="Q42" s="155"/>
      <c r="R42" s="155"/>
      <c r="S42" s="45">
        <f>IF(-$P42&lt;VLOOKUP(A42,Eligibility!$A$3:$F$423,6,0),-P42,VLOOKUP(A42,Eligibility!$A$3:$F$423,6,0))</f>
        <v>727302</v>
      </c>
      <c r="T42" s="155"/>
      <c r="U42" s="155"/>
      <c r="V42" s="39"/>
      <c r="W42" s="155"/>
      <c r="X42" s="143"/>
      <c r="Y42" s="143"/>
      <c r="Z42" s="10"/>
      <c r="AA42" s="155"/>
      <c r="AB42" s="155"/>
      <c r="AC42" s="143"/>
      <c r="AD42" s="16"/>
      <c r="AE42" s="16"/>
      <c r="AF42" s="143"/>
      <c r="AG42" s="143"/>
      <c r="AH42" s="143"/>
      <c r="AI42" s="143"/>
      <c r="AJ42" s="143"/>
      <c r="AK42" s="16"/>
      <c r="AL42" s="16"/>
      <c r="AM42" s="143"/>
      <c r="AN42" s="177">
        <f>SUM(P42:AM42)-O42</f>
        <v>0</v>
      </c>
    </row>
    <row r="43" spans="1:40" ht="15" thickBot="1" x14ac:dyDescent="0.4">
      <c r="A43" s="40">
        <v>609</v>
      </c>
      <c r="B43" s="79" t="s">
        <v>93</v>
      </c>
      <c r="C43" s="46">
        <v>347240</v>
      </c>
      <c r="D43" s="97">
        <v>0</v>
      </c>
      <c r="E43" s="10">
        <f>C43+D43</f>
        <v>347240</v>
      </c>
      <c r="F43" s="23">
        <v>896440</v>
      </c>
      <c r="G43" s="23">
        <v>0</v>
      </c>
      <c r="H43" s="16">
        <f>F43+G43</f>
        <v>896440</v>
      </c>
      <c r="I43" s="16">
        <f>E43-H43</f>
        <v>-549200</v>
      </c>
      <c r="J43" s="23">
        <v>0</v>
      </c>
      <c r="K43" s="23">
        <v>0</v>
      </c>
      <c r="L43" s="46">
        <v>0</v>
      </c>
      <c r="M43" s="46">
        <v>0</v>
      </c>
      <c r="N43" s="46">
        <v>0</v>
      </c>
      <c r="O43" s="46">
        <v>0</v>
      </c>
      <c r="P43" s="78">
        <f>I43-M43-J43-K43-N43-L43</f>
        <v>-549200</v>
      </c>
      <c r="Q43" s="155"/>
      <c r="R43" s="155"/>
      <c r="S43" s="45">
        <f>IF(-$P43&lt;VLOOKUP(A43,Eligibility!$A$3:$F$423,6,0),-P43,VLOOKUP(A43,Eligibility!$A$3:$F$423,6,0))</f>
        <v>549200</v>
      </c>
      <c r="T43" s="155"/>
      <c r="U43" s="155"/>
      <c r="V43" s="39"/>
      <c r="W43" s="155"/>
      <c r="X43" s="143"/>
      <c r="Y43" s="143"/>
      <c r="Z43" s="10"/>
      <c r="AA43" s="155"/>
      <c r="AB43" s="155"/>
      <c r="AC43" s="143"/>
      <c r="AD43" s="16"/>
      <c r="AE43" s="16"/>
      <c r="AF43" s="143"/>
      <c r="AG43" s="143"/>
      <c r="AH43" s="143"/>
      <c r="AI43" s="143"/>
      <c r="AJ43" s="143"/>
      <c r="AK43" s="16"/>
      <c r="AL43" s="16"/>
      <c r="AM43" s="143"/>
      <c r="AN43" s="177">
        <f>SUM(P43:AM43)-O43</f>
        <v>0</v>
      </c>
    </row>
    <row r="44" spans="1:40" ht="15" thickBot="1" x14ac:dyDescent="0.4">
      <c r="A44" s="40">
        <v>623</v>
      </c>
      <c r="B44" s="79" t="s">
        <v>94</v>
      </c>
      <c r="C44" s="46">
        <v>211728</v>
      </c>
      <c r="D44" s="97">
        <v>0</v>
      </c>
      <c r="E44" s="10">
        <f>C44+D44</f>
        <v>211728</v>
      </c>
      <c r="F44" s="23">
        <v>653039</v>
      </c>
      <c r="G44" s="23">
        <v>0</v>
      </c>
      <c r="H44" s="16">
        <f>F44+G44</f>
        <v>653039</v>
      </c>
      <c r="I44" s="16">
        <f>E44-H44</f>
        <v>-441311</v>
      </c>
      <c r="J44" s="23">
        <v>16600</v>
      </c>
      <c r="K44" s="23">
        <v>0</v>
      </c>
      <c r="L44" s="46">
        <v>0</v>
      </c>
      <c r="M44" s="46">
        <v>0</v>
      </c>
      <c r="N44" s="46">
        <v>0</v>
      </c>
      <c r="O44" s="46">
        <v>0</v>
      </c>
      <c r="P44" s="78">
        <f>I44-M44-J44-K44-N44-L44</f>
        <v>-457911</v>
      </c>
      <c r="Q44" s="155"/>
      <c r="R44" s="155"/>
      <c r="S44" s="45">
        <f>IF(-$P44&lt;VLOOKUP(A44,Eligibility!$A$3:$F$423,6,0),-P44,VLOOKUP(A44,Eligibility!$A$3:$F$423,6,0))</f>
        <v>457911</v>
      </c>
      <c r="T44" s="155"/>
      <c r="U44" s="155"/>
      <c r="V44" s="39"/>
      <c r="W44" s="155"/>
      <c r="X44" s="143"/>
      <c r="Y44" s="143"/>
      <c r="Z44" s="10"/>
      <c r="AA44" s="155"/>
      <c r="AB44" s="155"/>
      <c r="AC44" s="143"/>
      <c r="AD44" s="16"/>
      <c r="AE44" s="16"/>
      <c r="AF44" s="143"/>
      <c r="AG44" s="143"/>
      <c r="AH44" s="143"/>
      <c r="AI44" s="143"/>
      <c r="AJ44" s="143"/>
      <c r="AK44" s="16"/>
      <c r="AL44" s="16"/>
      <c r="AM44" s="143"/>
      <c r="AN44" s="177">
        <f>SUM(P44:AM44)-O44</f>
        <v>0</v>
      </c>
    </row>
    <row r="45" spans="1:40" ht="15" thickBot="1" x14ac:dyDescent="0.4">
      <c r="A45" s="40">
        <v>637</v>
      </c>
      <c r="B45" s="79" t="s">
        <v>95</v>
      </c>
      <c r="C45" s="46">
        <v>539531</v>
      </c>
      <c r="D45" s="97">
        <v>0</v>
      </c>
      <c r="E45" s="10">
        <f>C45+D45</f>
        <v>539531</v>
      </c>
      <c r="F45" s="23">
        <v>879913</v>
      </c>
      <c r="G45" s="23">
        <v>0</v>
      </c>
      <c r="H45" s="16">
        <f>F45+G45</f>
        <v>879913</v>
      </c>
      <c r="I45" s="16">
        <f>E45-H45</f>
        <v>-340382</v>
      </c>
      <c r="J45" s="23">
        <v>0</v>
      </c>
      <c r="K45" s="23">
        <v>0</v>
      </c>
      <c r="L45" s="46">
        <v>0</v>
      </c>
      <c r="M45" s="46">
        <v>0</v>
      </c>
      <c r="N45" s="46">
        <v>0</v>
      </c>
      <c r="O45" s="46">
        <v>0</v>
      </c>
      <c r="P45" s="78">
        <f>I45-M45-J45-K45-N45-L45</f>
        <v>-340382</v>
      </c>
      <c r="Q45" s="155"/>
      <c r="R45" s="155"/>
      <c r="S45" s="45">
        <f>IF(-$P45&lt;VLOOKUP(A45,Eligibility!$A$3:$F$423,6,0),-P45,VLOOKUP(A45,Eligibility!$A$3:$F$423,6,0))</f>
        <v>340382</v>
      </c>
      <c r="T45" s="155"/>
      <c r="U45" s="155"/>
      <c r="V45" s="39"/>
      <c r="W45" s="155"/>
      <c r="X45" s="143"/>
      <c r="Y45" s="143"/>
      <c r="Z45" s="10"/>
      <c r="AA45" s="155"/>
      <c r="AB45" s="155"/>
      <c r="AC45" s="143"/>
      <c r="AD45" s="16"/>
      <c r="AE45" s="16"/>
      <c r="AF45" s="143"/>
      <c r="AG45" s="143"/>
      <c r="AH45" s="143"/>
      <c r="AI45" s="143"/>
      <c r="AJ45" s="143"/>
      <c r="AK45" s="16"/>
      <c r="AL45" s="16"/>
      <c r="AM45" s="143"/>
      <c r="AN45" s="177">
        <f>SUM(P45:AM45)-O45</f>
        <v>0</v>
      </c>
    </row>
    <row r="46" spans="1:40" ht="15" thickBot="1" x14ac:dyDescent="0.4">
      <c r="A46" s="40">
        <v>657</v>
      </c>
      <c r="B46" s="79" t="s">
        <v>96</v>
      </c>
      <c r="C46" s="46">
        <v>695842</v>
      </c>
      <c r="D46" s="97">
        <v>0</v>
      </c>
      <c r="E46" s="10">
        <f>C46+D46</f>
        <v>695842</v>
      </c>
      <c r="F46" s="23">
        <v>170383</v>
      </c>
      <c r="G46" s="23">
        <v>0</v>
      </c>
      <c r="H46" s="16">
        <f>F46+G46</f>
        <v>170383</v>
      </c>
      <c r="I46" s="16">
        <f>E46-H46</f>
        <v>525459</v>
      </c>
      <c r="J46" s="23">
        <v>0</v>
      </c>
      <c r="K46" s="23">
        <v>0</v>
      </c>
      <c r="L46" s="46">
        <v>0</v>
      </c>
      <c r="M46" s="46">
        <v>0</v>
      </c>
      <c r="N46" s="46">
        <v>0</v>
      </c>
      <c r="O46" s="46">
        <v>0</v>
      </c>
      <c r="P46" s="78">
        <f>I46-M46-J46-K46-N46-L46</f>
        <v>525459</v>
      </c>
      <c r="Q46" s="155"/>
      <c r="R46" s="155"/>
      <c r="S46" s="45">
        <f>IF(J46+K46+L46+M46+N46&lt;VLOOKUP(A46,Eligibility!$A$3:$F$423,6,0),J46+K46+L46+M46+N46,VLOOKUP(A46,Eligibility!$A$3:$F$423,6,0))</f>
        <v>0</v>
      </c>
      <c r="T46" s="155"/>
      <c r="U46" s="155"/>
      <c r="V46" s="39"/>
      <c r="W46" s="155"/>
      <c r="X46" s="143"/>
      <c r="Y46" s="143"/>
      <c r="Z46" s="10"/>
      <c r="AA46" s="155"/>
      <c r="AB46" s="155"/>
      <c r="AC46" s="143"/>
      <c r="AD46" s="16"/>
      <c r="AE46" s="16"/>
      <c r="AF46" s="143"/>
      <c r="AG46" s="143"/>
      <c r="AH46" s="143"/>
      <c r="AI46" s="143"/>
      <c r="AJ46" s="143"/>
      <c r="AK46" s="16"/>
      <c r="AL46" s="16"/>
      <c r="AM46" s="143"/>
      <c r="AN46" s="177">
        <f>SUM(P46:AM46)-O46</f>
        <v>525459</v>
      </c>
    </row>
    <row r="47" spans="1:40" ht="15" thickBot="1" x14ac:dyDescent="0.4">
      <c r="A47" s="40">
        <v>658</v>
      </c>
      <c r="B47" s="79" t="s">
        <v>97</v>
      </c>
      <c r="C47" s="46">
        <v>1085400</v>
      </c>
      <c r="D47" s="97">
        <v>0</v>
      </c>
      <c r="E47" s="10">
        <f>C47+D47</f>
        <v>1085400</v>
      </c>
      <c r="F47" s="23">
        <v>415155</v>
      </c>
      <c r="G47" s="23">
        <v>0</v>
      </c>
      <c r="H47" s="16">
        <f>F47+G47</f>
        <v>415155</v>
      </c>
      <c r="I47" s="16">
        <f>E47-H47</f>
        <v>670245</v>
      </c>
      <c r="J47" s="23">
        <v>292438</v>
      </c>
      <c r="K47" s="23">
        <v>0</v>
      </c>
      <c r="L47" s="46">
        <v>0</v>
      </c>
      <c r="M47" s="46">
        <v>0</v>
      </c>
      <c r="N47" s="46">
        <v>1</v>
      </c>
      <c r="O47" s="46">
        <v>0</v>
      </c>
      <c r="P47" s="78">
        <f>I47-M47-J47-K47-N47-L47</f>
        <v>377806</v>
      </c>
      <c r="Q47" s="155"/>
      <c r="R47" s="155"/>
      <c r="S47" s="45">
        <f>IF(J47+K47+L47+M47+N47&lt;VLOOKUP(A47,Eligibility!$A$3:$F$423,6,0),J47+K47+L47+M47+N47,VLOOKUP(A47,Eligibility!$A$3:$F$423,6,0))</f>
        <v>292439</v>
      </c>
      <c r="T47" s="155"/>
      <c r="U47" s="155"/>
      <c r="V47" s="39"/>
      <c r="W47" s="155"/>
      <c r="X47" s="143"/>
      <c r="Y47" s="143"/>
      <c r="Z47" s="10"/>
      <c r="AA47" s="155"/>
      <c r="AB47" s="155"/>
      <c r="AC47" s="143"/>
      <c r="AD47" s="16"/>
      <c r="AE47" s="16"/>
      <c r="AF47" s="143"/>
      <c r="AG47" s="143"/>
      <c r="AH47" s="143"/>
      <c r="AI47" s="143"/>
      <c r="AJ47" s="143"/>
      <c r="AK47" s="16"/>
      <c r="AL47" s="16"/>
      <c r="AM47" s="143"/>
      <c r="AN47" s="177">
        <f>SUM(P47:AM47)-O47</f>
        <v>670245</v>
      </c>
    </row>
    <row r="48" spans="1:40" ht="15" thickBot="1" x14ac:dyDescent="0.4">
      <c r="A48" s="40">
        <v>665</v>
      </c>
      <c r="B48" s="79" t="s">
        <v>98</v>
      </c>
      <c r="C48" s="46">
        <v>813126</v>
      </c>
      <c r="D48" s="97">
        <v>0</v>
      </c>
      <c r="E48" s="10">
        <f>C48+D48</f>
        <v>813126</v>
      </c>
      <c r="F48" s="23">
        <v>452809</v>
      </c>
      <c r="G48" s="23">
        <v>0</v>
      </c>
      <c r="H48" s="16">
        <f>F48+G48</f>
        <v>452809</v>
      </c>
      <c r="I48" s="16">
        <f>E48-H48</f>
        <v>360317</v>
      </c>
      <c r="J48" s="23">
        <v>0</v>
      </c>
      <c r="K48" s="23">
        <v>0</v>
      </c>
      <c r="L48" s="46">
        <v>0</v>
      </c>
      <c r="M48" s="46">
        <v>0</v>
      </c>
      <c r="N48" s="46">
        <v>0</v>
      </c>
      <c r="O48" s="46">
        <v>0</v>
      </c>
      <c r="P48" s="78">
        <f>I48-M48-J48-K48-N48-L48</f>
        <v>360317</v>
      </c>
      <c r="Q48" s="155"/>
      <c r="R48" s="155"/>
      <c r="S48" s="45">
        <f>IF(J48+K48+L48+M48+N48&lt;VLOOKUP(A48,Eligibility!$A$3:$F$423,6,0),J48+K48+L48+M48+N48,VLOOKUP(A48,Eligibility!$A$3:$F$423,6,0))</f>
        <v>0</v>
      </c>
      <c r="T48" s="155"/>
      <c r="U48" s="155"/>
      <c r="V48" s="39"/>
      <c r="W48" s="155"/>
      <c r="X48" s="143"/>
      <c r="Y48" s="143"/>
      <c r="Z48" s="10"/>
      <c r="AA48" s="155"/>
      <c r="AB48" s="155"/>
      <c r="AC48" s="143"/>
      <c r="AD48" s="16"/>
      <c r="AE48" s="16"/>
      <c r="AF48" s="143"/>
      <c r="AG48" s="143"/>
      <c r="AH48" s="143"/>
      <c r="AI48" s="143"/>
      <c r="AJ48" s="143"/>
      <c r="AK48" s="16"/>
      <c r="AL48" s="16"/>
      <c r="AM48" s="143"/>
      <c r="AN48" s="177">
        <f>SUM(P48:AM48)-O48</f>
        <v>360317</v>
      </c>
    </row>
    <row r="49" spans="1:40" ht="15" thickBot="1" x14ac:dyDescent="0.4">
      <c r="A49" s="40">
        <v>700</v>
      </c>
      <c r="B49" s="79" t="s">
        <v>99</v>
      </c>
      <c r="C49" s="46">
        <v>744746</v>
      </c>
      <c r="D49" s="97">
        <v>0</v>
      </c>
      <c r="E49" s="10">
        <f>C49+D49</f>
        <v>744746</v>
      </c>
      <c r="F49" s="23">
        <v>829744</v>
      </c>
      <c r="G49" s="23">
        <v>0</v>
      </c>
      <c r="H49" s="16">
        <f>F49+G49</f>
        <v>829744</v>
      </c>
      <c r="I49" s="16">
        <f>E49-H49</f>
        <v>-84998</v>
      </c>
      <c r="J49" s="23">
        <v>0</v>
      </c>
      <c r="K49" s="23">
        <v>0</v>
      </c>
      <c r="L49" s="46">
        <v>0</v>
      </c>
      <c r="M49" s="46">
        <v>0</v>
      </c>
      <c r="N49" s="46">
        <v>0</v>
      </c>
      <c r="O49" s="46">
        <v>0</v>
      </c>
      <c r="P49" s="78">
        <f>I49-M49-J49-K49-N49-L49</f>
        <v>-84998</v>
      </c>
      <c r="Q49" s="155"/>
      <c r="R49" s="155"/>
      <c r="S49" s="45">
        <f>IF(-$P49&lt;VLOOKUP(A49,Eligibility!$A$3:$F$423,6,0),-P49,VLOOKUP(A49,Eligibility!$A$3:$F$423,6,0))</f>
        <v>84998</v>
      </c>
      <c r="T49" s="155"/>
      <c r="U49" s="155"/>
      <c r="V49" s="39"/>
      <c r="W49" s="155"/>
      <c r="X49" s="143"/>
      <c r="Y49" s="143"/>
      <c r="Z49" s="10"/>
      <c r="AA49" s="155"/>
      <c r="AB49" s="155"/>
      <c r="AC49" s="143"/>
      <c r="AD49" s="16"/>
      <c r="AE49" s="16"/>
      <c r="AF49" s="143"/>
      <c r="AG49" s="143"/>
      <c r="AH49" s="143"/>
      <c r="AI49" s="143"/>
      <c r="AJ49" s="143"/>
      <c r="AK49" s="16"/>
      <c r="AL49" s="16"/>
      <c r="AM49" s="143"/>
      <c r="AN49" s="177">
        <f>SUM(P49:AM49)-O49</f>
        <v>0</v>
      </c>
    </row>
    <row r="50" spans="1:40" ht="15" thickBot="1" x14ac:dyDescent="0.4">
      <c r="A50" s="40">
        <v>721</v>
      </c>
      <c r="B50" s="79" t="s">
        <v>100</v>
      </c>
      <c r="C50" s="46">
        <v>480884</v>
      </c>
      <c r="D50" s="97">
        <v>112056</v>
      </c>
      <c r="E50" s="10">
        <f>C50+D50</f>
        <v>592940</v>
      </c>
      <c r="F50" s="23">
        <v>1863819</v>
      </c>
      <c r="G50" s="23">
        <v>24375</v>
      </c>
      <c r="H50" s="16">
        <f>F50+G50</f>
        <v>1888194</v>
      </c>
      <c r="I50" s="16">
        <f>E50-H50</f>
        <v>-1295254</v>
      </c>
      <c r="J50" s="23">
        <v>411265.2</v>
      </c>
      <c r="K50" s="23">
        <v>25954</v>
      </c>
      <c r="L50" s="46">
        <v>0</v>
      </c>
      <c r="M50" s="46">
        <v>0</v>
      </c>
      <c r="N50" s="46">
        <v>0</v>
      </c>
      <c r="O50" s="46">
        <v>0</v>
      </c>
      <c r="P50" s="78">
        <f>I50-M50-J50-K50-N50-L50</f>
        <v>-1732473.2</v>
      </c>
      <c r="Q50" s="155"/>
      <c r="R50" s="155"/>
      <c r="S50" s="45">
        <f>IF(-$P50&lt;VLOOKUP(A50,Eligibility!$A$3:$F$423,6,0),-P50,VLOOKUP(A50,Eligibility!$A$3:$F$423,6,0))</f>
        <v>1732473.2</v>
      </c>
      <c r="T50" s="155"/>
      <c r="U50" s="155"/>
      <c r="V50" s="39"/>
      <c r="W50" s="155"/>
      <c r="X50" s="143"/>
      <c r="Y50" s="143"/>
      <c r="Z50" s="10"/>
      <c r="AA50" s="155"/>
      <c r="AB50" s="155"/>
      <c r="AC50" s="143"/>
      <c r="AD50" s="16"/>
      <c r="AE50" s="16"/>
      <c r="AF50" s="143"/>
      <c r="AG50" s="143"/>
      <c r="AH50" s="143"/>
      <c r="AI50" s="143"/>
      <c r="AJ50" s="143"/>
      <c r="AK50" s="16"/>
      <c r="AL50" s="16"/>
      <c r="AM50" s="143"/>
      <c r="AN50" s="177">
        <f>SUM(P50:AM50)-O50</f>
        <v>0</v>
      </c>
    </row>
    <row r="51" spans="1:40" ht="15" thickBot="1" x14ac:dyDescent="0.4">
      <c r="A51" s="40">
        <v>735</v>
      </c>
      <c r="B51" s="79" t="s">
        <v>101</v>
      </c>
      <c r="C51" s="46">
        <v>354700</v>
      </c>
      <c r="D51" s="97">
        <v>0</v>
      </c>
      <c r="E51" s="10">
        <f>C51+D51</f>
        <v>354700</v>
      </c>
      <c r="F51" s="23">
        <v>799486</v>
      </c>
      <c r="G51" s="23">
        <v>0</v>
      </c>
      <c r="H51" s="16">
        <f>F51+G51</f>
        <v>799486</v>
      </c>
      <c r="I51" s="16">
        <f>E51-H51</f>
        <v>-444786</v>
      </c>
      <c r="J51" s="23">
        <v>8300</v>
      </c>
      <c r="K51" s="23">
        <v>0</v>
      </c>
      <c r="L51" s="46">
        <v>17136</v>
      </c>
      <c r="M51" s="46">
        <v>0</v>
      </c>
      <c r="N51" s="46">
        <v>10000</v>
      </c>
      <c r="O51" s="46">
        <v>0</v>
      </c>
      <c r="P51" s="78">
        <f>I51-M51-J51-K51-N51-L51</f>
        <v>-480222</v>
      </c>
      <c r="Q51" s="155"/>
      <c r="R51" s="155"/>
      <c r="S51" s="45">
        <f>IF(-$P51&lt;VLOOKUP(A51,Eligibility!$A$3:$F$423,6,0),-P51,VLOOKUP(A51,Eligibility!$A$3:$F$423,6,0))</f>
        <v>480222</v>
      </c>
      <c r="T51" s="155"/>
      <c r="U51" s="155"/>
      <c r="V51" s="39"/>
      <c r="W51" s="155"/>
      <c r="X51" s="143"/>
      <c r="Y51" s="143"/>
      <c r="Z51" s="10"/>
      <c r="AA51" s="155"/>
      <c r="AB51" s="155"/>
      <c r="AC51" s="143"/>
      <c r="AD51" s="16"/>
      <c r="AE51" s="16"/>
      <c r="AF51" s="143"/>
      <c r="AG51" s="143"/>
      <c r="AH51" s="143"/>
      <c r="AI51" s="143"/>
      <c r="AJ51" s="143"/>
      <c r="AK51" s="16"/>
      <c r="AL51" s="16"/>
      <c r="AM51" s="143"/>
      <c r="AN51" s="177">
        <f>SUM(P51:AM51)-O51</f>
        <v>0</v>
      </c>
    </row>
    <row r="52" spans="1:40" ht="15" thickBot="1" x14ac:dyDescent="0.4">
      <c r="A52" s="40">
        <v>777</v>
      </c>
      <c r="B52" s="79" t="s">
        <v>102</v>
      </c>
      <c r="C52" s="46">
        <v>806498</v>
      </c>
      <c r="D52" s="97">
        <v>0</v>
      </c>
      <c r="E52" s="10">
        <f>C52+D52</f>
        <v>806498</v>
      </c>
      <c r="F52" s="23">
        <v>3300846</v>
      </c>
      <c r="G52" s="23">
        <v>8125</v>
      </c>
      <c r="H52" s="16">
        <f>F52+G52</f>
        <v>3308971</v>
      </c>
      <c r="I52" s="16">
        <f>E52-H52</f>
        <v>-2502473</v>
      </c>
      <c r="J52" s="23">
        <v>1054942</v>
      </c>
      <c r="K52" s="23">
        <v>0</v>
      </c>
      <c r="L52" s="46">
        <v>0</v>
      </c>
      <c r="M52" s="46">
        <v>14118.34</v>
      </c>
      <c r="N52" s="46">
        <v>0</v>
      </c>
      <c r="O52" s="46">
        <v>0</v>
      </c>
      <c r="P52" s="78">
        <f>I52-M52-J52-K52-N52-L52</f>
        <v>-3571533.34</v>
      </c>
      <c r="Q52" s="155"/>
      <c r="R52" s="155"/>
      <c r="S52" s="45">
        <f>IF(-$P52&lt;VLOOKUP(A52,Eligibility!$A$3:$F$423,6,0),-P52,VLOOKUP(A52,Eligibility!$A$3:$F$423,6,0))</f>
        <v>3571533.34</v>
      </c>
      <c r="T52" s="155"/>
      <c r="U52" s="155"/>
      <c r="V52" s="39"/>
      <c r="W52" s="155"/>
      <c r="X52" s="143"/>
      <c r="Y52" s="143"/>
      <c r="Z52" s="10"/>
      <c r="AA52" s="155"/>
      <c r="AB52" s="155"/>
      <c r="AC52" s="143"/>
      <c r="AD52" s="16"/>
      <c r="AE52" s="16"/>
      <c r="AF52" s="143"/>
      <c r="AG52" s="143"/>
      <c r="AH52" s="143"/>
      <c r="AI52" s="143"/>
      <c r="AJ52" s="143"/>
      <c r="AK52" s="16"/>
      <c r="AL52" s="16"/>
      <c r="AM52" s="143"/>
      <c r="AN52" s="177">
        <f>SUM(P52:AM52)-O52</f>
        <v>0</v>
      </c>
    </row>
    <row r="53" spans="1:40" ht="15" thickBot="1" x14ac:dyDescent="0.4">
      <c r="A53" s="40">
        <v>840</v>
      </c>
      <c r="B53" s="79" t="s">
        <v>103</v>
      </c>
      <c r="C53" s="46">
        <v>675177</v>
      </c>
      <c r="D53" s="97">
        <v>0</v>
      </c>
      <c r="E53" s="10">
        <f>C53+D53</f>
        <v>675177</v>
      </c>
      <c r="F53" s="23">
        <v>359330</v>
      </c>
      <c r="G53" s="23">
        <v>0</v>
      </c>
      <c r="H53" s="16">
        <f>F53+G53</f>
        <v>359330</v>
      </c>
      <c r="I53" s="16">
        <f>E53-H53</f>
        <v>315847</v>
      </c>
      <c r="J53" s="23">
        <v>0</v>
      </c>
      <c r="K53" s="23">
        <v>0</v>
      </c>
      <c r="L53" s="46">
        <v>0</v>
      </c>
      <c r="M53" s="46">
        <v>0</v>
      </c>
      <c r="N53" s="46">
        <v>0</v>
      </c>
      <c r="O53" s="46">
        <v>0</v>
      </c>
      <c r="P53" s="78">
        <f>I53-M53-J53-K53-N53-L53</f>
        <v>315847</v>
      </c>
      <c r="Q53" s="155"/>
      <c r="R53" s="155"/>
      <c r="S53" s="45">
        <f>IF(J53+K53+L53+M53+N53&lt;VLOOKUP(A53,Eligibility!$A$3:$F$423,6,0),J53+K53+L53+M53+N53,VLOOKUP(A53,Eligibility!$A$3:$F$423,6,0))</f>
        <v>0</v>
      </c>
      <c r="T53" s="155"/>
      <c r="U53" s="155"/>
      <c r="V53" s="39"/>
      <c r="W53" s="155"/>
      <c r="X53" s="143"/>
      <c r="Y53" s="143"/>
      <c r="Z53" s="10"/>
      <c r="AA53" s="155"/>
      <c r="AB53" s="155"/>
      <c r="AC53" s="143"/>
      <c r="AD53" s="16"/>
      <c r="AE53" s="16"/>
      <c r="AF53" s="143"/>
      <c r="AG53" s="143"/>
      <c r="AH53" s="143"/>
      <c r="AI53" s="143"/>
      <c r="AJ53" s="143"/>
      <c r="AK53" s="16"/>
      <c r="AL53" s="16"/>
      <c r="AM53" s="143"/>
      <c r="AN53" s="177">
        <f>SUM(P53:AM53)-O53</f>
        <v>315847</v>
      </c>
    </row>
    <row r="54" spans="1:40" ht="15" thickBot="1" x14ac:dyDescent="0.4">
      <c r="A54" s="40">
        <v>870</v>
      </c>
      <c r="B54" s="79" t="s">
        <v>104</v>
      </c>
      <c r="C54" s="46">
        <v>556629</v>
      </c>
      <c r="D54" s="97">
        <v>0</v>
      </c>
      <c r="E54" s="10">
        <f>C54+D54</f>
        <v>556629</v>
      </c>
      <c r="F54" s="23">
        <v>706321</v>
      </c>
      <c r="G54" s="23">
        <v>0</v>
      </c>
      <c r="H54" s="16">
        <f>F54+G54</f>
        <v>706321</v>
      </c>
      <c r="I54" s="16">
        <f>E54-H54</f>
        <v>-149692</v>
      </c>
      <c r="J54" s="23">
        <v>124848.66</v>
      </c>
      <c r="K54" s="23">
        <v>51908</v>
      </c>
      <c r="L54" s="46">
        <v>0</v>
      </c>
      <c r="M54" s="46">
        <v>0</v>
      </c>
      <c r="N54" s="46">
        <v>0</v>
      </c>
      <c r="O54" s="46">
        <v>0</v>
      </c>
      <c r="P54" s="78">
        <f>I54-M54-J54-K54-N54-L54</f>
        <v>-326448.65999999997</v>
      </c>
      <c r="Q54" s="155"/>
      <c r="R54" s="155"/>
      <c r="S54" s="45">
        <f>IF(-$P54&lt;VLOOKUP(A54,Eligibility!$A$3:$F$423,6,0),-P54,VLOOKUP(A54,Eligibility!$A$3:$F$423,6,0))</f>
        <v>326448.65999999997</v>
      </c>
      <c r="T54" s="155"/>
      <c r="U54" s="155"/>
      <c r="V54" s="39"/>
      <c r="W54" s="155"/>
      <c r="X54" s="143"/>
      <c r="Y54" s="143"/>
      <c r="Z54" s="10"/>
      <c r="AA54" s="155"/>
      <c r="AB54" s="155"/>
      <c r="AC54" s="143"/>
      <c r="AD54" s="16"/>
      <c r="AE54" s="16"/>
      <c r="AF54" s="143"/>
      <c r="AG54" s="143"/>
      <c r="AH54" s="143"/>
      <c r="AI54" s="143"/>
      <c r="AJ54" s="143"/>
      <c r="AK54" s="16"/>
      <c r="AL54" s="16"/>
      <c r="AM54" s="143"/>
      <c r="AN54" s="177">
        <f>SUM(P54:AM54)-O54</f>
        <v>0</v>
      </c>
    </row>
    <row r="55" spans="1:40" ht="15" thickBot="1" x14ac:dyDescent="0.4">
      <c r="A55" s="40">
        <v>882</v>
      </c>
      <c r="B55" s="79" t="s">
        <v>105</v>
      </c>
      <c r="C55" s="46">
        <v>278979</v>
      </c>
      <c r="D55" s="97">
        <v>0</v>
      </c>
      <c r="E55" s="10">
        <f>C55+D55</f>
        <v>278979</v>
      </c>
      <c r="F55" s="23">
        <v>430258</v>
      </c>
      <c r="G55" s="23">
        <v>0</v>
      </c>
      <c r="H55" s="16">
        <f>F55+G55</f>
        <v>430258</v>
      </c>
      <c r="I55" s="16">
        <f>E55-H55</f>
        <v>-151279</v>
      </c>
      <c r="J55" s="23">
        <v>16600</v>
      </c>
      <c r="K55" s="23">
        <v>8300</v>
      </c>
      <c r="L55" s="46">
        <v>0</v>
      </c>
      <c r="M55" s="46">
        <v>0</v>
      </c>
      <c r="N55" s="46">
        <v>0</v>
      </c>
      <c r="O55" s="46">
        <v>0</v>
      </c>
      <c r="P55" s="78">
        <f>I55-M55-J55-K55-N55-L55</f>
        <v>-176179</v>
      </c>
      <c r="Q55" s="155"/>
      <c r="R55" s="155"/>
      <c r="S55" s="45">
        <f>IF(-$P55&lt;VLOOKUP(A55,Eligibility!$A$3:$F$423,6,0),-P55,VLOOKUP(A55,Eligibility!$A$3:$F$423,6,0))</f>
        <v>176179</v>
      </c>
      <c r="T55" s="155"/>
      <c r="U55" s="155"/>
      <c r="V55" s="39"/>
      <c r="W55" s="155"/>
      <c r="X55" s="143"/>
      <c r="Y55" s="143"/>
      <c r="Z55" s="10"/>
      <c r="AA55" s="155"/>
      <c r="AB55" s="155"/>
      <c r="AC55" s="143"/>
      <c r="AD55" s="16"/>
      <c r="AE55" s="16"/>
      <c r="AF55" s="143"/>
      <c r="AG55" s="143"/>
      <c r="AH55" s="143"/>
      <c r="AI55" s="143"/>
      <c r="AJ55" s="143"/>
      <c r="AK55" s="16"/>
      <c r="AL55" s="16"/>
      <c r="AM55" s="143"/>
      <c r="AN55" s="177">
        <f>SUM(P55:AM55)-O55</f>
        <v>0</v>
      </c>
    </row>
    <row r="56" spans="1:40" ht="15" thickBot="1" x14ac:dyDescent="0.4">
      <c r="A56" s="40">
        <v>896</v>
      </c>
      <c r="B56" s="79" t="s">
        <v>106</v>
      </c>
      <c r="C56" s="46">
        <v>1136698</v>
      </c>
      <c r="D56" s="97">
        <v>0</v>
      </c>
      <c r="E56" s="10">
        <f>C56+D56</f>
        <v>1136698</v>
      </c>
      <c r="F56" s="23">
        <v>694998</v>
      </c>
      <c r="G56" s="23">
        <v>0</v>
      </c>
      <c r="H56" s="16">
        <f>F56+G56</f>
        <v>694998</v>
      </c>
      <c r="I56" s="16">
        <f>E56-H56</f>
        <v>441700</v>
      </c>
      <c r="J56" s="23">
        <v>4150</v>
      </c>
      <c r="K56" s="23">
        <v>19465.5</v>
      </c>
      <c r="L56" s="46">
        <v>0</v>
      </c>
      <c r="M56" s="46">
        <v>0</v>
      </c>
      <c r="N56" s="46">
        <v>0</v>
      </c>
      <c r="O56" s="46">
        <v>0</v>
      </c>
      <c r="P56" s="78">
        <f>I56-M56-J56-K56-N56-L56</f>
        <v>418084.5</v>
      </c>
      <c r="Q56" s="155"/>
      <c r="R56" s="155"/>
      <c r="S56" s="45">
        <f>IF(J56+K56+L56+M56+N56&lt;VLOOKUP(A56,Eligibility!$A$3:$F$423,6,0),J56+K56+L56+M56+N56,VLOOKUP(A56,Eligibility!$A$3:$F$423,6,0))</f>
        <v>23615.5</v>
      </c>
      <c r="T56" s="155"/>
      <c r="U56" s="155"/>
      <c r="V56" s="39"/>
      <c r="W56" s="155"/>
      <c r="X56" s="143"/>
      <c r="Y56" s="143"/>
      <c r="Z56" s="10"/>
      <c r="AA56" s="155"/>
      <c r="AB56" s="155"/>
      <c r="AC56" s="143"/>
      <c r="AD56" s="16"/>
      <c r="AE56" s="16"/>
      <c r="AF56" s="143"/>
      <c r="AG56" s="143"/>
      <c r="AH56" s="143"/>
      <c r="AI56" s="143"/>
      <c r="AJ56" s="143"/>
      <c r="AK56" s="16"/>
      <c r="AL56" s="16"/>
      <c r="AM56" s="143"/>
      <c r="AN56" s="177">
        <f>SUM(P56:AM56)-O56</f>
        <v>441700</v>
      </c>
    </row>
    <row r="57" spans="1:40" ht="15" thickBot="1" x14ac:dyDescent="0.4">
      <c r="A57" s="40">
        <v>903</v>
      </c>
      <c r="B57" s="79" t="s">
        <v>107</v>
      </c>
      <c r="C57" s="46">
        <v>2828958</v>
      </c>
      <c r="D57" s="97">
        <v>0</v>
      </c>
      <c r="E57" s="10">
        <f>C57+D57</f>
        <v>2828958</v>
      </c>
      <c r="F57" s="23">
        <v>857316</v>
      </c>
      <c r="G57" s="23">
        <v>0</v>
      </c>
      <c r="H57" s="16">
        <f>F57+G57</f>
        <v>857316</v>
      </c>
      <c r="I57" s="16">
        <f>E57-H57</f>
        <v>1971642</v>
      </c>
      <c r="J57" s="23">
        <v>0</v>
      </c>
      <c r="K57" s="23">
        <v>0</v>
      </c>
      <c r="L57" s="46">
        <v>0</v>
      </c>
      <c r="M57" s="46">
        <v>0</v>
      </c>
      <c r="N57" s="46">
        <v>0</v>
      </c>
      <c r="O57" s="46">
        <v>0</v>
      </c>
      <c r="P57" s="78">
        <f>I57-M57-J57-K57-N57-L57</f>
        <v>1971642</v>
      </c>
      <c r="Q57" s="155"/>
      <c r="R57" s="155"/>
      <c r="S57" s="45">
        <f>IF(J57+K57+L57+M57+N57&lt;VLOOKUP(A57,Eligibility!$A$3:$F$423,6,0),J57+K57+L57+M57+N57,VLOOKUP(A57,Eligibility!$A$3:$F$423,6,0))</f>
        <v>0</v>
      </c>
      <c r="T57" s="155"/>
      <c r="U57" s="155"/>
      <c r="V57" s="39"/>
      <c r="W57" s="155"/>
      <c r="X57" s="143"/>
      <c r="Y57" s="143"/>
      <c r="Z57" s="10"/>
      <c r="AA57" s="155"/>
      <c r="AB57" s="155"/>
      <c r="AC57" s="143"/>
      <c r="AD57" s="16"/>
      <c r="AE57" s="16"/>
      <c r="AF57" s="143"/>
      <c r="AG57" s="143"/>
      <c r="AH57" s="143"/>
      <c r="AI57" s="143"/>
      <c r="AJ57" s="143"/>
      <c r="AK57" s="16"/>
      <c r="AL57" s="16"/>
      <c r="AM57" s="143"/>
      <c r="AN57" s="177">
        <f>SUM(P57:AM57)-O57</f>
        <v>1971642</v>
      </c>
    </row>
    <row r="58" spans="1:40" ht="15" thickBot="1" x14ac:dyDescent="0.4">
      <c r="A58" s="40">
        <v>910</v>
      </c>
      <c r="B58" s="79" t="s">
        <v>108</v>
      </c>
      <c r="C58" s="46">
        <v>767630</v>
      </c>
      <c r="D58" s="97">
        <v>0</v>
      </c>
      <c r="E58" s="10">
        <f>C58+D58</f>
        <v>767630</v>
      </c>
      <c r="F58" s="23">
        <v>1291265</v>
      </c>
      <c r="G58" s="23">
        <v>0</v>
      </c>
      <c r="H58" s="16">
        <f>F58+G58</f>
        <v>1291265</v>
      </c>
      <c r="I58" s="16">
        <f>E58-H58</f>
        <v>-523635</v>
      </c>
      <c r="J58" s="23">
        <v>137968</v>
      </c>
      <c r="K58" s="23">
        <v>25954</v>
      </c>
      <c r="L58" s="46">
        <v>0</v>
      </c>
      <c r="M58" s="46">
        <v>0</v>
      </c>
      <c r="N58" s="46">
        <v>0</v>
      </c>
      <c r="O58" s="46">
        <v>0</v>
      </c>
      <c r="P58" s="78">
        <f>I58-M58-J58-K58-N58-L58</f>
        <v>-687557</v>
      </c>
      <c r="Q58" s="155"/>
      <c r="R58" s="155"/>
      <c r="S58" s="45">
        <f>IF(-$P58&lt;VLOOKUP(A58,Eligibility!$A$3:$F$423,6,0),-P58,VLOOKUP(A58,Eligibility!$A$3:$F$423,6,0))</f>
        <v>687557</v>
      </c>
      <c r="T58" s="155"/>
      <c r="U58" s="155"/>
      <c r="V58" s="39"/>
      <c r="W58" s="155"/>
      <c r="X58" s="143"/>
      <c r="Y58" s="143"/>
      <c r="Z58" s="10"/>
      <c r="AA58" s="155"/>
      <c r="AB58" s="155"/>
      <c r="AC58" s="143"/>
      <c r="AD58" s="16"/>
      <c r="AE58" s="16"/>
      <c r="AF58" s="143"/>
      <c r="AG58" s="143"/>
      <c r="AH58" s="143"/>
      <c r="AI58" s="143"/>
      <c r="AJ58" s="143"/>
      <c r="AK58" s="16"/>
      <c r="AL58" s="16"/>
      <c r="AM58" s="143"/>
      <c r="AN58" s="177">
        <f>SUM(P58:AM58)-O58</f>
        <v>0</v>
      </c>
    </row>
    <row r="59" spans="1:40" ht="15" thickBot="1" x14ac:dyDescent="0.4">
      <c r="A59" s="40">
        <v>980</v>
      </c>
      <c r="B59" s="79" t="s">
        <v>109</v>
      </c>
      <c r="C59" s="46">
        <v>781396</v>
      </c>
      <c r="D59" s="97">
        <v>0</v>
      </c>
      <c r="E59" s="10">
        <f>C59+D59</f>
        <v>781396</v>
      </c>
      <c r="F59" s="23">
        <v>254698</v>
      </c>
      <c r="G59" s="23">
        <v>0</v>
      </c>
      <c r="H59" s="16">
        <f>F59+G59</f>
        <v>254698</v>
      </c>
      <c r="I59" s="16">
        <f>E59-H59</f>
        <v>526698</v>
      </c>
      <c r="J59" s="23">
        <v>33200</v>
      </c>
      <c r="K59" s="23">
        <v>12977</v>
      </c>
      <c r="L59" s="46">
        <v>0</v>
      </c>
      <c r="M59" s="46">
        <v>0</v>
      </c>
      <c r="N59" s="46">
        <v>0</v>
      </c>
      <c r="O59" s="46">
        <v>0</v>
      </c>
      <c r="P59" s="78">
        <f>I59-M59-J59-K59-N59-L59</f>
        <v>480521</v>
      </c>
      <c r="Q59" s="155"/>
      <c r="R59" s="155"/>
      <c r="S59" s="45">
        <f>IF(J59+K59+L59+M59+N59&lt;VLOOKUP(A59,Eligibility!$A$3:$F$423,6,0),J59+K59+L59+M59+N59,VLOOKUP(A59,Eligibility!$A$3:$F$423,6,0))</f>
        <v>46177</v>
      </c>
      <c r="T59" s="155"/>
      <c r="U59" s="155"/>
      <c r="V59" s="39"/>
      <c r="W59" s="155"/>
      <c r="X59" s="143"/>
      <c r="Y59" s="143"/>
      <c r="Z59" s="10"/>
      <c r="AA59" s="155"/>
      <c r="AB59" s="155"/>
      <c r="AC59" s="143"/>
      <c r="AD59" s="16"/>
      <c r="AE59" s="16"/>
      <c r="AF59" s="143"/>
      <c r="AG59" s="143"/>
      <c r="AH59" s="143"/>
      <c r="AI59" s="143"/>
      <c r="AJ59" s="143"/>
      <c r="AK59" s="16"/>
      <c r="AL59" s="16"/>
      <c r="AM59" s="143"/>
      <c r="AN59" s="177">
        <f>SUM(P59:AM59)-O59</f>
        <v>526698</v>
      </c>
    </row>
    <row r="60" spans="1:40" ht="15" thickBot="1" x14ac:dyDescent="0.4">
      <c r="A60" s="40">
        <v>994</v>
      </c>
      <c r="B60" s="79" t="s">
        <v>110</v>
      </c>
      <c r="C60" s="46">
        <v>59221</v>
      </c>
      <c r="D60" s="97">
        <v>0</v>
      </c>
      <c r="E60" s="10">
        <f>C60+D60</f>
        <v>59221</v>
      </c>
      <c r="F60" s="23">
        <v>440715</v>
      </c>
      <c r="G60" s="23">
        <v>0</v>
      </c>
      <c r="H60" s="16">
        <f>F60+G60</f>
        <v>440715</v>
      </c>
      <c r="I60" s="16">
        <f>E60-H60</f>
        <v>-381494</v>
      </c>
      <c r="J60" s="23">
        <v>0</v>
      </c>
      <c r="K60" s="23">
        <v>0</v>
      </c>
      <c r="L60" s="46">
        <v>0</v>
      </c>
      <c r="M60" s="46">
        <v>0</v>
      </c>
      <c r="N60" s="46">
        <v>0</v>
      </c>
      <c r="O60" s="46">
        <v>0</v>
      </c>
      <c r="P60" s="78">
        <f>I60-M60-J60-K60-N60-L60</f>
        <v>-381494</v>
      </c>
      <c r="Q60" s="155"/>
      <c r="R60" s="155"/>
      <c r="S60" s="45">
        <f>IF(-$P60&lt;VLOOKUP(A60,Eligibility!$A$3:$F$423,6,0),-P60,VLOOKUP(A60,Eligibility!$A$3:$F$423,6,0))</f>
        <v>381494</v>
      </c>
      <c r="T60" s="155"/>
      <c r="U60" s="155"/>
      <c r="V60" s="39"/>
      <c r="W60" s="155"/>
      <c r="X60" s="143"/>
      <c r="Y60" s="143"/>
      <c r="Z60" s="10"/>
      <c r="AA60" s="155"/>
      <c r="AB60" s="155"/>
      <c r="AC60" s="143"/>
      <c r="AD60" s="16"/>
      <c r="AE60" s="16"/>
      <c r="AF60" s="143"/>
      <c r="AG60" s="143"/>
      <c r="AH60" s="143"/>
      <c r="AI60" s="143"/>
      <c r="AJ60" s="143"/>
      <c r="AK60" s="16"/>
      <c r="AL60" s="16"/>
      <c r="AM60" s="143"/>
      <c r="AN60" s="177">
        <f>SUM(P60:AM60)-O60</f>
        <v>0</v>
      </c>
    </row>
    <row r="61" spans="1:40" ht="15" thickBot="1" x14ac:dyDescent="0.4">
      <c r="A61" s="40">
        <v>1029</v>
      </c>
      <c r="B61" s="79" t="s">
        <v>111</v>
      </c>
      <c r="C61" s="46">
        <v>512687</v>
      </c>
      <c r="D61" s="97">
        <v>0</v>
      </c>
      <c r="E61" s="10">
        <f>C61+D61</f>
        <v>512687</v>
      </c>
      <c r="F61" s="23">
        <v>893977</v>
      </c>
      <c r="G61" s="23">
        <v>0</v>
      </c>
      <c r="H61" s="16">
        <f>F61+G61</f>
        <v>893977</v>
      </c>
      <c r="I61" s="16">
        <f>E61-H61</f>
        <v>-381290</v>
      </c>
      <c r="J61" s="23">
        <v>248080</v>
      </c>
      <c r="K61" s="23">
        <v>0</v>
      </c>
      <c r="L61" s="46">
        <v>0</v>
      </c>
      <c r="M61" s="46">
        <v>0</v>
      </c>
      <c r="N61" s="46">
        <v>0</v>
      </c>
      <c r="O61" s="46">
        <v>0</v>
      </c>
      <c r="P61" s="78">
        <f>I61-M61-J61-K61-N61-L61</f>
        <v>-629370</v>
      </c>
      <c r="Q61" s="155"/>
      <c r="R61" s="155"/>
      <c r="S61" s="45">
        <f>IF(-$P61&lt;VLOOKUP(A61,Eligibility!$A$3:$F$423,6,0),-P61,VLOOKUP(A61,Eligibility!$A$3:$F$423,6,0))</f>
        <v>629370</v>
      </c>
      <c r="T61" s="155"/>
      <c r="U61" s="155"/>
      <c r="V61" s="39"/>
      <c r="W61" s="155"/>
      <c r="X61" s="143"/>
      <c r="Y61" s="143"/>
      <c r="Z61" s="10"/>
      <c r="AA61" s="155"/>
      <c r="AB61" s="155"/>
      <c r="AC61" s="143"/>
      <c r="AD61" s="16"/>
      <c r="AE61" s="16"/>
      <c r="AF61" s="143"/>
      <c r="AG61" s="143"/>
      <c r="AH61" s="143"/>
      <c r="AI61" s="143"/>
      <c r="AJ61" s="143"/>
      <c r="AK61" s="16"/>
      <c r="AL61" s="16"/>
      <c r="AM61" s="143"/>
      <c r="AN61" s="177">
        <f>SUM(P61:AM61)-O61</f>
        <v>0</v>
      </c>
    </row>
    <row r="62" spans="1:40" ht="15" thickBot="1" x14ac:dyDescent="0.4">
      <c r="A62" s="40">
        <v>1015</v>
      </c>
      <c r="B62" s="79" t="s">
        <v>112</v>
      </c>
      <c r="C62" s="46">
        <v>1312129</v>
      </c>
      <c r="D62" s="97">
        <v>8125</v>
      </c>
      <c r="E62" s="10">
        <f>C62+D62</f>
        <v>1320254</v>
      </c>
      <c r="F62" s="23">
        <v>762863</v>
      </c>
      <c r="G62" s="23">
        <v>0</v>
      </c>
      <c r="H62" s="16">
        <f>F62+G62</f>
        <v>762863</v>
      </c>
      <c r="I62" s="16">
        <f>E62-H62</f>
        <v>557391</v>
      </c>
      <c r="J62" s="23">
        <v>302676</v>
      </c>
      <c r="K62" s="23">
        <v>25954</v>
      </c>
      <c r="L62" s="46">
        <v>0</v>
      </c>
      <c r="M62" s="46">
        <v>0</v>
      </c>
      <c r="N62" s="46">
        <v>10169</v>
      </c>
      <c r="O62" s="46">
        <v>0</v>
      </c>
      <c r="P62" s="78">
        <f>I62-M62-J62-K62-N62-L62</f>
        <v>218592</v>
      </c>
      <c r="Q62" s="155"/>
      <c r="R62" s="155"/>
      <c r="S62" s="45">
        <f>IF(J62+K62+L62+M62+N62&lt;VLOOKUP(A62,Eligibility!$A$3:$F$423,6,0),J62+K62+L62+M62+N62,VLOOKUP(A62,Eligibility!$A$3:$F$423,6,0))</f>
        <v>338799</v>
      </c>
      <c r="T62" s="155"/>
      <c r="U62" s="155"/>
      <c r="V62" s="39"/>
      <c r="W62" s="155"/>
      <c r="X62" s="143"/>
      <c r="Y62" s="143"/>
      <c r="Z62" s="10"/>
      <c r="AA62" s="155"/>
      <c r="AB62" s="155"/>
      <c r="AC62" s="143"/>
      <c r="AD62" s="16"/>
      <c r="AE62" s="16"/>
      <c r="AF62" s="143"/>
      <c r="AG62" s="143"/>
      <c r="AH62" s="143"/>
      <c r="AI62" s="143"/>
      <c r="AJ62" s="143"/>
      <c r="AK62" s="16"/>
      <c r="AL62" s="16"/>
      <c r="AM62" s="143"/>
      <c r="AN62" s="177">
        <f>SUM(P62:AM62)-O62</f>
        <v>557391</v>
      </c>
    </row>
    <row r="63" spans="1:40" ht="15" thickBot="1" x14ac:dyDescent="0.4">
      <c r="A63" s="40">
        <v>5054</v>
      </c>
      <c r="B63" s="79" t="s">
        <v>113</v>
      </c>
      <c r="C63" s="46">
        <v>1395342</v>
      </c>
      <c r="D63" s="97">
        <v>0</v>
      </c>
      <c r="E63" s="10">
        <f>C63+D63</f>
        <v>1395342</v>
      </c>
      <c r="F63" s="23">
        <v>1005151</v>
      </c>
      <c r="G63" s="23">
        <v>0</v>
      </c>
      <c r="H63" s="16">
        <f>F63+G63</f>
        <v>1005151</v>
      </c>
      <c r="I63" s="16">
        <f>E63-H63</f>
        <v>390191</v>
      </c>
      <c r="J63" s="23">
        <v>17892</v>
      </c>
      <c r="K63" s="23">
        <v>0</v>
      </c>
      <c r="L63" s="46">
        <v>0</v>
      </c>
      <c r="M63" s="46">
        <v>0</v>
      </c>
      <c r="N63" s="46">
        <v>0</v>
      </c>
      <c r="O63" s="46">
        <v>0</v>
      </c>
      <c r="P63" s="78">
        <f>I63-M63-J63-K63-N63-L63</f>
        <v>372299</v>
      </c>
      <c r="Q63" s="155"/>
      <c r="R63" s="155"/>
      <c r="S63" s="45">
        <f>IF(J63+K63+L63+M63+N63&lt;VLOOKUP(A63,Eligibility!$A$3:$F$423,6,0),J63+K63+L63+M63+N63,VLOOKUP(A63,Eligibility!$A$3:$F$423,6,0))</f>
        <v>17892</v>
      </c>
      <c r="T63" s="155"/>
      <c r="U63" s="155"/>
      <c r="V63" s="39"/>
      <c r="W63" s="155"/>
      <c r="X63" s="143"/>
      <c r="Y63" s="143"/>
      <c r="Z63" s="10"/>
      <c r="AA63" s="155"/>
      <c r="AB63" s="155"/>
      <c r="AC63" s="143"/>
      <c r="AD63" s="16"/>
      <c r="AE63" s="16"/>
      <c r="AF63" s="143"/>
      <c r="AG63" s="143"/>
      <c r="AH63" s="143"/>
      <c r="AI63" s="143"/>
      <c r="AJ63" s="143"/>
      <c r="AK63" s="16"/>
      <c r="AL63" s="16"/>
      <c r="AM63" s="143"/>
      <c r="AN63" s="177">
        <f>SUM(P63:AM63)-O63</f>
        <v>390191</v>
      </c>
    </row>
    <row r="64" spans="1:40" ht="15" thickBot="1" x14ac:dyDescent="0.4">
      <c r="A64" s="40">
        <v>1071</v>
      </c>
      <c r="B64" s="79" t="s">
        <v>114</v>
      </c>
      <c r="C64" s="46">
        <v>355485</v>
      </c>
      <c r="D64" s="97">
        <v>0</v>
      </c>
      <c r="E64" s="10">
        <f>C64+D64</f>
        <v>355485</v>
      </c>
      <c r="F64" s="23">
        <v>928470</v>
      </c>
      <c r="G64" s="23">
        <v>0</v>
      </c>
      <c r="H64" s="16">
        <f>F64+G64</f>
        <v>928470</v>
      </c>
      <c r="I64" s="16">
        <f>E64-H64</f>
        <v>-572985</v>
      </c>
      <c r="J64" s="23">
        <v>0</v>
      </c>
      <c r="K64" s="23">
        <v>0</v>
      </c>
      <c r="L64" s="46">
        <v>0</v>
      </c>
      <c r="M64" s="46">
        <v>0</v>
      </c>
      <c r="N64" s="46">
        <v>0</v>
      </c>
      <c r="O64" s="46">
        <v>0</v>
      </c>
      <c r="P64" s="78">
        <f>I64-M64-J64-K64-N64-L64</f>
        <v>-572985</v>
      </c>
      <c r="Q64" s="155"/>
      <c r="R64" s="155"/>
      <c r="S64" s="45">
        <f>IF(-$P64&lt;VLOOKUP(A64,Eligibility!$A$3:$F$423,6,0),-P64,VLOOKUP(A64,Eligibility!$A$3:$F$423,6,0))</f>
        <v>572985</v>
      </c>
      <c r="T64" s="155"/>
      <c r="U64" s="155"/>
      <c r="V64" s="39"/>
      <c r="W64" s="155"/>
      <c r="X64" s="143"/>
      <c r="Y64" s="143"/>
      <c r="Z64" s="10"/>
      <c r="AA64" s="155"/>
      <c r="AB64" s="155"/>
      <c r="AC64" s="143"/>
      <c r="AD64" s="16"/>
      <c r="AE64" s="16"/>
      <c r="AF64" s="143"/>
      <c r="AG64" s="143"/>
      <c r="AH64" s="143"/>
      <c r="AI64" s="143"/>
      <c r="AJ64" s="143"/>
      <c r="AK64" s="16"/>
      <c r="AL64" s="16"/>
      <c r="AM64" s="143"/>
      <c r="AN64" s="177">
        <f>SUM(P64:AM64)-O64</f>
        <v>0</v>
      </c>
    </row>
    <row r="65" spans="1:40" ht="15" thickBot="1" x14ac:dyDescent="0.4">
      <c r="A65" s="40">
        <v>1080</v>
      </c>
      <c r="B65" s="79" t="s">
        <v>115</v>
      </c>
      <c r="C65" s="46">
        <v>706204</v>
      </c>
      <c r="D65" s="97">
        <v>0</v>
      </c>
      <c r="E65" s="10">
        <f>C65+D65</f>
        <v>706204</v>
      </c>
      <c r="F65" s="23">
        <v>1782908</v>
      </c>
      <c r="G65" s="23">
        <v>0</v>
      </c>
      <c r="H65" s="16">
        <f>F65+G65</f>
        <v>1782908</v>
      </c>
      <c r="I65" s="16">
        <f>E65-H65</f>
        <v>-1076704</v>
      </c>
      <c r="J65" s="23">
        <v>0</v>
      </c>
      <c r="K65" s="23">
        <v>0</v>
      </c>
      <c r="L65" s="46">
        <v>0</v>
      </c>
      <c r="M65" s="46">
        <v>0</v>
      </c>
      <c r="N65" s="46">
        <v>11871</v>
      </c>
      <c r="O65" s="46">
        <v>0</v>
      </c>
      <c r="P65" s="78">
        <f>I65-M65-J65-K65-N65-L65</f>
        <v>-1088575</v>
      </c>
      <c r="Q65" s="155"/>
      <c r="R65" s="155">
        <f>30513-5688+17567+2799</f>
        <v>45191</v>
      </c>
      <c r="S65" s="45">
        <f>IF(-$P65&lt;VLOOKUP(A65,Eligibility!$A$3:$F$423,6,0),-P65,VLOOKUP(A65,Eligibility!$A$3:$F$423,6,0))</f>
        <v>1030948</v>
      </c>
      <c r="T65" s="155"/>
      <c r="U65" s="155"/>
      <c r="V65" s="39"/>
      <c r="W65" s="155"/>
      <c r="X65" s="143"/>
      <c r="Y65" s="143"/>
      <c r="Z65" s="10">
        <v>12436</v>
      </c>
      <c r="AA65" s="155"/>
      <c r="AB65" s="155"/>
      <c r="AC65" s="143"/>
      <c r="AD65" s="16"/>
      <c r="AE65" s="16"/>
      <c r="AF65" s="143"/>
      <c r="AG65" s="143"/>
      <c r="AH65" s="143"/>
      <c r="AI65" s="143"/>
      <c r="AJ65" s="143"/>
      <c r="AK65" s="16"/>
      <c r="AL65" s="16"/>
      <c r="AM65" s="143"/>
      <c r="AN65" s="177">
        <f>SUM(P65:AM65)-O65</f>
        <v>0</v>
      </c>
    </row>
    <row r="66" spans="1:40" ht="15" thickBot="1" x14ac:dyDescent="0.4">
      <c r="A66" s="40">
        <v>1085</v>
      </c>
      <c r="B66" s="79" t="s">
        <v>116</v>
      </c>
      <c r="C66" s="46">
        <v>1154348</v>
      </c>
      <c r="D66" s="97">
        <v>0</v>
      </c>
      <c r="E66" s="10">
        <f>C66+D66</f>
        <v>1154348</v>
      </c>
      <c r="F66" s="23">
        <v>762239</v>
      </c>
      <c r="G66" s="23">
        <v>0</v>
      </c>
      <c r="H66" s="16">
        <f>F66+G66</f>
        <v>762239</v>
      </c>
      <c r="I66" s="16">
        <f>E66-H66</f>
        <v>392109</v>
      </c>
      <c r="J66" s="23">
        <v>265326</v>
      </c>
      <c r="K66" s="23">
        <v>12977</v>
      </c>
      <c r="L66" s="46">
        <v>0</v>
      </c>
      <c r="M66" s="46">
        <v>0</v>
      </c>
      <c r="N66" s="46">
        <v>0</v>
      </c>
      <c r="O66" s="46">
        <v>0</v>
      </c>
      <c r="P66" s="78">
        <f>I66-M66-J66-K66-N66-L66</f>
        <v>113806</v>
      </c>
      <c r="Q66" s="155"/>
      <c r="R66" s="155"/>
      <c r="S66" s="45">
        <f>IF(J66+K66+L66+M66+N66&lt;VLOOKUP(A66,Eligibility!$A$3:$F$423,6,0),J66+K66+L66+M66+N66,VLOOKUP(A66,Eligibility!$A$3:$F$423,6,0))</f>
        <v>278303</v>
      </c>
      <c r="T66" s="155"/>
      <c r="U66" s="155"/>
      <c r="V66" s="39"/>
      <c r="W66" s="155"/>
      <c r="X66" s="143"/>
      <c r="Y66" s="143"/>
      <c r="Z66" s="10"/>
      <c r="AA66" s="155"/>
      <c r="AB66" s="155"/>
      <c r="AC66" s="143"/>
      <c r="AD66" s="16"/>
      <c r="AE66" s="16"/>
      <c r="AF66" s="143">
        <v>0</v>
      </c>
      <c r="AG66" s="143"/>
      <c r="AH66" s="143"/>
      <c r="AI66" s="143"/>
      <c r="AJ66" s="143"/>
      <c r="AK66" s="16"/>
      <c r="AL66" s="16"/>
      <c r="AM66" s="143"/>
      <c r="AN66" s="177">
        <f>SUM(P66:AM66)-O66</f>
        <v>392109</v>
      </c>
    </row>
    <row r="67" spans="1:40" ht="15" thickBot="1" x14ac:dyDescent="0.4">
      <c r="A67" s="40">
        <v>1092</v>
      </c>
      <c r="B67" s="79" t="s">
        <v>117</v>
      </c>
      <c r="C67" s="46">
        <v>1348072</v>
      </c>
      <c r="D67" s="97">
        <v>34079</v>
      </c>
      <c r="E67" s="10">
        <f>C67+D67</f>
        <v>1382151</v>
      </c>
      <c r="F67" s="23">
        <v>2834210</v>
      </c>
      <c r="G67" s="23">
        <v>0</v>
      </c>
      <c r="H67" s="16">
        <f>F67+G67</f>
        <v>2834210</v>
      </c>
      <c r="I67" s="16">
        <f>E67-H67</f>
        <v>-1452059</v>
      </c>
      <c r="J67" s="23">
        <v>948241.94</v>
      </c>
      <c r="K67" s="23">
        <v>329514.2</v>
      </c>
      <c r="L67" s="46">
        <v>0</v>
      </c>
      <c r="M67" s="46">
        <v>7059.17</v>
      </c>
      <c r="N67" s="46">
        <v>0</v>
      </c>
      <c r="O67" s="46">
        <v>0</v>
      </c>
      <c r="P67" s="78">
        <f>I67-M67-J67-K67-N67-L67</f>
        <v>-2736874.31</v>
      </c>
      <c r="Q67" s="155"/>
      <c r="R67" s="155"/>
      <c r="S67" s="45">
        <f>IF(-$P67&lt;VLOOKUP(A67,Eligibility!$A$3:$F$423,6,0),-P67,VLOOKUP(A67,Eligibility!$A$3:$F$423,6,0))</f>
        <v>2736874.31</v>
      </c>
      <c r="T67" s="155"/>
      <c r="U67" s="155"/>
      <c r="V67" s="39"/>
      <c r="W67" s="155"/>
      <c r="X67" s="143"/>
      <c r="Y67" s="143"/>
      <c r="Z67" s="10"/>
      <c r="AA67" s="155"/>
      <c r="AB67" s="155"/>
      <c r="AC67" s="143"/>
      <c r="AD67" s="16"/>
      <c r="AE67" s="16"/>
      <c r="AF67" s="143"/>
      <c r="AG67" s="143"/>
      <c r="AH67" s="143"/>
      <c r="AI67" s="143"/>
      <c r="AJ67" s="143"/>
      <c r="AK67" s="16"/>
      <c r="AL67" s="16"/>
      <c r="AM67" s="143"/>
      <c r="AN67" s="177">
        <f>SUM(P67:AM67)-O67</f>
        <v>0</v>
      </c>
    </row>
    <row r="68" spans="1:40" ht="15" thickBot="1" x14ac:dyDescent="0.4">
      <c r="A68" s="40">
        <v>1120</v>
      </c>
      <c r="B68" s="79" t="s">
        <v>118</v>
      </c>
      <c r="C68" s="46">
        <v>515529</v>
      </c>
      <c r="D68" s="97">
        <v>0</v>
      </c>
      <c r="E68" s="10">
        <f>C68+D68</f>
        <v>515529</v>
      </c>
      <c r="F68" s="23">
        <v>389442</v>
      </c>
      <c r="G68" s="23">
        <v>0</v>
      </c>
      <c r="H68" s="16">
        <f>F68+G68</f>
        <v>389442</v>
      </c>
      <c r="I68" s="16">
        <f>E68-H68</f>
        <v>126087</v>
      </c>
      <c r="J68" s="23">
        <v>0</v>
      </c>
      <c r="K68" s="23">
        <v>0</v>
      </c>
      <c r="L68" s="46">
        <v>0</v>
      </c>
      <c r="M68" s="46">
        <v>0</v>
      </c>
      <c r="N68" s="46">
        <v>0</v>
      </c>
      <c r="O68" s="46">
        <v>0</v>
      </c>
      <c r="P68" s="78">
        <f>I68-M68-J68-K68-N68-L68</f>
        <v>126087</v>
      </c>
      <c r="Q68" s="155"/>
      <c r="R68" s="155"/>
      <c r="S68" s="45">
        <f>IF(J68+K68+L68+M68+N68&lt;VLOOKUP(A68,Eligibility!$A$3:$F$423,6,0),J68+K68+L68+M68+N68,VLOOKUP(A68,Eligibility!$A$3:$F$423,6,0))</f>
        <v>0</v>
      </c>
      <c r="T68" s="155"/>
      <c r="U68" s="155"/>
      <c r="V68" s="39"/>
      <c r="W68" s="155"/>
      <c r="X68" s="143"/>
      <c r="Y68" s="143"/>
      <c r="Z68" s="10"/>
      <c r="AA68" s="155"/>
      <c r="AB68" s="155"/>
      <c r="AC68" s="143"/>
      <c r="AD68" s="16"/>
      <c r="AE68" s="16"/>
      <c r="AF68" s="143"/>
      <c r="AG68" s="143"/>
      <c r="AH68" s="143"/>
      <c r="AI68" s="143"/>
      <c r="AJ68" s="143"/>
      <c r="AK68" s="16"/>
      <c r="AL68" s="16"/>
      <c r="AM68" s="143"/>
      <c r="AN68" s="177">
        <f>SUM(P68:AM68)-O68</f>
        <v>126087</v>
      </c>
    </row>
    <row r="69" spans="1:40" ht="15" thickBot="1" x14ac:dyDescent="0.4">
      <c r="A69" s="40">
        <v>1127</v>
      </c>
      <c r="B69" s="79" t="s">
        <v>119</v>
      </c>
      <c r="C69" s="46">
        <v>368897</v>
      </c>
      <c r="D69" s="97">
        <v>0</v>
      </c>
      <c r="E69" s="10">
        <f>C69+D69</f>
        <v>368897</v>
      </c>
      <c r="F69" s="23">
        <v>599032</v>
      </c>
      <c r="G69" s="23">
        <v>0</v>
      </c>
      <c r="H69" s="16">
        <f>F69+G69</f>
        <v>599032</v>
      </c>
      <c r="I69" s="16">
        <f>E69-H69</f>
        <v>-230135</v>
      </c>
      <c r="J69" s="23">
        <v>0</v>
      </c>
      <c r="K69" s="23">
        <v>0</v>
      </c>
      <c r="L69" s="46">
        <v>0</v>
      </c>
      <c r="M69" s="46">
        <v>0</v>
      </c>
      <c r="N69" s="46">
        <v>0</v>
      </c>
      <c r="O69" s="46">
        <v>0</v>
      </c>
      <c r="P69" s="78">
        <f>I69-M69-J69-K69-N69-L69</f>
        <v>-230135</v>
      </c>
      <c r="Q69" s="155"/>
      <c r="R69" s="155"/>
      <c r="S69" s="45">
        <f>IF(-$P69&lt;VLOOKUP(A69,Eligibility!$A$3:$F$423,6,0),-P69,VLOOKUP(A69,Eligibility!$A$3:$F$423,6,0))</f>
        <v>230135</v>
      </c>
      <c r="T69" s="155"/>
      <c r="U69" s="155"/>
      <c r="V69" s="39"/>
      <c r="W69" s="155"/>
      <c r="X69" s="143"/>
      <c r="Y69" s="143"/>
      <c r="Z69" s="10"/>
      <c r="AA69" s="155"/>
      <c r="AB69" s="155"/>
      <c r="AC69" s="143"/>
      <c r="AD69" s="16"/>
      <c r="AE69" s="16"/>
      <c r="AF69" s="143"/>
      <c r="AG69" s="143"/>
      <c r="AH69" s="143"/>
      <c r="AI69" s="143"/>
      <c r="AJ69" s="143"/>
      <c r="AK69" s="16"/>
      <c r="AL69" s="16"/>
      <c r="AM69" s="143"/>
      <c r="AN69" s="177">
        <f>SUM(P69:AM69)-O69</f>
        <v>0</v>
      </c>
    </row>
    <row r="70" spans="1:40" ht="15" thickBot="1" x14ac:dyDescent="0.4">
      <c r="A70" s="40">
        <v>1134</v>
      </c>
      <c r="B70" s="79" t="s">
        <v>120</v>
      </c>
      <c r="C70" s="46">
        <v>1446337</v>
      </c>
      <c r="D70" s="97">
        <v>0</v>
      </c>
      <c r="E70" s="10">
        <f>C70+D70</f>
        <v>1446337</v>
      </c>
      <c r="F70" s="23">
        <v>382262</v>
      </c>
      <c r="G70" s="23">
        <v>0</v>
      </c>
      <c r="H70" s="16">
        <f>F70+G70</f>
        <v>382262</v>
      </c>
      <c r="I70" s="16">
        <f>E70-H70</f>
        <v>1064075</v>
      </c>
      <c r="J70" s="23">
        <v>60038</v>
      </c>
      <c r="K70" s="23">
        <v>0</v>
      </c>
      <c r="L70" s="46">
        <v>0</v>
      </c>
      <c r="M70" s="46">
        <v>0</v>
      </c>
      <c r="N70" s="46">
        <v>0</v>
      </c>
      <c r="O70" s="46">
        <v>0</v>
      </c>
      <c r="P70" s="78">
        <f>I70-M70-J70-K70-N70-L70</f>
        <v>1004037</v>
      </c>
      <c r="Q70" s="155"/>
      <c r="R70" s="155"/>
      <c r="S70" s="45">
        <f>IF(J70+K70+L70+M70+N70&lt;VLOOKUP(A70,Eligibility!$A$3:$F$423,6,0),J70+K70+L70+M70+N70,VLOOKUP(A70,Eligibility!$A$3:$F$423,6,0))</f>
        <v>60038</v>
      </c>
      <c r="T70" s="155"/>
      <c r="U70" s="155"/>
      <c r="V70" s="39"/>
      <c r="W70" s="155"/>
      <c r="X70" s="143"/>
      <c r="Y70" s="143"/>
      <c r="Z70" s="10"/>
      <c r="AA70" s="155"/>
      <c r="AB70" s="155"/>
      <c r="AC70" s="143"/>
      <c r="AD70" s="16"/>
      <c r="AE70" s="16"/>
      <c r="AF70" s="143"/>
      <c r="AG70" s="143"/>
      <c r="AH70" s="143"/>
      <c r="AI70" s="143"/>
      <c r="AJ70" s="143"/>
      <c r="AK70" s="16"/>
      <c r="AL70" s="16"/>
      <c r="AM70" s="143"/>
      <c r="AN70" s="177">
        <f>SUM(P70:AM70)-O70</f>
        <v>1064075</v>
      </c>
    </row>
    <row r="71" spans="1:40" ht="15" thickBot="1" x14ac:dyDescent="0.4">
      <c r="A71" s="40">
        <v>1141</v>
      </c>
      <c r="B71" s="79" t="s">
        <v>121</v>
      </c>
      <c r="C71" s="46">
        <v>506930</v>
      </c>
      <c r="D71" s="97">
        <v>0</v>
      </c>
      <c r="E71" s="10">
        <f>C71+D71</f>
        <v>506930</v>
      </c>
      <c r="F71" s="23">
        <v>1151789</v>
      </c>
      <c r="G71" s="23">
        <v>0</v>
      </c>
      <c r="H71" s="16">
        <f>F71+G71</f>
        <v>1151789</v>
      </c>
      <c r="I71" s="16">
        <f>E71-H71</f>
        <v>-644859</v>
      </c>
      <c r="J71" s="23">
        <v>475361</v>
      </c>
      <c r="K71" s="23">
        <v>21277</v>
      </c>
      <c r="L71" s="46">
        <v>0</v>
      </c>
      <c r="M71" s="46">
        <v>0</v>
      </c>
      <c r="N71" s="46">
        <v>0</v>
      </c>
      <c r="O71" s="46">
        <v>0</v>
      </c>
      <c r="P71" s="78">
        <f>I71-M71-J71-K71-N71-L71</f>
        <v>-1141497</v>
      </c>
      <c r="Q71" s="155"/>
      <c r="R71" s="155"/>
      <c r="S71" s="45">
        <f>IF(-$P71&lt;VLOOKUP(A71,Eligibility!$A$3:$F$423,6,0),-P71,VLOOKUP(A71,Eligibility!$A$3:$F$423,6,0))</f>
        <v>1141497</v>
      </c>
      <c r="T71" s="155"/>
      <c r="U71" s="155"/>
      <c r="V71" s="39"/>
      <c r="W71" s="155"/>
      <c r="X71" s="143"/>
      <c r="Y71" s="143"/>
      <c r="Z71" s="10"/>
      <c r="AA71" s="155"/>
      <c r="AB71" s="155"/>
      <c r="AC71" s="143"/>
      <c r="AD71" s="16"/>
      <c r="AE71" s="16"/>
      <c r="AF71" s="143"/>
      <c r="AG71" s="143"/>
      <c r="AH71" s="143"/>
      <c r="AI71" s="143"/>
      <c r="AJ71" s="143"/>
      <c r="AK71" s="16"/>
      <c r="AL71" s="16"/>
      <c r="AM71" s="143"/>
      <c r="AN71" s="177">
        <f>SUM(P71:AM71)-O71</f>
        <v>0</v>
      </c>
    </row>
    <row r="72" spans="1:40" ht="15" thickBot="1" x14ac:dyDescent="0.4">
      <c r="A72" s="40">
        <v>1155</v>
      </c>
      <c r="B72" s="79" t="s">
        <v>122</v>
      </c>
      <c r="C72" s="46">
        <v>270252</v>
      </c>
      <c r="D72" s="97">
        <v>0</v>
      </c>
      <c r="E72" s="10">
        <f>C72+D72</f>
        <v>270252</v>
      </c>
      <c r="F72" s="23">
        <v>285862</v>
      </c>
      <c r="G72" s="23">
        <v>0</v>
      </c>
      <c r="H72" s="16">
        <f>F72+G72</f>
        <v>285862</v>
      </c>
      <c r="I72" s="16">
        <f>E72-H72</f>
        <v>-15610</v>
      </c>
      <c r="J72" s="23">
        <v>35784</v>
      </c>
      <c r="K72" s="23">
        <v>0</v>
      </c>
      <c r="L72" s="46">
        <v>0</v>
      </c>
      <c r="M72" s="46">
        <v>0</v>
      </c>
      <c r="N72" s="46">
        <v>0</v>
      </c>
      <c r="O72" s="46">
        <v>0</v>
      </c>
      <c r="P72" s="78">
        <f>I72-M72-J72-K72-N72-L72</f>
        <v>-51394</v>
      </c>
      <c r="Q72" s="155"/>
      <c r="R72" s="155"/>
      <c r="S72" s="45">
        <f>IF(-$P72&lt;VLOOKUP(A72,Eligibility!$A$3:$F$423,6,0),-P72,VLOOKUP(A72,Eligibility!$A$3:$F$423,6,0))</f>
        <v>51394</v>
      </c>
      <c r="T72" s="155"/>
      <c r="U72" s="155"/>
      <c r="V72" s="39"/>
      <c r="W72" s="155"/>
      <c r="X72" s="143"/>
      <c r="Y72" s="143"/>
      <c r="Z72" s="10"/>
      <c r="AA72" s="155"/>
      <c r="AB72" s="155"/>
      <c r="AC72" s="143"/>
      <c r="AD72" s="16"/>
      <c r="AE72" s="16"/>
      <c r="AF72" s="143"/>
      <c r="AG72" s="143"/>
      <c r="AH72" s="143"/>
      <c r="AI72" s="143"/>
      <c r="AJ72" s="143"/>
      <c r="AK72" s="16"/>
      <c r="AL72" s="16"/>
      <c r="AM72" s="143"/>
      <c r="AN72" s="177">
        <f>SUM(P72:AM72)-O72</f>
        <v>0</v>
      </c>
    </row>
    <row r="73" spans="1:40" ht="15" thickBot="1" x14ac:dyDescent="0.4">
      <c r="A73" s="40">
        <v>1162</v>
      </c>
      <c r="B73" s="79" t="s">
        <v>123</v>
      </c>
      <c r="C73" s="46">
        <v>976111</v>
      </c>
      <c r="D73" s="97">
        <v>0</v>
      </c>
      <c r="E73" s="10">
        <f>C73+D73</f>
        <v>976111</v>
      </c>
      <c r="F73" s="23">
        <v>1210378</v>
      </c>
      <c r="G73" s="23">
        <v>0</v>
      </c>
      <c r="H73" s="16">
        <f>F73+G73</f>
        <v>1210378</v>
      </c>
      <c r="I73" s="16">
        <f>E73-H73</f>
        <v>-234267</v>
      </c>
      <c r="J73" s="23">
        <v>178450</v>
      </c>
      <c r="K73" s="23">
        <v>0</v>
      </c>
      <c r="L73" s="46">
        <v>0</v>
      </c>
      <c r="M73" s="46">
        <v>0</v>
      </c>
      <c r="N73" s="46">
        <v>0</v>
      </c>
      <c r="O73" s="46">
        <v>0</v>
      </c>
      <c r="P73" s="78">
        <f>I73-M73-J73-K73-N73-L73</f>
        <v>-412717</v>
      </c>
      <c r="Q73" s="155"/>
      <c r="R73" s="155"/>
      <c r="S73" s="45">
        <f>IF(-$P73&lt;VLOOKUP(A73,Eligibility!$A$3:$F$423,6,0),-P73,VLOOKUP(A73,Eligibility!$A$3:$F$423,6,0))</f>
        <v>412717</v>
      </c>
      <c r="T73" s="155"/>
      <c r="U73" s="155"/>
      <c r="V73" s="39"/>
      <c r="W73" s="155"/>
      <c r="X73" s="143"/>
      <c r="Y73" s="143"/>
      <c r="Z73" s="10"/>
      <c r="AA73" s="155"/>
      <c r="AB73" s="155"/>
      <c r="AC73" s="143"/>
      <c r="AD73" s="16"/>
      <c r="AE73" s="16"/>
      <c r="AF73" s="143"/>
      <c r="AG73" s="143"/>
      <c r="AH73" s="143"/>
      <c r="AI73" s="143"/>
      <c r="AJ73" s="143"/>
      <c r="AK73" s="16"/>
      <c r="AL73" s="16"/>
      <c r="AM73" s="143"/>
      <c r="AN73" s="177">
        <f>SUM(P73:AM73)-O73</f>
        <v>0</v>
      </c>
    </row>
    <row r="74" spans="1:40" ht="15" thickBot="1" x14ac:dyDescent="0.4">
      <c r="A74" s="40">
        <v>1169</v>
      </c>
      <c r="B74" s="79" t="s">
        <v>124</v>
      </c>
      <c r="C74" s="46">
        <v>453399</v>
      </c>
      <c r="D74" s="97">
        <v>0</v>
      </c>
      <c r="E74" s="10">
        <f>C74+D74</f>
        <v>453399</v>
      </c>
      <c r="F74" s="23">
        <v>597620</v>
      </c>
      <c r="G74" s="23">
        <v>0</v>
      </c>
      <c r="H74" s="16">
        <f>F74+G74</f>
        <v>597620</v>
      </c>
      <c r="I74" s="16">
        <f>E74-H74</f>
        <v>-144221</v>
      </c>
      <c r="J74" s="23">
        <v>228622</v>
      </c>
      <c r="K74" s="23">
        <v>12977</v>
      </c>
      <c r="L74" s="46">
        <v>0</v>
      </c>
      <c r="M74" s="46">
        <v>0</v>
      </c>
      <c r="N74" s="46">
        <v>0</v>
      </c>
      <c r="O74" s="46">
        <v>0</v>
      </c>
      <c r="P74" s="78">
        <f>I74-M74-J74-K74-N74-L74</f>
        <v>-385820</v>
      </c>
      <c r="Q74" s="155"/>
      <c r="R74" s="155"/>
      <c r="S74" s="45">
        <f>IF(-$P74&lt;VLOOKUP(A74,Eligibility!$A$3:$F$423,6,0),-P74,VLOOKUP(A74,Eligibility!$A$3:$F$423,6,0))</f>
        <v>385820</v>
      </c>
      <c r="T74" s="155"/>
      <c r="U74" s="155"/>
      <c r="V74" s="39"/>
      <c r="W74" s="155"/>
      <c r="X74" s="143"/>
      <c r="Y74" s="143"/>
      <c r="Z74" s="10"/>
      <c r="AA74" s="155"/>
      <c r="AB74" s="155"/>
      <c r="AC74" s="143"/>
      <c r="AD74" s="16"/>
      <c r="AE74" s="16"/>
      <c r="AF74" s="143"/>
      <c r="AG74" s="143"/>
      <c r="AH74" s="143"/>
      <c r="AI74" s="143"/>
      <c r="AJ74" s="143"/>
      <c r="AK74" s="16"/>
      <c r="AL74" s="16"/>
      <c r="AM74" s="143"/>
      <c r="AN74" s="177">
        <f>SUM(P74:AM74)-O74</f>
        <v>0</v>
      </c>
    </row>
    <row r="75" spans="1:40" ht="15" thickBot="1" x14ac:dyDescent="0.4">
      <c r="A75" s="40">
        <v>1176</v>
      </c>
      <c r="B75" s="79" t="s">
        <v>125</v>
      </c>
      <c r="C75" s="46">
        <v>524891</v>
      </c>
      <c r="D75" s="97">
        <v>0</v>
      </c>
      <c r="E75" s="10">
        <f>C75+D75</f>
        <v>524891</v>
      </c>
      <c r="F75" s="23">
        <v>816800</v>
      </c>
      <c r="G75" s="23">
        <v>0</v>
      </c>
      <c r="H75" s="16">
        <f>F75+G75</f>
        <v>816800</v>
      </c>
      <c r="I75" s="16">
        <f>E75-H75</f>
        <v>-291909</v>
      </c>
      <c r="J75" s="23">
        <v>16600</v>
      </c>
      <c r="K75" s="23">
        <v>0</v>
      </c>
      <c r="L75" s="46">
        <v>0</v>
      </c>
      <c r="M75" s="46">
        <v>7059.17</v>
      </c>
      <c r="N75" s="46">
        <v>0</v>
      </c>
      <c r="O75" s="46">
        <v>0</v>
      </c>
      <c r="P75" s="78">
        <f>I75-M75-J75-K75-N75-L75</f>
        <v>-315568.17</v>
      </c>
      <c r="Q75" s="155"/>
      <c r="R75" s="155"/>
      <c r="S75" s="45">
        <f>IF(-$P75&lt;VLOOKUP(A75,Eligibility!$A$3:$F$423,6,0),-P75,VLOOKUP(A75,Eligibility!$A$3:$F$423,6,0))</f>
        <v>315568.17</v>
      </c>
      <c r="T75" s="155"/>
      <c r="U75" s="155"/>
      <c r="V75" s="39"/>
      <c r="W75" s="155"/>
      <c r="X75" s="143"/>
      <c r="Y75" s="143"/>
      <c r="Z75" s="10"/>
      <c r="AA75" s="155"/>
      <c r="AB75" s="155"/>
      <c r="AC75" s="143"/>
      <c r="AD75" s="16"/>
      <c r="AE75" s="16"/>
      <c r="AF75" s="143"/>
      <c r="AG75" s="143"/>
      <c r="AH75" s="143"/>
      <c r="AI75" s="143"/>
      <c r="AJ75" s="143"/>
      <c r="AK75" s="16"/>
      <c r="AL75" s="16"/>
      <c r="AM75" s="143"/>
      <c r="AN75" s="177">
        <f>SUM(P75:AM75)-O75</f>
        <v>0</v>
      </c>
    </row>
    <row r="76" spans="1:40" ht="15" thickBot="1" x14ac:dyDescent="0.4">
      <c r="A76" s="40">
        <v>1183</v>
      </c>
      <c r="B76" s="79" t="s">
        <v>126</v>
      </c>
      <c r="C76" s="46">
        <v>1279394</v>
      </c>
      <c r="D76" s="97">
        <v>0</v>
      </c>
      <c r="E76" s="10">
        <f>C76+D76</f>
        <v>1279394</v>
      </c>
      <c r="F76" s="23">
        <v>1165919</v>
      </c>
      <c r="G76" s="23">
        <v>0</v>
      </c>
      <c r="H76" s="16">
        <f>F76+G76</f>
        <v>1165919</v>
      </c>
      <c r="I76" s="16">
        <f>E76-H76</f>
        <v>113475</v>
      </c>
      <c r="J76" s="23">
        <v>77930</v>
      </c>
      <c r="K76" s="23">
        <v>0</v>
      </c>
      <c r="L76" s="46">
        <v>0</v>
      </c>
      <c r="M76" s="46">
        <v>0</v>
      </c>
      <c r="N76" s="46">
        <v>0</v>
      </c>
      <c r="O76" s="46">
        <v>0</v>
      </c>
      <c r="P76" s="78">
        <f>I76-M76-J76-K76-N76-L76</f>
        <v>35545</v>
      </c>
      <c r="Q76" s="155"/>
      <c r="R76" s="155"/>
      <c r="S76" s="45">
        <f>IF(J76+K76+L76+M76+N76&lt;VLOOKUP(A76,Eligibility!$A$3:$F$423,6,0),J76+K76+L76+M76+N76,VLOOKUP(A76,Eligibility!$A$3:$F$423,6,0))</f>
        <v>77930</v>
      </c>
      <c r="T76" s="155"/>
      <c r="U76" s="155"/>
      <c r="V76" s="39"/>
      <c r="W76" s="155"/>
      <c r="X76" s="143"/>
      <c r="Y76" s="143"/>
      <c r="Z76" s="10"/>
      <c r="AA76" s="155"/>
      <c r="AB76" s="155"/>
      <c r="AC76" s="143"/>
      <c r="AD76" s="16"/>
      <c r="AE76" s="16"/>
      <c r="AF76" s="143"/>
      <c r="AG76" s="143"/>
      <c r="AH76" s="143"/>
      <c r="AI76" s="143"/>
      <c r="AJ76" s="143"/>
      <c r="AK76" s="16"/>
      <c r="AL76" s="16"/>
      <c r="AM76" s="143"/>
      <c r="AN76" s="177">
        <f>SUM(P76:AM76)-O76</f>
        <v>113475</v>
      </c>
    </row>
    <row r="77" spans="1:40" ht="15" thickBot="1" x14ac:dyDescent="0.4">
      <c r="A77" s="40">
        <v>1204</v>
      </c>
      <c r="B77" s="79" t="s">
        <v>127</v>
      </c>
      <c r="C77" s="46">
        <v>207430</v>
      </c>
      <c r="D77" s="97">
        <v>0</v>
      </c>
      <c r="E77" s="10">
        <f>C77+D77</f>
        <v>207430</v>
      </c>
      <c r="F77" s="23">
        <v>548191</v>
      </c>
      <c r="G77" s="23">
        <v>0</v>
      </c>
      <c r="H77" s="16">
        <f>F77+G77</f>
        <v>548191</v>
      </c>
      <c r="I77" s="16">
        <f>E77-H77</f>
        <v>-340761</v>
      </c>
      <c r="J77" s="23">
        <v>0</v>
      </c>
      <c r="K77" s="23">
        <v>0</v>
      </c>
      <c r="L77" s="46">
        <v>0</v>
      </c>
      <c r="M77" s="46">
        <v>0</v>
      </c>
      <c r="N77" s="46">
        <v>0</v>
      </c>
      <c r="O77" s="46">
        <v>0</v>
      </c>
      <c r="P77" s="78">
        <f>I77-M77-J77-K77-N77-L77</f>
        <v>-340761</v>
      </c>
      <c r="Q77" s="155"/>
      <c r="R77" s="155"/>
      <c r="S77" s="45">
        <f>IF(-$P77&lt;VLOOKUP(A77,Eligibility!$A$3:$F$423,6,0),-P77,VLOOKUP(A77,Eligibility!$A$3:$F$423,6,0))</f>
        <v>340761</v>
      </c>
      <c r="T77" s="155"/>
      <c r="U77" s="155"/>
      <c r="V77" s="39"/>
      <c r="W77" s="155"/>
      <c r="X77" s="143"/>
      <c r="Y77" s="143"/>
      <c r="Z77" s="10"/>
      <c r="AA77" s="155"/>
      <c r="AB77" s="155"/>
      <c r="AC77" s="143"/>
      <c r="AD77" s="16"/>
      <c r="AE77" s="16"/>
      <c r="AF77" s="143"/>
      <c r="AG77" s="143"/>
      <c r="AH77" s="143"/>
      <c r="AI77" s="143"/>
      <c r="AJ77" s="143"/>
      <c r="AK77" s="16"/>
      <c r="AL77" s="16"/>
      <c r="AM77" s="143"/>
      <c r="AN77" s="177">
        <f>SUM(P77:AM77)-O77</f>
        <v>0</v>
      </c>
    </row>
    <row r="78" spans="1:40" ht="15" thickBot="1" x14ac:dyDescent="0.4">
      <c r="A78" s="40">
        <v>1218</v>
      </c>
      <c r="B78" s="79" t="s">
        <v>128</v>
      </c>
      <c r="C78" s="46">
        <v>224835</v>
      </c>
      <c r="D78" s="97">
        <v>0</v>
      </c>
      <c r="E78" s="10">
        <f>C78+D78</f>
        <v>224835</v>
      </c>
      <c r="F78" s="23">
        <v>826321</v>
      </c>
      <c r="G78" s="23">
        <v>0</v>
      </c>
      <c r="H78" s="16">
        <f>F78+G78</f>
        <v>826321</v>
      </c>
      <c r="I78" s="16">
        <f>E78-H78</f>
        <v>-601486</v>
      </c>
      <c r="J78" s="23">
        <v>0</v>
      </c>
      <c r="K78" s="23">
        <v>0</v>
      </c>
      <c r="L78" s="46">
        <v>0</v>
      </c>
      <c r="M78" s="46">
        <v>0</v>
      </c>
      <c r="N78" s="46">
        <v>0</v>
      </c>
      <c r="O78" s="46">
        <v>0</v>
      </c>
      <c r="P78" s="78">
        <f>I78-M78-J78-K78-N78-L78</f>
        <v>-601486</v>
      </c>
      <c r="Q78" s="155"/>
      <c r="R78" s="155"/>
      <c r="S78" s="45">
        <f>IF(-$P78&lt;VLOOKUP(A78,Eligibility!$A$3:$F$423,6,0),-P78,VLOOKUP(A78,Eligibility!$A$3:$F$423,6,0))</f>
        <v>601486</v>
      </c>
      <c r="T78" s="155"/>
      <c r="U78" s="155"/>
      <c r="V78" s="39"/>
      <c r="W78" s="155"/>
      <c r="X78" s="143"/>
      <c r="Y78" s="143"/>
      <c r="Z78" s="10"/>
      <c r="AA78" s="155"/>
      <c r="AB78" s="155"/>
      <c r="AC78" s="143"/>
      <c r="AD78" s="16"/>
      <c r="AE78" s="16"/>
      <c r="AF78" s="143"/>
      <c r="AG78" s="143"/>
      <c r="AH78" s="143"/>
      <c r="AI78" s="143"/>
      <c r="AJ78" s="143"/>
      <c r="AK78" s="16"/>
      <c r="AL78" s="16"/>
      <c r="AM78" s="143"/>
      <c r="AN78" s="177">
        <f>SUM(P78:AM78)-O78</f>
        <v>0</v>
      </c>
    </row>
    <row r="79" spans="1:40" ht="15" thickBot="1" x14ac:dyDescent="0.4">
      <c r="A79" s="40">
        <v>1232</v>
      </c>
      <c r="B79" s="79" t="s">
        <v>129</v>
      </c>
      <c r="C79" s="46">
        <v>496063</v>
      </c>
      <c r="D79" s="97">
        <v>0</v>
      </c>
      <c r="E79" s="10">
        <f>C79+D79</f>
        <v>496063</v>
      </c>
      <c r="F79" s="23">
        <v>443323</v>
      </c>
      <c r="G79" s="23">
        <v>0</v>
      </c>
      <c r="H79" s="16">
        <f>F79+G79</f>
        <v>443323</v>
      </c>
      <c r="I79" s="16">
        <f>E79-H79</f>
        <v>52740</v>
      </c>
      <c r="J79" s="23">
        <v>35138</v>
      </c>
      <c r="K79" s="23">
        <v>0</v>
      </c>
      <c r="L79" s="46">
        <v>0</v>
      </c>
      <c r="M79" s="46">
        <v>7059.17</v>
      </c>
      <c r="N79" s="46">
        <v>0</v>
      </c>
      <c r="O79" s="46">
        <v>0</v>
      </c>
      <c r="P79" s="78">
        <f>I79-M79-J79-K79-N79-L79</f>
        <v>10542.83</v>
      </c>
      <c r="Q79" s="155"/>
      <c r="R79" s="155"/>
      <c r="S79" s="45">
        <f>IF(J79+K79+L79+M79+N79&lt;VLOOKUP(A79,Eligibility!$A$3:$F$423,6,0),J79+K79+L79+M79+N79,VLOOKUP(A79,Eligibility!$A$3:$F$423,6,0))</f>
        <v>42197.17</v>
      </c>
      <c r="T79" s="155"/>
      <c r="U79" s="155"/>
      <c r="V79" s="39"/>
      <c r="W79" s="155"/>
      <c r="X79" s="143"/>
      <c r="Y79" s="143"/>
      <c r="Z79" s="10"/>
      <c r="AA79" s="155"/>
      <c r="AB79" s="155"/>
      <c r="AC79" s="143"/>
      <c r="AD79" s="16"/>
      <c r="AE79" s="16"/>
      <c r="AF79" s="143"/>
      <c r="AG79" s="143"/>
      <c r="AH79" s="143"/>
      <c r="AI79" s="143"/>
      <c r="AJ79" s="143"/>
      <c r="AK79" s="16"/>
      <c r="AL79" s="16"/>
      <c r="AM79" s="143"/>
      <c r="AN79" s="177">
        <f>SUM(P79:AM79)-O79</f>
        <v>52740</v>
      </c>
    </row>
    <row r="80" spans="1:40" ht="15" thickBot="1" x14ac:dyDescent="0.4">
      <c r="A80" s="40">
        <v>1246</v>
      </c>
      <c r="B80" s="79" t="s">
        <v>130</v>
      </c>
      <c r="C80" s="46">
        <v>805224</v>
      </c>
      <c r="D80" s="97">
        <v>0</v>
      </c>
      <c r="E80" s="10">
        <f>C80+D80</f>
        <v>805224</v>
      </c>
      <c r="F80" s="23">
        <v>564807</v>
      </c>
      <c r="G80" s="23">
        <v>0</v>
      </c>
      <c r="H80" s="16">
        <f>F80+G80</f>
        <v>564807</v>
      </c>
      <c r="I80" s="16">
        <f>E80-H80</f>
        <v>240417</v>
      </c>
      <c r="J80" s="23">
        <v>0</v>
      </c>
      <c r="K80" s="23">
        <v>0</v>
      </c>
      <c r="L80" s="46">
        <v>0</v>
      </c>
      <c r="M80" s="46">
        <v>0</v>
      </c>
      <c r="N80" s="46">
        <v>0</v>
      </c>
      <c r="O80" s="46">
        <v>0</v>
      </c>
      <c r="P80" s="78">
        <f>I80-M80-J80-K80-N80-L80</f>
        <v>240417</v>
      </c>
      <c r="Q80" s="155"/>
      <c r="R80" s="155"/>
      <c r="S80" s="45">
        <f>IF(J80+K80+L80+M80+N80&lt;VLOOKUP(A80,Eligibility!$A$3:$F$423,6,0),J80+K80+L80+M80+N80,VLOOKUP(A80,Eligibility!$A$3:$F$423,6,0))</f>
        <v>0</v>
      </c>
      <c r="T80" s="155"/>
      <c r="U80" s="155"/>
      <c r="V80" s="39"/>
      <c r="W80" s="155"/>
      <c r="X80" s="143"/>
      <c r="Y80" s="143"/>
      <c r="Z80" s="10"/>
      <c r="AA80" s="155"/>
      <c r="AB80" s="155"/>
      <c r="AC80" s="143"/>
      <c r="AD80" s="16"/>
      <c r="AE80" s="16"/>
      <c r="AF80" s="143"/>
      <c r="AG80" s="143"/>
      <c r="AH80" s="143"/>
      <c r="AI80" s="143"/>
      <c r="AJ80" s="143"/>
      <c r="AK80" s="16"/>
      <c r="AL80" s="16"/>
      <c r="AM80" s="143"/>
      <c r="AN80" s="177">
        <f>SUM(P80:AM80)-O80</f>
        <v>240417</v>
      </c>
    </row>
    <row r="81" spans="1:40" ht="15" thickBot="1" x14ac:dyDescent="0.4">
      <c r="A81" s="40">
        <v>1253</v>
      </c>
      <c r="B81" s="79" t="s">
        <v>131</v>
      </c>
      <c r="C81" s="46">
        <v>2236819</v>
      </c>
      <c r="D81" s="97">
        <v>0</v>
      </c>
      <c r="E81" s="10">
        <f>C81+D81</f>
        <v>2236819</v>
      </c>
      <c r="F81" s="23">
        <v>3353425</v>
      </c>
      <c r="G81" s="23">
        <v>21102</v>
      </c>
      <c r="H81" s="16">
        <f>F81+G81</f>
        <v>3374527</v>
      </c>
      <c r="I81" s="16">
        <f>E81-H81</f>
        <v>-1137708</v>
      </c>
      <c r="J81" s="23">
        <v>695239.58</v>
      </c>
      <c r="K81" s="23">
        <v>38931</v>
      </c>
      <c r="L81" s="46">
        <v>0</v>
      </c>
      <c r="M81" s="46">
        <v>0</v>
      </c>
      <c r="N81" s="46">
        <v>32218</v>
      </c>
      <c r="O81" s="46">
        <v>0</v>
      </c>
      <c r="P81" s="78">
        <f>I81-M81-J81-K81-N81-L81</f>
        <v>-1904096.58</v>
      </c>
      <c r="Q81" s="155"/>
      <c r="R81" s="155"/>
      <c r="S81" s="45">
        <f>IF(-$P81&lt;VLOOKUP(A81,Eligibility!$A$3:$F$423,6,0),-P81,VLOOKUP(A81,Eligibility!$A$3:$F$423,6,0))</f>
        <v>1904096.58</v>
      </c>
      <c r="T81" s="155"/>
      <c r="U81" s="155"/>
      <c r="V81" s="39"/>
      <c r="W81" s="155"/>
      <c r="X81" s="143"/>
      <c r="Y81" s="143"/>
      <c r="Z81" s="10"/>
      <c r="AA81" s="155"/>
      <c r="AB81" s="155"/>
      <c r="AC81" s="143"/>
      <c r="AD81" s="16"/>
      <c r="AE81" s="16"/>
      <c r="AF81" s="143"/>
      <c r="AG81" s="143"/>
      <c r="AH81" s="143"/>
      <c r="AI81" s="143"/>
      <c r="AJ81" s="143"/>
      <c r="AK81" s="16"/>
      <c r="AL81" s="16"/>
      <c r="AM81" s="143"/>
      <c r="AN81" s="177">
        <f>SUM(P81:AM81)-O81</f>
        <v>0</v>
      </c>
    </row>
    <row r="82" spans="1:40" ht="15" thickBot="1" x14ac:dyDescent="0.4">
      <c r="A82" s="40">
        <v>1260</v>
      </c>
      <c r="B82" s="79" t="s">
        <v>132</v>
      </c>
      <c r="C82" s="46">
        <v>869326</v>
      </c>
      <c r="D82" s="97">
        <v>0</v>
      </c>
      <c r="E82" s="10">
        <f>C82+D82</f>
        <v>869326</v>
      </c>
      <c r="F82" s="23">
        <v>286706</v>
      </c>
      <c r="G82" s="23">
        <v>0</v>
      </c>
      <c r="H82" s="16">
        <f>F82+G82</f>
        <v>286706</v>
      </c>
      <c r="I82" s="16">
        <f>E82-H82</f>
        <v>582620</v>
      </c>
      <c r="J82" s="23">
        <v>24900</v>
      </c>
      <c r="K82" s="23">
        <v>0</v>
      </c>
      <c r="L82" s="46">
        <v>0</v>
      </c>
      <c r="M82" s="46">
        <v>0</v>
      </c>
      <c r="N82" s="46">
        <v>0</v>
      </c>
      <c r="O82" s="46">
        <v>0</v>
      </c>
      <c r="P82" s="78">
        <f>I82-M82-J82-K82-N82-L82</f>
        <v>557720</v>
      </c>
      <c r="Q82" s="155"/>
      <c r="R82" s="155"/>
      <c r="S82" s="45">
        <f>IF(J82+K82+L82+M82+N82&lt;VLOOKUP(A82,Eligibility!$A$3:$F$423,6,0),J82+K82+L82+M82+N82,VLOOKUP(A82,Eligibility!$A$3:$F$423,6,0))</f>
        <v>24900</v>
      </c>
      <c r="T82" s="155"/>
      <c r="U82" s="155"/>
      <c r="V82" s="39"/>
      <c r="W82" s="155"/>
      <c r="X82" s="143"/>
      <c r="Y82" s="143"/>
      <c r="Z82" s="10"/>
      <c r="AA82" s="155"/>
      <c r="AB82" s="155"/>
      <c r="AC82" s="143"/>
      <c r="AD82" s="16"/>
      <c r="AE82" s="16"/>
      <c r="AF82" s="143"/>
      <c r="AG82" s="143"/>
      <c r="AH82" s="143"/>
      <c r="AI82" s="143"/>
      <c r="AJ82" s="143"/>
      <c r="AK82" s="16"/>
      <c r="AL82" s="16"/>
      <c r="AM82" s="143"/>
      <c r="AN82" s="177">
        <f>SUM(P82:AM82)-O82</f>
        <v>582620</v>
      </c>
    </row>
    <row r="83" spans="1:40" ht="15" thickBot="1" x14ac:dyDescent="0.4">
      <c r="A83" s="40">
        <v>4970</v>
      </c>
      <c r="B83" s="79" t="s">
        <v>133</v>
      </c>
      <c r="C83" s="46">
        <v>3811218</v>
      </c>
      <c r="D83" s="97">
        <v>0</v>
      </c>
      <c r="E83" s="10">
        <f>C83+D83</f>
        <v>3811218</v>
      </c>
      <c r="F83" s="23">
        <v>2976503</v>
      </c>
      <c r="G83" s="23">
        <v>0</v>
      </c>
      <c r="H83" s="16">
        <f>F83+G83</f>
        <v>2976503</v>
      </c>
      <c r="I83" s="16">
        <f>E83-H83</f>
        <v>834715</v>
      </c>
      <c r="J83" s="23">
        <v>667328</v>
      </c>
      <c r="K83" s="23">
        <v>34254</v>
      </c>
      <c r="L83" s="46">
        <v>0</v>
      </c>
      <c r="M83" s="46">
        <v>0</v>
      </c>
      <c r="N83" s="46">
        <v>0</v>
      </c>
      <c r="O83" s="46">
        <v>0</v>
      </c>
      <c r="P83" s="78">
        <f>I83-M83-J83-K83-N83-L83</f>
        <v>133133</v>
      </c>
      <c r="Q83" s="155"/>
      <c r="R83" s="155"/>
      <c r="S83" s="45">
        <f>IF(J83+K83+L83+M83+N83&lt;VLOOKUP(A83,Eligibility!$A$3:$F$423,6,0),J83+K83+L83+M83+N83,VLOOKUP(A83,Eligibility!$A$3:$F$423,6,0))</f>
        <v>701582</v>
      </c>
      <c r="T83" s="155"/>
      <c r="U83" s="155"/>
      <c r="V83" s="39"/>
      <c r="W83" s="155"/>
      <c r="X83" s="143"/>
      <c r="Y83" s="143"/>
      <c r="Z83" s="10"/>
      <c r="AA83" s="155"/>
      <c r="AB83" s="155"/>
      <c r="AC83" s="143"/>
      <c r="AD83" s="16"/>
      <c r="AE83" s="16"/>
      <c r="AF83" s="143"/>
      <c r="AG83" s="143"/>
      <c r="AH83" s="143"/>
      <c r="AI83" s="143"/>
      <c r="AJ83" s="143"/>
      <c r="AK83" s="16"/>
      <c r="AL83" s="16"/>
      <c r="AM83" s="143"/>
      <c r="AN83" s="177">
        <f>SUM(P83:AM83)-O83</f>
        <v>834715</v>
      </c>
    </row>
    <row r="84" spans="1:40" ht="15" thickBot="1" x14ac:dyDescent="0.4">
      <c r="A84" s="40">
        <v>1295</v>
      </c>
      <c r="B84" s="79" t="s">
        <v>134</v>
      </c>
      <c r="C84" s="46">
        <v>429907</v>
      </c>
      <c r="D84" s="97">
        <v>0</v>
      </c>
      <c r="E84" s="10">
        <f>C84+D84</f>
        <v>429907</v>
      </c>
      <c r="F84" s="23">
        <v>668842</v>
      </c>
      <c r="G84" s="23">
        <v>0</v>
      </c>
      <c r="H84" s="16">
        <f>F84+G84</f>
        <v>668842</v>
      </c>
      <c r="I84" s="16">
        <f>E84-H84</f>
        <v>-238935</v>
      </c>
      <c r="J84" s="23">
        <v>0</v>
      </c>
      <c r="K84" s="23">
        <v>0</v>
      </c>
      <c r="L84" s="46">
        <v>0</v>
      </c>
      <c r="M84" s="46">
        <v>0</v>
      </c>
      <c r="N84" s="46">
        <v>0</v>
      </c>
      <c r="O84" s="46">
        <v>0</v>
      </c>
      <c r="P84" s="78">
        <f>I84-M84-J84-K84-N84-L84</f>
        <v>-238935</v>
      </c>
      <c r="Q84" s="155"/>
      <c r="R84" s="155"/>
      <c r="S84" s="45">
        <f>IF(-$P84&lt;VLOOKUP(A84,Eligibility!$A$3:$F$423,6,0),-P84,VLOOKUP(A84,Eligibility!$A$3:$F$423,6,0))</f>
        <v>238935</v>
      </c>
      <c r="T84" s="155"/>
      <c r="U84" s="155"/>
      <c r="V84" s="39"/>
      <c r="W84" s="155"/>
      <c r="X84" s="143"/>
      <c r="Y84" s="143"/>
      <c r="Z84" s="10"/>
      <c r="AA84" s="155"/>
      <c r="AB84" s="155"/>
      <c r="AC84" s="143"/>
      <c r="AD84" s="16"/>
      <c r="AE84" s="16"/>
      <c r="AF84" s="143"/>
      <c r="AG84" s="143"/>
      <c r="AH84" s="143"/>
      <c r="AI84" s="143"/>
      <c r="AJ84" s="143"/>
      <c r="AK84" s="16"/>
      <c r="AL84" s="16"/>
      <c r="AM84" s="143"/>
      <c r="AN84" s="177">
        <f>SUM(P84:AM84)-O84</f>
        <v>0</v>
      </c>
    </row>
    <row r="85" spans="1:40" ht="15" thickBot="1" x14ac:dyDescent="0.4">
      <c r="A85" s="40">
        <v>1309</v>
      </c>
      <c r="B85" s="79" t="s">
        <v>135</v>
      </c>
      <c r="C85" s="46">
        <v>611803</v>
      </c>
      <c r="D85" s="97">
        <v>0</v>
      </c>
      <c r="E85" s="10">
        <f>C85+D85</f>
        <v>611803</v>
      </c>
      <c r="F85" s="23">
        <v>759343</v>
      </c>
      <c r="G85" s="23">
        <v>0</v>
      </c>
      <c r="H85" s="16">
        <f>F85+G85</f>
        <v>759343</v>
      </c>
      <c r="I85" s="16">
        <f>E85-H85</f>
        <v>-147540</v>
      </c>
      <c r="J85" s="23">
        <v>13280</v>
      </c>
      <c r="K85" s="23">
        <v>0</v>
      </c>
      <c r="L85" s="46">
        <v>4582.5</v>
      </c>
      <c r="M85" s="46">
        <v>0</v>
      </c>
      <c r="N85" s="46">
        <v>0</v>
      </c>
      <c r="O85" s="46">
        <v>0</v>
      </c>
      <c r="P85" s="78">
        <f>I85-M85-J85-K85-N85-L85</f>
        <v>-165402.5</v>
      </c>
      <c r="Q85" s="155"/>
      <c r="R85" s="155"/>
      <c r="S85" s="45">
        <f>IF(-$P85&lt;VLOOKUP(A85,Eligibility!$A$3:$F$423,6,0),-P85,VLOOKUP(A85,Eligibility!$A$3:$F$423,6,0))</f>
        <v>165402.5</v>
      </c>
      <c r="T85" s="155"/>
      <c r="U85" s="155"/>
      <c r="V85" s="39"/>
      <c r="W85" s="155"/>
      <c r="X85" s="143"/>
      <c r="Y85" s="143"/>
      <c r="Z85" s="10"/>
      <c r="AA85" s="155"/>
      <c r="AB85" s="155"/>
      <c r="AC85" s="143"/>
      <c r="AD85" s="16"/>
      <c r="AE85" s="16"/>
      <c r="AF85" s="143"/>
      <c r="AG85" s="143"/>
      <c r="AH85" s="143"/>
      <c r="AI85" s="143"/>
      <c r="AJ85" s="143"/>
      <c r="AK85" s="16"/>
      <c r="AL85" s="16"/>
      <c r="AM85" s="143"/>
      <c r="AN85" s="177">
        <f>SUM(P85:AM85)-O85</f>
        <v>0</v>
      </c>
    </row>
    <row r="86" spans="1:40" ht="15" thickBot="1" x14ac:dyDescent="0.4">
      <c r="A86" s="40">
        <v>1316</v>
      </c>
      <c r="B86" s="79" t="s">
        <v>136</v>
      </c>
      <c r="C86" s="46">
        <v>1046063</v>
      </c>
      <c r="D86" s="97">
        <v>0</v>
      </c>
      <c r="E86" s="10">
        <f>C86+D86</f>
        <v>1046063</v>
      </c>
      <c r="F86" s="23">
        <v>1486095</v>
      </c>
      <c r="G86" s="23">
        <v>21102</v>
      </c>
      <c r="H86" s="16">
        <f>F86+G86</f>
        <v>1507197</v>
      </c>
      <c r="I86" s="16">
        <f>E86-H86</f>
        <v>-461134</v>
      </c>
      <c r="J86" s="23">
        <v>147834</v>
      </c>
      <c r="K86" s="23">
        <v>0</v>
      </c>
      <c r="L86" s="46">
        <v>59572.5</v>
      </c>
      <c r="M86" s="46">
        <v>7059.17</v>
      </c>
      <c r="N86" s="46">
        <v>0</v>
      </c>
      <c r="O86" s="46">
        <v>0</v>
      </c>
      <c r="P86" s="78">
        <f>I86-M86-J86-K86-N86-L86</f>
        <v>-675599.67</v>
      </c>
      <c r="Q86" s="155"/>
      <c r="R86" s="155"/>
      <c r="S86" s="45">
        <f>IF(-$P86&lt;VLOOKUP(A86,Eligibility!$A$3:$F$423,6,0),-P86,VLOOKUP(A86,Eligibility!$A$3:$F$423,6,0))</f>
        <v>675599.67</v>
      </c>
      <c r="T86" s="155"/>
      <c r="U86" s="155"/>
      <c r="V86" s="39"/>
      <c r="W86" s="155"/>
      <c r="X86" s="143"/>
      <c r="Y86" s="143"/>
      <c r="Z86" s="10"/>
      <c r="AA86" s="155"/>
      <c r="AB86" s="155"/>
      <c r="AC86" s="143"/>
      <c r="AD86" s="16"/>
      <c r="AE86" s="16"/>
      <c r="AF86" s="143"/>
      <c r="AG86" s="143"/>
      <c r="AH86" s="143"/>
      <c r="AI86" s="143"/>
      <c r="AJ86" s="143"/>
      <c r="AK86" s="16"/>
      <c r="AL86" s="16"/>
      <c r="AM86" s="143"/>
      <c r="AN86" s="177">
        <f>SUM(P86:AM86)-O86</f>
        <v>0</v>
      </c>
    </row>
    <row r="87" spans="1:40" ht="15" thickBot="1" x14ac:dyDescent="0.4">
      <c r="A87" s="40">
        <v>1380</v>
      </c>
      <c r="B87" s="79" t="s">
        <v>137</v>
      </c>
      <c r="C87" s="46">
        <v>679919</v>
      </c>
      <c r="D87" s="97">
        <v>0</v>
      </c>
      <c r="E87" s="10">
        <f>C87+D87</f>
        <v>679919</v>
      </c>
      <c r="F87" s="23">
        <v>5848822</v>
      </c>
      <c r="G87" s="23">
        <v>12977</v>
      </c>
      <c r="H87" s="16">
        <f>F87+G87</f>
        <v>5861799</v>
      </c>
      <c r="I87" s="16">
        <f>E87-H87</f>
        <v>-5181880</v>
      </c>
      <c r="J87" s="23">
        <v>358838</v>
      </c>
      <c r="K87" s="23">
        <v>0</v>
      </c>
      <c r="L87" s="46">
        <v>0</v>
      </c>
      <c r="M87" s="46">
        <v>0</v>
      </c>
      <c r="N87" s="46">
        <v>0</v>
      </c>
      <c r="O87" s="46">
        <v>0</v>
      </c>
      <c r="P87" s="78">
        <f>I87-M87-J87-K87-N87-L87</f>
        <v>-5540718</v>
      </c>
      <c r="Q87" s="155"/>
      <c r="R87" s="155">
        <v>1517589</v>
      </c>
      <c r="S87" s="45">
        <f>IF(-$P87&lt;VLOOKUP(A87,Eligibility!$A$3:$F$423,6,0),-P87,VLOOKUP(A87,Eligibility!$A$3:$F$423,6,0))-12340-26278</f>
        <v>4023129</v>
      </c>
      <c r="T87" s="155"/>
      <c r="U87" s="155"/>
      <c r="V87" s="39"/>
      <c r="W87" s="155"/>
      <c r="X87" s="143"/>
      <c r="Y87" s="143"/>
      <c r="Z87" s="10"/>
      <c r="AA87" s="155"/>
      <c r="AB87" s="155"/>
      <c r="AC87" s="143"/>
      <c r="AD87" s="10"/>
      <c r="AE87" s="16"/>
      <c r="AF87" s="143"/>
      <c r="AG87" s="143"/>
      <c r="AH87" s="143"/>
      <c r="AI87" s="143"/>
      <c r="AJ87" s="143"/>
      <c r="AK87" s="16"/>
      <c r="AL87" s="16"/>
      <c r="AM87" s="143"/>
      <c r="AN87" s="177">
        <f>SUM(P87:AM87)-O87</f>
        <v>0</v>
      </c>
    </row>
    <row r="88" spans="1:40" ht="15" thickBot="1" x14ac:dyDescent="0.4">
      <c r="A88" s="40">
        <v>1407</v>
      </c>
      <c r="B88" s="79" t="s">
        <v>138</v>
      </c>
      <c r="C88" s="46">
        <v>1641357</v>
      </c>
      <c r="D88" s="97">
        <v>0</v>
      </c>
      <c r="E88" s="10">
        <f>C88+D88</f>
        <v>1641357</v>
      </c>
      <c r="F88" s="23">
        <v>642615</v>
      </c>
      <c r="G88" s="23">
        <v>0</v>
      </c>
      <c r="H88" s="16">
        <f>F88+G88</f>
        <v>642615</v>
      </c>
      <c r="I88" s="16">
        <f>E88-H88</f>
        <v>998742</v>
      </c>
      <c r="J88" s="23">
        <v>218893</v>
      </c>
      <c r="K88" s="23">
        <v>0</v>
      </c>
      <c r="L88" s="46">
        <v>0</v>
      </c>
      <c r="M88" s="46">
        <v>7059.17</v>
      </c>
      <c r="N88" s="46">
        <v>0</v>
      </c>
      <c r="O88" s="46">
        <v>0</v>
      </c>
      <c r="P88" s="78">
        <f>I88-M88-J88-K88-N88-L88</f>
        <v>772789.83</v>
      </c>
      <c r="Q88" s="155"/>
      <c r="R88" s="155"/>
      <c r="S88" s="45">
        <f>IF(J88+K88+L88+M88+N88&lt;VLOOKUP(A88,Eligibility!$A$3:$F$423,6,0),J88+K88+L88+M88+N88,VLOOKUP(A88,Eligibility!$A$3:$F$423,6,0))</f>
        <v>225952.17</v>
      </c>
      <c r="T88" s="155"/>
      <c r="U88" s="155"/>
      <c r="V88" s="39"/>
      <c r="W88" s="155"/>
      <c r="X88" s="143"/>
      <c r="Y88" s="143"/>
      <c r="Z88" s="10"/>
      <c r="AA88" s="155"/>
      <c r="AB88" s="155"/>
      <c r="AC88" s="143"/>
      <c r="AD88" s="16"/>
      <c r="AE88" s="16"/>
      <c r="AF88" s="143"/>
      <c r="AG88" s="143"/>
      <c r="AH88" s="143"/>
      <c r="AI88" s="143"/>
      <c r="AJ88" s="143"/>
      <c r="AK88" s="16"/>
      <c r="AL88" s="16"/>
      <c r="AM88" s="143"/>
      <c r="AN88" s="177">
        <f>SUM(P88:AM88)-O88</f>
        <v>998742</v>
      </c>
    </row>
    <row r="89" spans="1:40" ht="15" thickBot="1" x14ac:dyDescent="0.4">
      <c r="A89" s="40">
        <v>1414</v>
      </c>
      <c r="B89" s="79" t="s">
        <v>139</v>
      </c>
      <c r="C89" s="46">
        <v>4683933</v>
      </c>
      <c r="D89" s="97">
        <v>0</v>
      </c>
      <c r="E89" s="10">
        <f>C89+D89</f>
        <v>4683933</v>
      </c>
      <c r="F89" s="23">
        <v>1933031</v>
      </c>
      <c r="G89" s="23">
        <v>0</v>
      </c>
      <c r="H89" s="16">
        <f>F89+G89</f>
        <v>1933031</v>
      </c>
      <c r="I89" s="16">
        <f>E89-H89</f>
        <v>2750902</v>
      </c>
      <c r="J89" s="23">
        <v>435202</v>
      </c>
      <c r="K89" s="23">
        <v>38931</v>
      </c>
      <c r="L89" s="46">
        <v>0</v>
      </c>
      <c r="M89" s="46">
        <v>7059.17</v>
      </c>
      <c r="N89" s="46">
        <v>0</v>
      </c>
      <c r="O89" s="46">
        <v>0</v>
      </c>
      <c r="P89" s="78">
        <f>I89-M89-J89-K89-N89-L89</f>
        <v>2269709.83</v>
      </c>
      <c r="Q89" s="155"/>
      <c r="R89" s="155"/>
      <c r="S89" s="45">
        <f>IF(J89+K89+L89+M89+N89&lt;VLOOKUP(A89,Eligibility!$A$3:$F$423,6,0),J89+K89+L89+M89+N89,VLOOKUP(A89,Eligibility!$A$3:$F$423,6,0))</f>
        <v>481192.17</v>
      </c>
      <c r="T89" s="155"/>
      <c r="U89" s="155"/>
      <c r="V89" s="39"/>
      <c r="W89" s="155"/>
      <c r="X89" s="143"/>
      <c r="Y89" s="143"/>
      <c r="Z89" s="10"/>
      <c r="AA89" s="155"/>
      <c r="AB89" s="155"/>
      <c r="AC89" s="143"/>
      <c r="AD89" s="16"/>
      <c r="AE89" s="16"/>
      <c r="AF89" s="143"/>
      <c r="AG89" s="143"/>
      <c r="AH89" s="143"/>
      <c r="AI89" s="143"/>
      <c r="AJ89" s="143"/>
      <c r="AK89" s="16"/>
      <c r="AL89" s="16"/>
      <c r="AM89" s="143"/>
      <c r="AN89" s="177">
        <f>SUM(P89:AM89)-O89</f>
        <v>2750902</v>
      </c>
    </row>
    <row r="90" spans="1:40" ht="15" thickBot="1" x14ac:dyDescent="0.4">
      <c r="A90" s="40">
        <v>1421</v>
      </c>
      <c r="B90" s="79" t="s">
        <v>140</v>
      </c>
      <c r="C90" s="46">
        <v>272705</v>
      </c>
      <c r="D90" s="97">
        <v>0</v>
      </c>
      <c r="E90" s="10">
        <f>C90+D90</f>
        <v>272705</v>
      </c>
      <c r="F90" s="23">
        <v>487907</v>
      </c>
      <c r="G90" s="23">
        <v>0</v>
      </c>
      <c r="H90" s="16">
        <f>F90+G90</f>
        <v>487907</v>
      </c>
      <c r="I90" s="16">
        <f>E90-H90</f>
        <v>-215202</v>
      </c>
      <c r="J90" s="23">
        <v>67692</v>
      </c>
      <c r="K90" s="23">
        <v>0</v>
      </c>
      <c r="L90" s="46">
        <v>0</v>
      </c>
      <c r="M90" s="46">
        <v>0</v>
      </c>
      <c r="N90" s="46">
        <v>0</v>
      </c>
      <c r="O90" s="46">
        <v>0</v>
      </c>
      <c r="P90" s="78">
        <f>I90-M90-J90-K90-N90-L90</f>
        <v>-282894</v>
      </c>
      <c r="Q90" s="155"/>
      <c r="R90" s="155"/>
      <c r="S90" s="45">
        <f>IF(-$P90&lt;VLOOKUP(A90,Eligibility!$A$3:$F$423,6,0),-P90,VLOOKUP(A90,Eligibility!$A$3:$F$423,6,0))</f>
        <v>282894</v>
      </c>
      <c r="T90" s="155"/>
      <c r="U90" s="155"/>
      <c r="V90" s="39"/>
      <c r="W90" s="155"/>
      <c r="X90" s="143"/>
      <c r="Y90" s="143"/>
      <c r="Z90" s="10"/>
      <c r="AA90" s="155"/>
      <c r="AB90" s="155"/>
      <c r="AC90" s="143"/>
      <c r="AD90" s="16"/>
      <c r="AE90" s="16"/>
      <c r="AF90" s="143"/>
      <c r="AG90" s="143"/>
      <c r="AH90" s="143"/>
      <c r="AI90" s="143"/>
      <c r="AJ90" s="143"/>
      <c r="AK90" s="16"/>
      <c r="AL90" s="16"/>
      <c r="AM90" s="143"/>
      <c r="AN90" s="177">
        <f>SUM(P90:AM90)-O90</f>
        <v>0</v>
      </c>
    </row>
    <row r="91" spans="1:40" ht="15" thickBot="1" x14ac:dyDescent="0.4">
      <c r="A91" s="40">
        <v>2744</v>
      </c>
      <c r="B91" s="79" t="s">
        <v>141</v>
      </c>
      <c r="C91" s="46">
        <v>1172732</v>
      </c>
      <c r="D91" s="97">
        <v>0</v>
      </c>
      <c r="E91" s="10">
        <f>C91+D91</f>
        <v>1172732</v>
      </c>
      <c r="F91" s="23">
        <v>699761</v>
      </c>
      <c r="G91" s="23">
        <v>0</v>
      </c>
      <c r="H91" s="16">
        <f>F91+G91</f>
        <v>699761</v>
      </c>
      <c r="I91" s="16">
        <f>E91-H91</f>
        <v>472971</v>
      </c>
      <c r="J91" s="23">
        <v>141198</v>
      </c>
      <c r="K91" s="23">
        <v>0</v>
      </c>
      <c r="L91" s="46">
        <v>0</v>
      </c>
      <c r="M91" s="46">
        <v>14118.34</v>
      </c>
      <c r="N91" s="46">
        <v>0</v>
      </c>
      <c r="O91" s="46">
        <v>0</v>
      </c>
      <c r="P91" s="78">
        <f>I91-M91-J91-K91-N91-L91</f>
        <v>317654.65999999997</v>
      </c>
      <c r="Q91" s="155"/>
      <c r="R91" s="155"/>
      <c r="S91" s="45">
        <f>IF(J91+K91+L91+M91+N91&lt;VLOOKUP(A91,Eligibility!$A$3:$F$423,6,0),J91+K91+L91+M91+N91,VLOOKUP(A91,Eligibility!$A$3:$F$423,6,0))</f>
        <v>155316.34</v>
      </c>
      <c r="T91" s="155"/>
      <c r="U91" s="155"/>
      <c r="V91" s="39"/>
      <c r="W91" s="155"/>
      <c r="X91" s="143"/>
      <c r="Y91" s="143"/>
      <c r="Z91" s="10"/>
      <c r="AA91" s="155"/>
      <c r="AB91" s="155"/>
      <c r="AC91" s="143"/>
      <c r="AD91" s="16"/>
      <c r="AE91" s="16"/>
      <c r="AF91" s="143"/>
      <c r="AG91" s="143"/>
      <c r="AH91" s="143"/>
      <c r="AI91" s="143"/>
      <c r="AJ91" s="143"/>
      <c r="AK91" s="16"/>
      <c r="AL91" s="16"/>
      <c r="AM91" s="143"/>
      <c r="AN91" s="177">
        <f>SUM(P91:AM91)-O91</f>
        <v>472971</v>
      </c>
    </row>
    <row r="92" spans="1:40" ht="15" thickBot="1" x14ac:dyDescent="0.4">
      <c r="A92" s="40">
        <v>1428</v>
      </c>
      <c r="B92" s="79" t="s">
        <v>142</v>
      </c>
      <c r="C92" s="46">
        <v>268803</v>
      </c>
      <c r="D92" s="97">
        <v>0</v>
      </c>
      <c r="E92" s="10">
        <f>C92+D92</f>
        <v>268803</v>
      </c>
      <c r="F92" s="23">
        <v>1049762</v>
      </c>
      <c r="G92" s="23">
        <v>0</v>
      </c>
      <c r="H92" s="16">
        <f>F92+G92</f>
        <v>1049762</v>
      </c>
      <c r="I92" s="16">
        <f>E92-H92</f>
        <v>-780959</v>
      </c>
      <c r="J92" s="23">
        <v>54780</v>
      </c>
      <c r="K92" s="23">
        <v>12977</v>
      </c>
      <c r="L92" s="46">
        <v>18330</v>
      </c>
      <c r="M92" s="46">
        <v>0</v>
      </c>
      <c r="N92" s="46">
        <v>0</v>
      </c>
      <c r="O92" s="46">
        <v>0</v>
      </c>
      <c r="P92" s="78">
        <f>I92-M92-J92-K92-N92-L92</f>
        <v>-867046</v>
      </c>
      <c r="Q92" s="155"/>
      <c r="R92" s="155"/>
      <c r="S92" s="45">
        <f>IF(-$P92&lt;VLOOKUP(A92,Eligibility!$A$3:$F$423,6,0),-P92,VLOOKUP(A92,Eligibility!$A$3:$F$423,6,0))</f>
        <v>867046</v>
      </c>
      <c r="T92" s="155"/>
      <c r="U92" s="155"/>
      <c r="V92" s="39"/>
      <c r="W92" s="155"/>
      <c r="X92" s="143"/>
      <c r="Y92" s="143"/>
      <c r="Z92" s="10"/>
      <c r="AA92" s="155"/>
      <c r="AB92" s="155"/>
      <c r="AC92" s="143"/>
      <c r="AD92" s="16"/>
      <c r="AE92" s="16"/>
      <c r="AF92" s="143"/>
      <c r="AG92" s="143"/>
      <c r="AH92" s="143"/>
      <c r="AI92" s="143"/>
      <c r="AJ92" s="143"/>
      <c r="AK92" s="16"/>
      <c r="AL92" s="16"/>
      <c r="AM92" s="143"/>
      <c r="AN92" s="177">
        <f>SUM(P92:AM92)-O92</f>
        <v>0</v>
      </c>
    </row>
    <row r="93" spans="1:40" ht="15" thickBot="1" x14ac:dyDescent="0.4">
      <c r="A93" s="40">
        <v>1449</v>
      </c>
      <c r="B93" s="79" t="s">
        <v>143</v>
      </c>
      <c r="C93" s="46">
        <v>445029</v>
      </c>
      <c r="D93" s="97">
        <v>0</v>
      </c>
      <c r="E93" s="10">
        <f>C93+D93</f>
        <v>445029</v>
      </c>
      <c r="F93" s="23">
        <v>346923</v>
      </c>
      <c r="G93" s="23">
        <v>0</v>
      </c>
      <c r="H93" s="16">
        <f>F93+G93</f>
        <v>346923</v>
      </c>
      <c r="I93" s="16">
        <f>E93-H93</f>
        <v>98106</v>
      </c>
      <c r="J93" s="23">
        <v>0</v>
      </c>
      <c r="K93" s="23">
        <v>0</v>
      </c>
      <c r="L93" s="46">
        <v>0</v>
      </c>
      <c r="M93" s="46">
        <v>0</v>
      </c>
      <c r="N93" s="46">
        <v>0</v>
      </c>
      <c r="O93" s="46">
        <v>0</v>
      </c>
      <c r="P93" s="78">
        <f>I93-M93-J93-K93-N93-L93</f>
        <v>98106</v>
      </c>
      <c r="Q93" s="155"/>
      <c r="R93" s="155"/>
      <c r="S93" s="45">
        <f>IF(J93+K93+L93+M93+N93&lt;VLOOKUP(A93,Eligibility!$A$3:$F$423,6,0),J93+K93+L93+M93+N93,VLOOKUP(A93,Eligibility!$A$3:$F$423,6,0))</f>
        <v>0</v>
      </c>
      <c r="T93" s="155"/>
      <c r="U93" s="155"/>
      <c r="V93" s="39"/>
      <c r="W93" s="155"/>
      <c r="X93" s="143"/>
      <c r="Y93" s="143"/>
      <c r="Z93" s="10"/>
      <c r="AA93" s="155"/>
      <c r="AB93" s="155"/>
      <c r="AC93" s="143"/>
      <c r="AD93" s="16"/>
      <c r="AE93" s="16"/>
      <c r="AF93" s="143"/>
      <c r="AG93" s="143"/>
      <c r="AH93" s="143"/>
      <c r="AI93" s="143"/>
      <c r="AJ93" s="143"/>
      <c r="AK93" s="16"/>
      <c r="AL93" s="16"/>
      <c r="AM93" s="143"/>
      <c r="AN93" s="177">
        <f>SUM(P93:AM93)-O93</f>
        <v>98106</v>
      </c>
    </row>
    <row r="94" spans="1:40" ht="15" thickBot="1" x14ac:dyDescent="0.4">
      <c r="A94" s="40">
        <v>1491</v>
      </c>
      <c r="B94" s="79" t="s">
        <v>6</v>
      </c>
      <c r="C94" s="46">
        <v>135733</v>
      </c>
      <c r="D94" s="97">
        <v>0</v>
      </c>
      <c r="E94" s="10">
        <f>C94+D94</f>
        <v>135733</v>
      </c>
      <c r="F94" s="23">
        <v>557024</v>
      </c>
      <c r="G94" s="23">
        <v>0</v>
      </c>
      <c r="H94" s="16">
        <f>F94+G94</f>
        <v>557024</v>
      </c>
      <c r="I94" s="16">
        <f>E94-H94</f>
        <v>-421291</v>
      </c>
      <c r="J94" s="23">
        <v>8300</v>
      </c>
      <c r="K94" s="23">
        <v>0</v>
      </c>
      <c r="L94" s="46">
        <v>0</v>
      </c>
      <c r="M94" s="46">
        <v>0</v>
      </c>
      <c r="N94" s="46">
        <v>0</v>
      </c>
      <c r="O94" s="46">
        <v>0</v>
      </c>
      <c r="P94" s="78">
        <f>I94-M94-J94-K94-N94-L94</f>
        <v>-429591</v>
      </c>
      <c r="Q94" s="155"/>
      <c r="R94" s="155"/>
      <c r="S94" s="45">
        <f>IF(-$P94&lt;VLOOKUP(A94,Eligibility!$A$3:$F$423,6,0),-P94,VLOOKUP(A94,Eligibility!$A$3:$F$423,6,0))</f>
        <v>0</v>
      </c>
      <c r="T94" s="155">
        <v>5079</v>
      </c>
      <c r="U94" s="155">
        <v>3175</v>
      </c>
      <c r="V94" s="38">
        <v>4444</v>
      </c>
      <c r="W94" s="155">
        <v>25588</v>
      </c>
      <c r="X94" s="143">
        <v>32747</v>
      </c>
      <c r="Y94" s="143">
        <v>31905</v>
      </c>
      <c r="Z94" s="10">
        <v>32327.06</v>
      </c>
      <c r="AA94" s="155">
        <f>284928-19837.71-22208+21237.65-3476</f>
        <v>260643.94</v>
      </c>
      <c r="AB94" s="155"/>
      <c r="AC94" s="143"/>
      <c r="AD94" s="16">
        <v>6123</v>
      </c>
      <c r="AE94" s="10">
        <f>530.45+4.55</f>
        <v>535</v>
      </c>
      <c r="AF94" s="143">
        <v>27024</v>
      </c>
      <c r="AG94" s="143"/>
      <c r="AH94" s="143"/>
      <c r="AI94" s="143"/>
      <c r="AJ94" s="143"/>
      <c r="AK94" s="16"/>
      <c r="AL94" s="16"/>
      <c r="AM94" s="143"/>
      <c r="AN94" s="177">
        <f>SUM(P94:AM94)-O94</f>
        <v>0</v>
      </c>
    </row>
    <row r="95" spans="1:40" ht="15" thickBot="1" x14ac:dyDescent="0.4">
      <c r="A95" s="40">
        <v>1499</v>
      </c>
      <c r="B95" s="79" t="s">
        <v>144</v>
      </c>
      <c r="C95" s="46">
        <v>304100</v>
      </c>
      <c r="D95" s="97">
        <v>0</v>
      </c>
      <c r="E95" s="10">
        <f>C95+D95</f>
        <v>304100</v>
      </c>
      <c r="F95" s="23">
        <v>800294</v>
      </c>
      <c r="G95" s="23">
        <v>0</v>
      </c>
      <c r="H95" s="16">
        <f>F95+G95</f>
        <v>800294</v>
      </c>
      <c r="I95" s="16">
        <f>E95-H95</f>
        <v>-496194</v>
      </c>
      <c r="J95" s="23">
        <v>9960</v>
      </c>
      <c r="K95" s="23">
        <v>0</v>
      </c>
      <c r="L95" s="46">
        <v>0</v>
      </c>
      <c r="M95" s="46">
        <v>0</v>
      </c>
      <c r="N95" s="46">
        <v>10369</v>
      </c>
      <c r="O95" s="46">
        <v>0</v>
      </c>
      <c r="P95" s="78">
        <f>I95-M95-J95-K95-N95-L95</f>
        <v>-516523</v>
      </c>
      <c r="Q95" s="155"/>
      <c r="R95" s="155"/>
      <c r="S95" s="45">
        <f>IF(-$P95&lt;VLOOKUP(A95,Eligibility!$A$3:$F$423,6,0),-P95,VLOOKUP(A95,Eligibility!$A$3:$F$423,6,0))</f>
        <v>516523</v>
      </c>
      <c r="T95" s="155"/>
      <c r="U95" s="155"/>
      <c r="V95" s="39"/>
      <c r="W95" s="155"/>
      <c r="X95" s="143"/>
      <c r="Y95" s="143"/>
      <c r="Z95" s="10"/>
      <c r="AA95" s="155"/>
      <c r="AB95" s="155"/>
      <c r="AC95" s="143"/>
      <c r="AD95" s="16"/>
      <c r="AE95" s="16"/>
      <c r="AF95" s="143"/>
      <c r="AG95" s="143"/>
      <c r="AH95" s="143"/>
      <c r="AI95" s="143"/>
      <c r="AJ95" s="143"/>
      <c r="AK95" s="16"/>
      <c r="AL95" s="16"/>
      <c r="AM95" s="143"/>
      <c r="AN95" s="177">
        <f>SUM(P95:AM95)-O95</f>
        <v>0</v>
      </c>
    </row>
    <row r="96" spans="1:40" ht="15" thickBot="1" x14ac:dyDescent="0.4">
      <c r="A96" s="40">
        <v>1540</v>
      </c>
      <c r="B96" s="79" t="s">
        <v>145</v>
      </c>
      <c r="C96" s="46">
        <v>1002215</v>
      </c>
      <c r="D96" s="97">
        <v>0</v>
      </c>
      <c r="E96" s="10">
        <f>C96+D96</f>
        <v>1002215</v>
      </c>
      <c r="F96" s="23">
        <v>2205220</v>
      </c>
      <c r="G96" s="23">
        <v>12977</v>
      </c>
      <c r="H96" s="16">
        <f>F96+G96</f>
        <v>2218197</v>
      </c>
      <c r="I96" s="16">
        <f>E96-H96</f>
        <v>-1215982</v>
      </c>
      <c r="J96" s="23">
        <v>299172</v>
      </c>
      <c r="K96" s="23">
        <v>25954</v>
      </c>
      <c r="L96" s="46">
        <v>0</v>
      </c>
      <c r="M96" s="46">
        <v>0</v>
      </c>
      <c r="N96" s="46">
        <v>0</v>
      </c>
      <c r="O96" s="46">
        <v>0</v>
      </c>
      <c r="P96" s="78">
        <f>I96-M96-J96-K96-N96-L96</f>
        <v>-1541108</v>
      </c>
      <c r="Q96" s="155"/>
      <c r="R96" s="155"/>
      <c r="S96" s="45">
        <f>IF(-$P96&lt;VLOOKUP(A96,Eligibility!$A$3:$F$423,6,0),-P96,VLOOKUP(A96,Eligibility!$A$3:$F$423,6,0))</f>
        <v>1541108</v>
      </c>
      <c r="T96" s="155"/>
      <c r="U96" s="155"/>
      <c r="V96" s="39"/>
      <c r="W96" s="155"/>
      <c r="X96" s="143"/>
      <c r="Y96" s="143"/>
      <c r="Z96" s="10"/>
      <c r="AA96" s="155"/>
      <c r="AB96" s="155"/>
      <c r="AC96" s="143"/>
      <c r="AD96" s="16"/>
      <c r="AE96" s="16"/>
      <c r="AF96" s="143"/>
      <c r="AG96" s="143"/>
      <c r="AH96" s="143"/>
      <c r="AI96" s="143"/>
      <c r="AJ96" s="143"/>
      <c r="AK96" s="16"/>
      <c r="AL96" s="16"/>
      <c r="AM96" s="143"/>
      <c r="AN96" s="177">
        <f>SUM(P96:AM96)-O96</f>
        <v>0</v>
      </c>
    </row>
    <row r="97" spans="1:40" ht="15" thickBot="1" x14ac:dyDescent="0.4">
      <c r="A97" s="40">
        <v>1554</v>
      </c>
      <c r="B97" s="79" t="s">
        <v>146</v>
      </c>
      <c r="C97" s="46">
        <v>2324755</v>
      </c>
      <c r="D97" s="97">
        <v>0</v>
      </c>
      <c r="E97" s="10">
        <f>C97+D97</f>
        <v>2324755</v>
      </c>
      <c r="F97" s="23">
        <v>6191774</v>
      </c>
      <c r="G97" s="23">
        <v>34079</v>
      </c>
      <c r="H97" s="16">
        <f>F97+G97</f>
        <v>6225853</v>
      </c>
      <c r="I97" s="16">
        <f>E97-H97</f>
        <v>-3901098</v>
      </c>
      <c r="J97" s="23">
        <v>1031608</v>
      </c>
      <c r="K97" s="23">
        <v>0</v>
      </c>
      <c r="L97" s="46">
        <v>0</v>
      </c>
      <c r="M97" s="46">
        <v>14118.34</v>
      </c>
      <c r="N97" s="46">
        <v>1</v>
      </c>
      <c r="O97" s="46">
        <v>0</v>
      </c>
      <c r="P97" s="78">
        <f>I97-M97-J97-K97-N97-L97</f>
        <v>-4946825.34</v>
      </c>
      <c r="Q97" s="155"/>
      <c r="R97" s="155"/>
      <c r="S97" s="45">
        <f>IF(-$P97&lt;VLOOKUP(A97,Eligibility!$A$3:$F$423,6,0),-P97,VLOOKUP(A97,Eligibility!$A$3:$F$423,6,0))</f>
        <v>4946825.34</v>
      </c>
      <c r="T97" s="155"/>
      <c r="U97" s="155"/>
      <c r="V97" s="39"/>
      <c r="W97" s="155"/>
      <c r="X97" s="143"/>
      <c r="Y97" s="143"/>
      <c r="Z97" s="10"/>
      <c r="AA97" s="155"/>
      <c r="AB97" s="155"/>
      <c r="AC97" s="143"/>
      <c r="AD97" s="16"/>
      <c r="AE97" s="16"/>
      <c r="AF97" s="143"/>
      <c r="AG97" s="143"/>
      <c r="AH97" s="143"/>
      <c r="AI97" s="143"/>
      <c r="AJ97" s="143"/>
      <c r="AK97" s="16"/>
      <c r="AL97" s="16"/>
      <c r="AM97" s="143"/>
      <c r="AN97" s="177">
        <f>SUM(P97:AM97)-O97</f>
        <v>0</v>
      </c>
    </row>
    <row r="98" spans="1:40" ht="15" thickBot="1" x14ac:dyDescent="0.4">
      <c r="A98" s="40">
        <v>1561</v>
      </c>
      <c r="B98" s="79" t="s">
        <v>147</v>
      </c>
      <c r="C98" s="46">
        <v>602817</v>
      </c>
      <c r="D98" s="97">
        <v>0</v>
      </c>
      <c r="E98" s="10">
        <f>C98+D98</f>
        <v>602817</v>
      </c>
      <c r="F98" s="23">
        <v>405323</v>
      </c>
      <c r="G98" s="23">
        <v>0</v>
      </c>
      <c r="H98" s="16">
        <f>F98+G98</f>
        <v>405323</v>
      </c>
      <c r="I98" s="16">
        <f>E98-H98</f>
        <v>197494</v>
      </c>
      <c r="J98" s="23">
        <v>141746</v>
      </c>
      <c r="K98" s="23">
        <v>0</v>
      </c>
      <c r="L98" s="46">
        <v>0</v>
      </c>
      <c r="M98" s="46">
        <v>0</v>
      </c>
      <c r="N98" s="46">
        <v>0</v>
      </c>
      <c r="O98" s="46">
        <v>0</v>
      </c>
      <c r="P98" s="78">
        <f>I98-M98-J98-K98-N98-L98</f>
        <v>55748</v>
      </c>
      <c r="Q98" s="155"/>
      <c r="R98" s="155"/>
      <c r="S98" s="45">
        <f>IF(J98+K98+L98+M98+N98&lt;VLOOKUP(A98,Eligibility!$A$3:$F$423,6,0),J98+K98+L98+M98+N98,VLOOKUP(A98,Eligibility!$A$3:$F$423,6,0))</f>
        <v>141746</v>
      </c>
      <c r="T98" s="155"/>
      <c r="U98" s="155"/>
      <c r="V98" s="39"/>
      <c r="W98" s="155"/>
      <c r="X98" s="143"/>
      <c r="Y98" s="143"/>
      <c r="Z98" s="10"/>
      <c r="AA98" s="155"/>
      <c r="AB98" s="155"/>
      <c r="AC98" s="143"/>
      <c r="AD98" s="16"/>
      <c r="AE98" s="16"/>
      <c r="AF98" s="143"/>
      <c r="AG98" s="143"/>
      <c r="AH98" s="143"/>
      <c r="AI98" s="143"/>
      <c r="AJ98" s="143"/>
      <c r="AK98" s="16"/>
      <c r="AL98" s="16"/>
      <c r="AM98" s="143"/>
      <c r="AN98" s="177">
        <f>SUM(P98:AM98)-O98</f>
        <v>197494</v>
      </c>
    </row>
    <row r="99" spans="1:40" ht="15" thickBot="1" x14ac:dyDescent="0.4">
      <c r="A99" s="40">
        <v>1568</v>
      </c>
      <c r="B99" s="79" t="s">
        <v>148</v>
      </c>
      <c r="C99" s="46">
        <v>689648</v>
      </c>
      <c r="D99" s="97">
        <v>0</v>
      </c>
      <c r="E99" s="10">
        <f>C99+D99</f>
        <v>689648</v>
      </c>
      <c r="F99" s="23">
        <v>1418216</v>
      </c>
      <c r="G99" s="23">
        <v>0</v>
      </c>
      <c r="H99" s="16">
        <f>F99+G99</f>
        <v>1418216</v>
      </c>
      <c r="I99" s="16">
        <f>E99-H99</f>
        <v>-728568</v>
      </c>
      <c r="J99" s="23">
        <v>58100</v>
      </c>
      <c r="K99" s="23">
        <v>0</v>
      </c>
      <c r="L99" s="46">
        <v>0</v>
      </c>
      <c r="M99" s="46">
        <v>0</v>
      </c>
      <c r="N99" s="46">
        <v>10688</v>
      </c>
      <c r="O99" s="46">
        <v>0</v>
      </c>
      <c r="P99" s="78">
        <f>I99-M99-J99-K99-N99-L99</f>
        <v>-797356</v>
      </c>
      <c r="Q99" s="155"/>
      <c r="R99" s="155"/>
      <c r="S99" s="45">
        <f>IF(-$P99&lt;VLOOKUP(A99,Eligibility!$A$3:$F$423,6,0),-P99,VLOOKUP(A99,Eligibility!$A$3:$F$423,6,0))</f>
        <v>797356</v>
      </c>
      <c r="T99" s="155"/>
      <c r="U99" s="155"/>
      <c r="V99" s="39"/>
      <c r="W99" s="155"/>
      <c r="X99" s="143"/>
      <c r="Y99" s="143"/>
      <c r="Z99" s="10"/>
      <c r="AA99" s="155"/>
      <c r="AB99" s="155"/>
      <c r="AC99" s="143"/>
      <c r="AD99" s="16"/>
      <c r="AE99" s="16"/>
      <c r="AF99" s="143"/>
      <c r="AG99" s="143"/>
      <c r="AH99" s="143"/>
      <c r="AI99" s="143"/>
      <c r="AJ99" s="143"/>
      <c r="AK99" s="16"/>
      <c r="AL99" s="16"/>
      <c r="AM99" s="143"/>
      <c r="AN99" s="177">
        <f>SUM(P99:AM99)-O99</f>
        <v>0</v>
      </c>
    </row>
    <row r="100" spans="1:40" ht="15" thickBot="1" x14ac:dyDescent="0.4">
      <c r="A100" s="40">
        <v>1582</v>
      </c>
      <c r="B100" s="79" t="s">
        <v>149</v>
      </c>
      <c r="C100" s="46">
        <v>272214</v>
      </c>
      <c r="D100" s="97">
        <v>0</v>
      </c>
      <c r="E100" s="10">
        <f>C100+D100</f>
        <v>272214</v>
      </c>
      <c r="F100" s="23">
        <v>375514</v>
      </c>
      <c r="G100" s="23">
        <v>0</v>
      </c>
      <c r="H100" s="16">
        <f>F100+G100</f>
        <v>375514</v>
      </c>
      <c r="I100" s="16">
        <f>E100-H100</f>
        <v>-103300</v>
      </c>
      <c r="J100" s="23">
        <v>8300</v>
      </c>
      <c r="K100" s="23">
        <v>0</v>
      </c>
      <c r="L100" s="46">
        <v>0</v>
      </c>
      <c r="M100" s="46">
        <v>0</v>
      </c>
      <c r="N100" s="46">
        <v>0</v>
      </c>
      <c r="O100" s="46">
        <v>0</v>
      </c>
      <c r="P100" s="78">
        <f>I100-M100-J100-K100-N100-L100</f>
        <v>-111600</v>
      </c>
      <c r="Q100" s="155"/>
      <c r="R100" s="155"/>
      <c r="S100" s="45">
        <f>IF(-$P100&lt;VLOOKUP(A100,Eligibility!$A$3:$F$423,6,0),-P100,VLOOKUP(A100,Eligibility!$A$3:$F$423,6,0))</f>
        <v>0</v>
      </c>
      <c r="T100" s="155">
        <v>4679</v>
      </c>
      <c r="U100" s="155">
        <v>2925</v>
      </c>
      <c r="V100" s="38">
        <v>4094</v>
      </c>
      <c r="W100" s="155">
        <v>20232</v>
      </c>
      <c r="X100" s="143"/>
      <c r="Y100" s="143">
        <v>32768</v>
      </c>
      <c r="Z100" s="10">
        <v>33200.11</v>
      </c>
      <c r="AA100" s="155">
        <v>10795.89</v>
      </c>
      <c r="AB100" s="155"/>
      <c r="AC100" s="143"/>
      <c r="AD100" s="16">
        <v>1953</v>
      </c>
      <c r="AE100" s="10">
        <f>951.28+1.72</f>
        <v>953</v>
      </c>
      <c r="AF100" s="143"/>
      <c r="AG100" s="143"/>
      <c r="AH100" s="143"/>
      <c r="AI100" s="143"/>
      <c r="AJ100" s="143"/>
      <c r="AK100" s="16"/>
      <c r="AL100" s="16"/>
      <c r="AM100" s="143"/>
      <c r="AN100" s="177">
        <f>SUM(P100:AM100)-O100</f>
        <v>0</v>
      </c>
    </row>
    <row r="101" spans="1:40" ht="15" thickBot="1" x14ac:dyDescent="0.4">
      <c r="A101" s="40">
        <v>1600</v>
      </c>
      <c r="B101" s="79" t="s">
        <v>150</v>
      </c>
      <c r="C101" s="46">
        <v>602273</v>
      </c>
      <c r="D101" s="97">
        <v>0</v>
      </c>
      <c r="E101" s="10">
        <f>C101+D101</f>
        <v>602273</v>
      </c>
      <c r="F101" s="23">
        <v>410071</v>
      </c>
      <c r="G101" s="23">
        <v>0</v>
      </c>
      <c r="H101" s="16">
        <f>F101+G101</f>
        <v>410071</v>
      </c>
      <c r="I101" s="16">
        <f>E101-H101</f>
        <v>192202</v>
      </c>
      <c r="J101" s="23">
        <v>0</v>
      </c>
      <c r="K101" s="23">
        <v>0</v>
      </c>
      <c r="L101" s="46">
        <v>0</v>
      </c>
      <c r="M101" s="46">
        <v>0</v>
      </c>
      <c r="N101" s="46">
        <v>0</v>
      </c>
      <c r="O101" s="46">
        <v>0</v>
      </c>
      <c r="P101" s="78">
        <f>I101-M101-J101-K101-N101-L101</f>
        <v>192202</v>
      </c>
      <c r="Q101" s="155"/>
      <c r="R101" s="155"/>
      <c r="S101" s="45">
        <f>IF(J101+K101+L101+M101+N101&lt;VLOOKUP(A101,Eligibility!$A$3:$F$423,6,0),J101+K101+L101+M101+N101,VLOOKUP(A101,Eligibility!$A$3:$F$423,6,0))</f>
        <v>0</v>
      </c>
      <c r="T101" s="155"/>
      <c r="U101" s="155"/>
      <c r="V101" s="39"/>
      <c r="W101" s="155"/>
      <c r="X101" s="143"/>
      <c r="Y101" s="143"/>
      <c r="Z101" s="10"/>
      <c r="AA101" s="155"/>
      <c r="AB101" s="155"/>
      <c r="AC101" s="143"/>
      <c r="AD101" s="16"/>
      <c r="AE101" s="16"/>
      <c r="AF101" s="143"/>
      <c r="AG101" s="143"/>
      <c r="AH101" s="143"/>
      <c r="AI101" s="143"/>
      <c r="AJ101" s="143"/>
      <c r="AK101" s="16"/>
      <c r="AL101" s="16"/>
      <c r="AM101" s="143"/>
      <c r="AN101" s="177">
        <f>SUM(P101:AM101)-O101</f>
        <v>192202</v>
      </c>
    </row>
    <row r="102" spans="1:40" ht="15" thickBot="1" x14ac:dyDescent="0.4">
      <c r="A102" s="40">
        <v>1645</v>
      </c>
      <c r="B102" s="79" t="s">
        <v>151</v>
      </c>
      <c r="C102" s="46">
        <v>1484228</v>
      </c>
      <c r="D102" s="97">
        <v>0</v>
      </c>
      <c r="E102" s="10">
        <f>C102+D102</f>
        <v>1484228</v>
      </c>
      <c r="F102" s="23">
        <v>497633</v>
      </c>
      <c r="G102" s="23">
        <v>0</v>
      </c>
      <c r="H102" s="16">
        <f>F102+G102</f>
        <v>497633</v>
      </c>
      <c r="I102" s="16">
        <f>E102-H102</f>
        <v>986595</v>
      </c>
      <c r="J102" s="23">
        <v>0</v>
      </c>
      <c r="K102" s="23">
        <v>0</v>
      </c>
      <c r="L102" s="46">
        <v>0</v>
      </c>
      <c r="M102" s="46">
        <v>0</v>
      </c>
      <c r="N102" s="46">
        <v>0</v>
      </c>
      <c r="O102" s="46">
        <v>0</v>
      </c>
      <c r="P102" s="78">
        <f>I102-M102-J102-K102-N102-L102</f>
        <v>986595</v>
      </c>
      <c r="Q102" s="155"/>
      <c r="R102" s="155"/>
      <c r="S102" s="45">
        <f>IF(J102+K102+L102+M102+N102&lt;VLOOKUP(A102,Eligibility!$A$3:$F$423,6,0),J102+K102+L102+M102+N102,VLOOKUP(A102,Eligibility!$A$3:$F$423,6,0))</f>
        <v>0</v>
      </c>
      <c r="T102" s="155"/>
      <c r="U102" s="155"/>
      <c r="V102" s="39"/>
      <c r="W102" s="155"/>
      <c r="X102" s="143"/>
      <c r="Y102" s="143"/>
      <c r="Z102" s="10"/>
      <c r="AA102" s="155"/>
      <c r="AB102" s="155"/>
      <c r="AC102" s="143"/>
      <c r="AD102" s="16"/>
      <c r="AE102" s="16"/>
      <c r="AF102" s="143"/>
      <c r="AG102" s="143"/>
      <c r="AH102" s="143"/>
      <c r="AI102" s="143"/>
      <c r="AJ102" s="143"/>
      <c r="AK102" s="16"/>
      <c r="AL102" s="16"/>
      <c r="AM102" s="143"/>
      <c r="AN102" s="177">
        <f>SUM(P102:AM102)-O102</f>
        <v>986595</v>
      </c>
    </row>
    <row r="103" spans="1:40" ht="15" thickBot="1" x14ac:dyDescent="0.4">
      <c r="A103" s="40">
        <v>1631</v>
      </c>
      <c r="B103" s="79" t="s">
        <v>32</v>
      </c>
      <c r="C103" s="46">
        <v>931948</v>
      </c>
      <c r="D103" s="97">
        <v>0</v>
      </c>
      <c r="E103" s="10">
        <f>C103+D103</f>
        <v>931948</v>
      </c>
      <c r="F103" s="23">
        <v>689164</v>
      </c>
      <c r="G103" s="23">
        <v>0</v>
      </c>
      <c r="H103" s="16">
        <f>F103+G103</f>
        <v>689164</v>
      </c>
      <c r="I103" s="16">
        <f>E103-H103</f>
        <v>242784</v>
      </c>
      <c r="J103" s="23">
        <v>17892</v>
      </c>
      <c r="K103" s="23">
        <v>0</v>
      </c>
      <c r="L103" s="46">
        <v>0</v>
      </c>
      <c r="M103" s="46">
        <v>0</v>
      </c>
      <c r="N103" s="46">
        <v>0</v>
      </c>
      <c r="O103" s="46">
        <v>0</v>
      </c>
      <c r="P103" s="78">
        <f>I103-M103-J103-K103-N103-L103</f>
        <v>224892</v>
      </c>
      <c r="Q103" s="155"/>
      <c r="R103" s="155"/>
      <c r="S103" s="45">
        <f>IF(J103+K103+L103+M103+N103&lt;VLOOKUP(A103,Eligibility!$A$3:$F$423,6,0),J103+K103+L103+M103+N103,VLOOKUP(A103,Eligibility!$A$3:$F$423,6,0))</f>
        <v>17892</v>
      </c>
      <c r="T103" s="155"/>
      <c r="U103" s="155"/>
      <c r="V103" s="39"/>
      <c r="W103" s="155"/>
      <c r="X103" s="143"/>
      <c r="Y103" s="143"/>
      <c r="Z103" s="10"/>
      <c r="AA103" s="155"/>
      <c r="AB103" s="155"/>
      <c r="AC103" s="143"/>
      <c r="AD103" s="16"/>
      <c r="AE103" s="16"/>
      <c r="AF103" s="143"/>
      <c r="AG103" s="143"/>
      <c r="AH103" s="143"/>
      <c r="AI103" s="143"/>
      <c r="AJ103" s="143"/>
      <c r="AK103" s="16"/>
      <c r="AL103" s="16"/>
      <c r="AM103" s="143"/>
      <c r="AN103" s="177">
        <f>SUM(P103:AM103)-O103</f>
        <v>242784</v>
      </c>
    </row>
    <row r="104" spans="1:40" ht="15" thickBot="1" x14ac:dyDescent="0.4">
      <c r="A104" s="40">
        <v>1638</v>
      </c>
      <c r="B104" s="79" t="s">
        <v>152</v>
      </c>
      <c r="C104" s="46">
        <v>5767394</v>
      </c>
      <c r="D104" s="97">
        <v>0</v>
      </c>
      <c r="E104" s="10">
        <f>C104+D104</f>
        <v>5767394</v>
      </c>
      <c r="F104" s="23">
        <v>1397692</v>
      </c>
      <c r="G104" s="23">
        <v>0</v>
      </c>
      <c r="H104" s="16">
        <f>F104+G104</f>
        <v>1397692</v>
      </c>
      <c r="I104" s="16">
        <f>E104-H104</f>
        <v>4369702</v>
      </c>
      <c r="J104" s="23">
        <v>55888</v>
      </c>
      <c r="K104" s="23">
        <v>0</v>
      </c>
      <c r="L104" s="46">
        <v>0</v>
      </c>
      <c r="M104" s="46">
        <v>7059.17</v>
      </c>
      <c r="N104" s="46">
        <v>1</v>
      </c>
      <c r="O104" s="46">
        <v>0</v>
      </c>
      <c r="P104" s="78">
        <f>I104-M104-J104-K104-N104-L104</f>
        <v>4306753.83</v>
      </c>
      <c r="Q104" s="155"/>
      <c r="R104" s="155"/>
      <c r="S104" s="45">
        <f>IF(J104+K104+L104+M104+N104&lt;VLOOKUP(A104,Eligibility!$A$3:$F$423,6,0),J104+K104+L104+M104+N104,VLOOKUP(A104,Eligibility!$A$3:$F$423,6,0))</f>
        <v>62948.17</v>
      </c>
      <c r="T104" s="155"/>
      <c r="U104" s="155"/>
      <c r="V104" s="39"/>
      <c r="W104" s="155"/>
      <c r="X104" s="143"/>
      <c r="Y104" s="143"/>
      <c r="Z104" s="10"/>
      <c r="AA104" s="155"/>
      <c r="AB104" s="155"/>
      <c r="AC104" s="143"/>
      <c r="AD104" s="16"/>
      <c r="AE104" s="16"/>
      <c r="AF104" s="143"/>
      <c r="AG104" s="143"/>
      <c r="AH104" s="143"/>
      <c r="AI104" s="143"/>
      <c r="AJ104" s="143"/>
      <c r="AK104" s="16"/>
      <c r="AL104" s="16"/>
      <c r="AM104" s="143"/>
      <c r="AN104" s="177">
        <f>SUM(P104:AM104)-O104</f>
        <v>4369702</v>
      </c>
    </row>
    <row r="105" spans="1:40" ht="15" thickBot="1" x14ac:dyDescent="0.4">
      <c r="A105" s="40">
        <v>1659</v>
      </c>
      <c r="B105" s="79" t="s">
        <v>153</v>
      </c>
      <c r="C105" s="46">
        <v>470398</v>
      </c>
      <c r="D105" s="97">
        <v>0</v>
      </c>
      <c r="E105" s="10">
        <f>C105+D105</f>
        <v>470398</v>
      </c>
      <c r="F105" s="23">
        <v>769690</v>
      </c>
      <c r="G105" s="23">
        <v>0</v>
      </c>
      <c r="H105" s="16">
        <f>F105+G105</f>
        <v>769690</v>
      </c>
      <c r="I105" s="16">
        <f>E105-H105</f>
        <v>-299292</v>
      </c>
      <c r="J105" s="23">
        <v>0</v>
      </c>
      <c r="K105" s="23">
        <v>0</v>
      </c>
      <c r="L105" s="46">
        <v>0</v>
      </c>
      <c r="M105" s="46">
        <v>0</v>
      </c>
      <c r="N105" s="46">
        <v>0</v>
      </c>
      <c r="O105" s="46">
        <v>0</v>
      </c>
      <c r="P105" s="78">
        <f>I105-M105-J105-K105-N105-L105</f>
        <v>-299292</v>
      </c>
      <c r="Q105" s="155"/>
      <c r="R105" s="155"/>
      <c r="S105" s="45">
        <f>IF(-$P105&lt;VLOOKUP(A105,Eligibility!$A$3:$F$423,6,0),-P105,VLOOKUP(A105,Eligibility!$A$3:$F$423,6,0))</f>
        <v>299292</v>
      </c>
      <c r="T105" s="155"/>
      <c r="U105" s="155"/>
      <c r="V105" s="39"/>
      <c r="W105" s="155"/>
      <c r="X105" s="143"/>
      <c r="Y105" s="143"/>
      <c r="Z105" s="10"/>
      <c r="AA105" s="155"/>
      <c r="AB105" s="155"/>
      <c r="AC105" s="143"/>
      <c r="AD105" s="16"/>
      <c r="AE105" s="16"/>
      <c r="AF105" s="143"/>
      <c r="AG105" s="143"/>
      <c r="AH105" s="143"/>
      <c r="AI105" s="143"/>
      <c r="AJ105" s="143"/>
      <c r="AK105" s="16"/>
      <c r="AL105" s="16"/>
      <c r="AM105" s="143"/>
      <c r="AN105" s="177">
        <f>SUM(P105:AM105)-O105</f>
        <v>0</v>
      </c>
    </row>
    <row r="106" spans="1:40" ht="15" thickBot="1" x14ac:dyDescent="0.4">
      <c r="A106" s="40">
        <v>714</v>
      </c>
      <c r="B106" s="79" t="s">
        <v>154</v>
      </c>
      <c r="C106" s="46">
        <v>1028889</v>
      </c>
      <c r="D106" s="97">
        <v>8125</v>
      </c>
      <c r="E106" s="10">
        <f>C106+D106</f>
        <v>1037014</v>
      </c>
      <c r="F106" s="23">
        <v>766698</v>
      </c>
      <c r="G106" s="23">
        <v>8125</v>
      </c>
      <c r="H106" s="16">
        <f>F106+G106</f>
        <v>774823</v>
      </c>
      <c r="I106" s="16">
        <f>E106-H106</f>
        <v>262191</v>
      </c>
      <c r="J106" s="23">
        <v>526662.6</v>
      </c>
      <c r="K106" s="23">
        <v>71373.5</v>
      </c>
      <c r="L106" s="46">
        <v>0</v>
      </c>
      <c r="M106" s="46">
        <v>0</v>
      </c>
      <c r="N106" s="46">
        <v>0</v>
      </c>
      <c r="O106" s="46">
        <v>0</v>
      </c>
      <c r="P106" s="78">
        <f>I106-M106-J106-K106-N106-L106</f>
        <v>-335845.1</v>
      </c>
      <c r="Q106" s="155"/>
      <c r="R106" s="155"/>
      <c r="S106" s="45">
        <f>IF(J106+K106+L106+M106+N106&lt;VLOOKUP(A106,Eligibility!$A$3:$F$423,6,0),J106+K106+L106+M106+N106,VLOOKUP(A106,Eligibility!$A$3:$F$423,6,0))</f>
        <v>598036.1</v>
      </c>
      <c r="T106" s="155"/>
      <c r="U106" s="155"/>
      <c r="V106" s="39"/>
      <c r="W106" s="155"/>
      <c r="X106" s="143"/>
      <c r="Y106" s="143"/>
      <c r="Z106" s="10"/>
      <c r="AA106" s="155"/>
      <c r="AB106" s="155"/>
      <c r="AC106" s="143"/>
      <c r="AD106" s="16"/>
      <c r="AE106" s="16"/>
      <c r="AF106" s="143"/>
      <c r="AG106" s="143"/>
      <c r="AH106" s="143"/>
      <c r="AI106" s="143"/>
      <c r="AJ106" s="143"/>
      <c r="AK106" s="16"/>
      <c r="AL106" s="16"/>
      <c r="AM106" s="143"/>
      <c r="AN106" s="177">
        <f>SUM(P106:AM106)-O106</f>
        <v>262191</v>
      </c>
    </row>
    <row r="107" spans="1:40" ht="15" thickBot="1" x14ac:dyDescent="0.4">
      <c r="A107" s="40">
        <v>1666</v>
      </c>
      <c r="B107" s="79" t="s">
        <v>155</v>
      </c>
      <c r="C107" s="46">
        <v>432716</v>
      </c>
      <c r="D107" s="97">
        <v>0</v>
      </c>
      <c r="E107" s="10">
        <f>C107+D107</f>
        <v>432716</v>
      </c>
      <c r="F107" s="23">
        <v>405254</v>
      </c>
      <c r="G107" s="23">
        <v>0</v>
      </c>
      <c r="H107" s="16">
        <f>F107+G107</f>
        <v>405254</v>
      </c>
      <c r="I107" s="16">
        <f>E107-H107</f>
        <v>27462</v>
      </c>
      <c r="J107" s="23">
        <v>8300</v>
      </c>
      <c r="K107" s="23">
        <v>0</v>
      </c>
      <c r="L107" s="46">
        <v>0</v>
      </c>
      <c r="M107" s="46">
        <v>0</v>
      </c>
      <c r="N107" s="46">
        <v>0</v>
      </c>
      <c r="O107" s="46">
        <v>0</v>
      </c>
      <c r="P107" s="78">
        <f>I107-M107-J107-K107-N107-L107</f>
        <v>19162</v>
      </c>
      <c r="Q107" s="155"/>
      <c r="R107" s="155"/>
      <c r="S107" s="45">
        <f>IF(J107+K107+L107+M107+N107&lt;VLOOKUP(A107,Eligibility!$A$3:$F$423,6,0),J107+K107+L107+M107+N107,VLOOKUP(A107,Eligibility!$A$3:$F$423,6,0))</f>
        <v>8300</v>
      </c>
      <c r="T107" s="155"/>
      <c r="U107" s="155"/>
      <c r="V107" s="39"/>
      <c r="W107" s="155"/>
      <c r="X107" s="143"/>
      <c r="Y107" s="143"/>
      <c r="Z107" s="10"/>
      <c r="AA107" s="155"/>
      <c r="AB107" s="155"/>
      <c r="AC107" s="143"/>
      <c r="AD107" s="16"/>
      <c r="AE107" s="16"/>
      <c r="AF107" s="143"/>
      <c r="AG107" s="143"/>
      <c r="AH107" s="143"/>
      <c r="AI107" s="143"/>
      <c r="AJ107" s="143"/>
      <c r="AK107" s="16"/>
      <c r="AL107" s="16"/>
      <c r="AM107" s="143"/>
      <c r="AN107" s="177">
        <f>SUM(P107:AM107)-O107</f>
        <v>27462</v>
      </c>
    </row>
    <row r="108" spans="1:40" ht="15" thickBot="1" x14ac:dyDescent="0.4">
      <c r="A108" s="40">
        <v>1687</v>
      </c>
      <c r="B108" s="79" t="s">
        <v>156</v>
      </c>
      <c r="C108" s="46">
        <v>1655411</v>
      </c>
      <c r="D108" s="97">
        <v>0</v>
      </c>
      <c r="E108" s="10">
        <f>C108+D108</f>
        <v>1655411</v>
      </c>
      <c r="F108" s="23">
        <v>282557</v>
      </c>
      <c r="G108" s="23">
        <v>0</v>
      </c>
      <c r="H108" s="16">
        <f>F108+G108</f>
        <v>282557</v>
      </c>
      <c r="I108" s="16">
        <f>E108-H108</f>
        <v>1372854</v>
      </c>
      <c r="J108" s="23">
        <v>8300</v>
      </c>
      <c r="K108" s="23">
        <v>0</v>
      </c>
      <c r="L108" s="46">
        <v>0</v>
      </c>
      <c r="M108" s="46">
        <v>0</v>
      </c>
      <c r="N108" s="46">
        <v>0</v>
      </c>
      <c r="O108" s="46">
        <v>0</v>
      </c>
      <c r="P108" s="78">
        <f>I108-M108-J108-K108-N108-L108</f>
        <v>1364554</v>
      </c>
      <c r="Q108" s="155"/>
      <c r="R108" s="155"/>
      <c r="S108" s="45">
        <f>IF(J108+K108+L108+M108+N108&lt;VLOOKUP(A108,Eligibility!$A$3:$F$423,6,0),J108+K108+L108+M108+N108,VLOOKUP(A108,Eligibility!$A$3:$F$423,6,0))</f>
        <v>8300</v>
      </c>
      <c r="T108" s="155"/>
      <c r="U108" s="155"/>
      <c r="V108" s="39"/>
      <c r="W108" s="155"/>
      <c r="X108" s="143"/>
      <c r="Y108" s="143"/>
      <c r="Z108" s="10"/>
      <c r="AA108" s="155"/>
      <c r="AB108" s="155"/>
      <c r="AC108" s="143"/>
      <c r="AD108" s="16"/>
      <c r="AE108" s="16"/>
      <c r="AF108" s="143"/>
      <c r="AG108" s="143"/>
      <c r="AH108" s="143"/>
      <c r="AI108" s="143"/>
      <c r="AJ108" s="143"/>
      <c r="AK108" s="16"/>
      <c r="AL108" s="16"/>
      <c r="AM108" s="143"/>
      <c r="AN108" s="177">
        <f>SUM(P108:AM108)-O108</f>
        <v>1372854</v>
      </c>
    </row>
    <row r="109" spans="1:40" ht="15" thickBot="1" x14ac:dyDescent="0.4">
      <c r="A109" s="40">
        <v>1694</v>
      </c>
      <c r="B109" s="79" t="s">
        <v>157</v>
      </c>
      <c r="C109" s="46">
        <v>1165617</v>
      </c>
      <c r="D109" s="97">
        <v>0</v>
      </c>
      <c r="E109" s="10">
        <f>C109+D109</f>
        <v>1165617</v>
      </c>
      <c r="F109" s="23">
        <v>1050837</v>
      </c>
      <c r="G109" s="23">
        <v>0</v>
      </c>
      <c r="H109" s="16">
        <f>F109+G109</f>
        <v>1050837</v>
      </c>
      <c r="I109" s="16">
        <f>E109-H109</f>
        <v>114780</v>
      </c>
      <c r="J109" s="23">
        <v>51092</v>
      </c>
      <c r="K109" s="23">
        <v>0</v>
      </c>
      <c r="L109" s="46">
        <v>5499</v>
      </c>
      <c r="M109" s="46">
        <v>0</v>
      </c>
      <c r="N109" s="46">
        <v>0</v>
      </c>
      <c r="O109" s="46">
        <v>0</v>
      </c>
      <c r="P109" s="78">
        <f>I109-M109-J109-K109-N109-L109</f>
        <v>58189</v>
      </c>
      <c r="Q109" s="155"/>
      <c r="R109" s="155"/>
      <c r="S109" s="45">
        <f>IF(J109+K109+L109+M109+N109&lt;VLOOKUP(A109,Eligibility!$A$3:$F$423,6,0),J109+K109+L109+M109+N109,VLOOKUP(A109,Eligibility!$A$3:$F$423,6,0))</f>
        <v>56591</v>
      </c>
      <c r="T109" s="155"/>
      <c r="U109" s="155"/>
      <c r="V109" s="39"/>
      <c r="W109" s="155"/>
      <c r="X109" s="143"/>
      <c r="Y109" s="143"/>
      <c r="Z109" s="10"/>
      <c r="AA109" s="155"/>
      <c r="AB109" s="155"/>
      <c r="AC109" s="143"/>
      <c r="AD109" s="16"/>
      <c r="AE109" s="16"/>
      <c r="AF109" s="143"/>
      <c r="AG109" s="143"/>
      <c r="AH109" s="143"/>
      <c r="AI109" s="143"/>
      <c r="AJ109" s="143"/>
      <c r="AK109" s="16"/>
      <c r="AL109" s="16"/>
      <c r="AM109" s="143"/>
      <c r="AN109" s="177">
        <f>SUM(P109:AM109)-O109</f>
        <v>114780</v>
      </c>
    </row>
    <row r="110" spans="1:40" ht="15" thickBot="1" x14ac:dyDescent="0.4">
      <c r="A110" s="40">
        <v>1729</v>
      </c>
      <c r="B110" s="79" t="s">
        <v>158</v>
      </c>
      <c r="C110" s="46">
        <v>1212988</v>
      </c>
      <c r="D110" s="97">
        <v>0</v>
      </c>
      <c r="E110" s="10">
        <f>C110+D110</f>
        <v>1212988</v>
      </c>
      <c r="F110" s="23">
        <v>592830</v>
      </c>
      <c r="G110" s="23">
        <v>0</v>
      </c>
      <c r="H110" s="16">
        <f>F110+G110</f>
        <v>592830</v>
      </c>
      <c r="I110" s="16">
        <f>E110-H110</f>
        <v>620158</v>
      </c>
      <c r="J110" s="23">
        <v>16600</v>
      </c>
      <c r="K110" s="23">
        <v>0</v>
      </c>
      <c r="L110" s="46">
        <v>0</v>
      </c>
      <c r="M110" s="46">
        <v>0</v>
      </c>
      <c r="N110" s="46">
        <v>10226</v>
      </c>
      <c r="O110" s="46">
        <v>0</v>
      </c>
      <c r="P110" s="78">
        <f>I110-M110-J110-K110-N110-L110</f>
        <v>593332</v>
      </c>
      <c r="Q110" s="155"/>
      <c r="R110" s="155"/>
      <c r="S110" s="45">
        <f>IF(J110+K110+L110+M110+N110&lt;VLOOKUP(A110,Eligibility!$A$3:$F$423,6,0),J110+K110+L110+M110+N110,VLOOKUP(A110,Eligibility!$A$3:$F$423,6,0))</f>
        <v>26826</v>
      </c>
      <c r="T110" s="155"/>
      <c r="U110" s="155"/>
      <c r="V110" s="39"/>
      <c r="W110" s="155"/>
      <c r="X110" s="143"/>
      <c r="Y110" s="143"/>
      <c r="Z110" s="10"/>
      <c r="AA110" s="155"/>
      <c r="AB110" s="155"/>
      <c r="AC110" s="143"/>
      <c r="AD110" s="16"/>
      <c r="AE110" s="16"/>
      <c r="AF110" s="143"/>
      <c r="AG110" s="143"/>
      <c r="AH110" s="143"/>
      <c r="AI110" s="143"/>
      <c r="AJ110" s="143"/>
      <c r="AK110" s="16"/>
      <c r="AL110" s="16"/>
      <c r="AM110" s="143"/>
      <c r="AN110" s="177">
        <f>SUM(P110:AM110)-O110</f>
        <v>620158</v>
      </c>
    </row>
    <row r="111" spans="1:40" ht="15" thickBot="1" x14ac:dyDescent="0.4">
      <c r="A111" s="40">
        <v>1736</v>
      </c>
      <c r="B111" s="79" t="s">
        <v>159</v>
      </c>
      <c r="C111" s="46">
        <v>527536</v>
      </c>
      <c r="D111" s="97">
        <v>0</v>
      </c>
      <c r="E111" s="10">
        <f>C111+D111</f>
        <v>527536</v>
      </c>
      <c r="F111" s="23">
        <v>773046</v>
      </c>
      <c r="G111" s="23">
        <v>0</v>
      </c>
      <c r="H111" s="16">
        <f>F111+G111</f>
        <v>773046</v>
      </c>
      <c r="I111" s="16">
        <f>E111-H111</f>
        <v>-245510</v>
      </c>
      <c r="J111" s="23">
        <v>17892</v>
      </c>
      <c r="K111" s="23">
        <v>0</v>
      </c>
      <c r="L111" s="46">
        <v>0</v>
      </c>
      <c r="M111" s="46">
        <v>0</v>
      </c>
      <c r="N111" s="46">
        <v>0</v>
      </c>
      <c r="O111" s="46">
        <v>0</v>
      </c>
      <c r="P111" s="78">
        <f>I111-M111-J111-K111-N111-L111</f>
        <v>-263402</v>
      </c>
      <c r="Q111" s="155"/>
      <c r="R111" s="155"/>
      <c r="S111" s="45">
        <f>IF(-$P111&lt;VLOOKUP(A111,Eligibility!$A$3:$F$423,6,0),-P111,VLOOKUP(A111,Eligibility!$A$3:$F$423,6,0))</f>
        <v>263402</v>
      </c>
      <c r="T111" s="155"/>
      <c r="U111" s="155"/>
      <c r="V111" s="39"/>
      <c r="W111" s="155"/>
      <c r="X111" s="143"/>
      <c r="Y111" s="143"/>
      <c r="Z111" s="10"/>
      <c r="AA111" s="155"/>
      <c r="AB111" s="155"/>
      <c r="AC111" s="143"/>
      <c r="AD111" s="16"/>
      <c r="AE111" s="16"/>
      <c r="AF111" s="143"/>
      <c r="AG111" s="143"/>
      <c r="AH111" s="143"/>
      <c r="AI111" s="143"/>
      <c r="AJ111" s="143"/>
      <c r="AK111" s="16"/>
      <c r="AL111" s="16"/>
      <c r="AM111" s="143"/>
      <c r="AN111" s="177">
        <f>SUM(P111:AM111)-O111</f>
        <v>0</v>
      </c>
    </row>
    <row r="112" spans="1:40" ht="15" thickBot="1" x14ac:dyDescent="0.4">
      <c r="A112" s="40">
        <v>1813</v>
      </c>
      <c r="B112" s="79" t="s">
        <v>160</v>
      </c>
      <c r="C112" s="46">
        <v>826532</v>
      </c>
      <c r="D112" s="97">
        <v>0</v>
      </c>
      <c r="E112" s="10">
        <f>C112+D112</f>
        <v>826532</v>
      </c>
      <c r="F112" s="23">
        <v>342425</v>
      </c>
      <c r="G112" s="23">
        <v>0</v>
      </c>
      <c r="H112" s="16">
        <f>F112+G112</f>
        <v>342425</v>
      </c>
      <c r="I112" s="16">
        <f>E112-H112</f>
        <v>484107</v>
      </c>
      <c r="J112" s="23">
        <v>0</v>
      </c>
      <c r="K112" s="23">
        <v>0</v>
      </c>
      <c r="L112" s="46">
        <v>0</v>
      </c>
      <c r="M112" s="46">
        <v>0</v>
      </c>
      <c r="N112" s="46">
        <v>11032</v>
      </c>
      <c r="O112" s="46">
        <v>0</v>
      </c>
      <c r="P112" s="78">
        <f>I112-M112-J112-K112-N112-L112</f>
        <v>473075</v>
      </c>
      <c r="Q112" s="155"/>
      <c r="R112" s="155"/>
      <c r="S112" s="45">
        <f>IF(J112+K112+L112+M112+N112&lt;VLOOKUP(A112,Eligibility!$A$3:$F$423,6,0),J112+K112+L112+M112+N112,VLOOKUP(A112,Eligibility!$A$3:$F$423,6,0))</f>
        <v>11032</v>
      </c>
      <c r="T112" s="155"/>
      <c r="U112" s="155"/>
      <c r="V112" s="39"/>
      <c r="W112" s="155"/>
      <c r="X112" s="143"/>
      <c r="Y112" s="143"/>
      <c r="Z112" s="10"/>
      <c r="AA112" s="155"/>
      <c r="AB112" s="155"/>
      <c r="AC112" s="143"/>
      <c r="AD112" s="16"/>
      <c r="AE112" s="16"/>
      <c r="AF112" s="143"/>
      <c r="AG112" s="143"/>
      <c r="AH112" s="143"/>
      <c r="AI112" s="143"/>
      <c r="AJ112" s="143"/>
      <c r="AK112" s="16"/>
      <c r="AL112" s="16"/>
      <c r="AM112" s="143"/>
      <c r="AN112" s="177">
        <f>SUM(P112:AM112)-O112</f>
        <v>484107</v>
      </c>
    </row>
    <row r="113" spans="1:40" ht="15" thickBot="1" x14ac:dyDescent="0.4">
      <c r="A113" s="40">
        <v>5757</v>
      </c>
      <c r="B113" s="79" t="s">
        <v>161</v>
      </c>
      <c r="C113" s="46">
        <v>630175</v>
      </c>
      <c r="D113" s="97">
        <v>0</v>
      </c>
      <c r="E113" s="10">
        <f>C113+D113</f>
        <v>630175</v>
      </c>
      <c r="F113" s="23">
        <v>999469</v>
      </c>
      <c r="G113" s="23">
        <v>0</v>
      </c>
      <c r="H113" s="16">
        <f>F113+G113</f>
        <v>999469</v>
      </c>
      <c r="I113" s="16">
        <f>E113-H113</f>
        <v>-369294</v>
      </c>
      <c r="J113" s="23">
        <v>33200</v>
      </c>
      <c r="K113" s="23">
        <v>0</v>
      </c>
      <c r="L113" s="46">
        <v>0</v>
      </c>
      <c r="M113" s="46">
        <v>0</v>
      </c>
      <c r="N113" s="46">
        <v>0</v>
      </c>
      <c r="O113" s="46">
        <v>0</v>
      </c>
      <c r="P113" s="78">
        <f>I113-M113-J113-K113-N113-L113</f>
        <v>-402494</v>
      </c>
      <c r="Q113" s="155"/>
      <c r="R113" s="155"/>
      <c r="S113" s="45">
        <f>IF(-$P113&lt;VLOOKUP(A113,Eligibility!$A$3:$F$423,6,0),-P113,VLOOKUP(A113,Eligibility!$A$3:$F$423,6,0))</f>
        <v>402494</v>
      </c>
      <c r="T113" s="155"/>
      <c r="U113" s="155"/>
      <c r="V113" s="39"/>
      <c r="W113" s="155"/>
      <c r="X113" s="143"/>
      <c r="Y113" s="143"/>
      <c r="Z113" s="10"/>
      <c r="AA113" s="155"/>
      <c r="AB113" s="155"/>
      <c r="AC113" s="143"/>
      <c r="AD113" s="16"/>
      <c r="AE113" s="16"/>
      <c r="AF113" s="143"/>
      <c r="AG113" s="143"/>
      <c r="AH113" s="143"/>
      <c r="AI113" s="143"/>
      <c r="AJ113" s="143"/>
      <c r="AK113" s="16"/>
      <c r="AL113" s="16"/>
      <c r="AM113" s="143"/>
      <c r="AN113" s="177">
        <f>SUM(P113:AM113)-O113</f>
        <v>0</v>
      </c>
    </row>
    <row r="114" spans="1:40" ht="15" thickBot="1" x14ac:dyDescent="0.4">
      <c r="A114" s="40">
        <v>1855</v>
      </c>
      <c r="B114" s="79" t="s">
        <v>33</v>
      </c>
      <c r="C114" s="46">
        <v>86102</v>
      </c>
      <c r="D114" s="97">
        <v>0</v>
      </c>
      <c r="E114" s="10">
        <f>C114+D114</f>
        <v>86102</v>
      </c>
      <c r="F114" s="23">
        <v>831725</v>
      </c>
      <c r="G114" s="23">
        <v>0</v>
      </c>
      <c r="H114" s="16">
        <f>F114+G114</f>
        <v>831725</v>
      </c>
      <c r="I114" s="16">
        <f>E114-H114</f>
        <v>-745623</v>
      </c>
      <c r="J114" s="23">
        <v>0</v>
      </c>
      <c r="K114" s="23">
        <v>0</v>
      </c>
      <c r="L114" s="46">
        <v>0</v>
      </c>
      <c r="M114" s="46">
        <v>0</v>
      </c>
      <c r="N114" s="46">
        <v>0</v>
      </c>
      <c r="O114" s="46">
        <v>0</v>
      </c>
      <c r="P114" s="78">
        <f>I114-M114-J114-K114-N114-L114</f>
        <v>-745623</v>
      </c>
      <c r="Q114" s="155">
        <v>33944</v>
      </c>
      <c r="R114" s="155">
        <v>32113</v>
      </c>
      <c r="S114" s="45">
        <f>IF(-$P114&lt;VLOOKUP(A114,Eligibility!$A$3:$F$423,6,0),-P114,VLOOKUP(A114,Eligibility!$A$3:$F$423,6,0))</f>
        <v>44958</v>
      </c>
      <c r="T114" s="155">
        <v>40550</v>
      </c>
      <c r="U114" s="155">
        <v>25344</v>
      </c>
      <c r="V114" s="38">
        <v>35482</v>
      </c>
      <c r="W114" s="155">
        <v>31208</v>
      </c>
      <c r="X114" s="143">
        <v>42483</v>
      </c>
      <c r="Y114" s="143">
        <v>41391</v>
      </c>
      <c r="Z114" s="224">
        <v>32999.67</v>
      </c>
      <c r="AA114" s="155">
        <v>342062</v>
      </c>
      <c r="AB114" s="155">
        <v>1401</v>
      </c>
      <c r="AC114" s="143">
        <v>33302.720000000001</v>
      </c>
      <c r="AD114" s="16"/>
      <c r="AE114" s="16"/>
      <c r="AF114" s="143"/>
      <c r="AG114" s="143"/>
      <c r="AH114" s="143"/>
      <c r="AI114" s="143">
        <v>8216</v>
      </c>
      <c r="AJ114" s="143">
        <v>168.61</v>
      </c>
      <c r="AK114" s="16"/>
      <c r="AL114" s="16"/>
      <c r="AM114" s="143"/>
      <c r="AN114" s="177">
        <f>SUM(P114:AM114)-O114</f>
        <v>0</v>
      </c>
    </row>
    <row r="115" spans="1:40" ht="15" thickBot="1" x14ac:dyDescent="0.4">
      <c r="A115" s="40">
        <v>1862</v>
      </c>
      <c r="B115" s="79" t="s">
        <v>162</v>
      </c>
      <c r="C115" s="46">
        <v>1761518</v>
      </c>
      <c r="D115" s="97">
        <v>0</v>
      </c>
      <c r="E115" s="10">
        <f>C115+D115</f>
        <v>1761518</v>
      </c>
      <c r="F115" s="23">
        <v>5517395</v>
      </c>
      <c r="G115" s="23">
        <v>0</v>
      </c>
      <c r="H115" s="16">
        <f>F115+G115</f>
        <v>5517395</v>
      </c>
      <c r="I115" s="16">
        <f>E115-H115</f>
        <v>-3755877</v>
      </c>
      <c r="J115" s="23">
        <v>2228541</v>
      </c>
      <c r="K115" s="23">
        <v>502183.5</v>
      </c>
      <c r="L115" s="46">
        <v>0</v>
      </c>
      <c r="M115" s="46">
        <v>7059.17</v>
      </c>
      <c r="N115" s="46">
        <v>0</v>
      </c>
      <c r="O115" s="46">
        <v>0</v>
      </c>
      <c r="P115" s="78">
        <f>I115-M115-J115-K115-N115-L115</f>
        <v>-6493660.6699999999</v>
      </c>
      <c r="Q115" s="155"/>
      <c r="R115" s="155"/>
      <c r="S115" s="45">
        <f>IF(-$P115&lt;VLOOKUP(A115,Eligibility!$A$3:$F$423,6,0),-P115,VLOOKUP(A115,Eligibility!$A$3:$F$423,6,0))</f>
        <v>6493660.6699999999</v>
      </c>
      <c r="T115" s="155"/>
      <c r="U115" s="155"/>
      <c r="V115" s="39"/>
      <c r="W115" s="155"/>
      <c r="X115" s="143"/>
      <c r="Y115" s="143"/>
      <c r="Z115" s="10"/>
      <c r="AA115" s="155"/>
      <c r="AB115" s="155"/>
      <c r="AC115" s="143"/>
      <c r="AD115" s="16"/>
      <c r="AE115" s="16"/>
      <c r="AF115" s="143"/>
      <c r="AG115" s="143"/>
      <c r="AH115" s="143"/>
      <c r="AI115" s="143"/>
      <c r="AJ115" s="143"/>
      <c r="AK115" s="16"/>
      <c r="AL115" s="16"/>
      <c r="AM115" s="143"/>
      <c r="AN115" s="177">
        <f>SUM(P115:AM115)-O115</f>
        <v>0</v>
      </c>
    </row>
    <row r="116" spans="1:40" ht="15" thickBot="1" x14ac:dyDescent="0.4">
      <c r="A116" s="40">
        <v>1870</v>
      </c>
      <c r="B116" s="79" t="s">
        <v>163</v>
      </c>
      <c r="C116" s="46">
        <v>739095</v>
      </c>
      <c r="D116" s="97">
        <v>0</v>
      </c>
      <c r="E116" s="10">
        <f>C116+D116</f>
        <v>739095</v>
      </c>
      <c r="F116" s="23">
        <v>372817</v>
      </c>
      <c r="G116" s="23">
        <v>0</v>
      </c>
      <c r="H116" s="16">
        <f>F116+G116</f>
        <v>372817</v>
      </c>
      <c r="I116" s="16">
        <f>E116-H116</f>
        <v>366278</v>
      </c>
      <c r="J116" s="23">
        <v>8300</v>
      </c>
      <c r="K116" s="23">
        <v>0</v>
      </c>
      <c r="L116" s="46">
        <v>0</v>
      </c>
      <c r="M116" s="46">
        <v>0</v>
      </c>
      <c r="N116" s="46">
        <v>0</v>
      </c>
      <c r="O116" s="46">
        <v>0</v>
      </c>
      <c r="P116" s="78">
        <f>I116-M116-J116-K116-N116-L116</f>
        <v>357978</v>
      </c>
      <c r="Q116" s="155"/>
      <c r="R116" s="155"/>
      <c r="S116" s="45">
        <f>IF(J116+K116+L116+M116+N116&lt;VLOOKUP(A116,Eligibility!$A$3:$F$423,6,0),J116+K116+L116+M116+N116,VLOOKUP(A116,Eligibility!$A$3:$F$423,6,0))</f>
        <v>0</v>
      </c>
      <c r="T116" s="155">
        <v>1384</v>
      </c>
      <c r="U116" s="155">
        <v>865</v>
      </c>
      <c r="V116" s="38">
        <v>1212</v>
      </c>
      <c r="W116" s="155"/>
      <c r="X116" s="143"/>
      <c r="Y116" s="143"/>
      <c r="Z116" s="10">
        <v>4839</v>
      </c>
      <c r="AA116" s="155"/>
      <c r="AB116" s="155"/>
      <c r="AC116" s="143"/>
      <c r="AD116" s="16"/>
      <c r="AE116" s="16"/>
      <c r="AF116" s="143"/>
      <c r="AG116" s="143"/>
      <c r="AH116" s="143"/>
      <c r="AI116" s="143"/>
      <c r="AJ116" s="143"/>
      <c r="AK116" s="16"/>
      <c r="AL116" s="16"/>
      <c r="AM116" s="143"/>
      <c r="AN116" s="177">
        <f>SUM(P116:AM116)-O116</f>
        <v>366278</v>
      </c>
    </row>
    <row r="117" spans="1:40" ht="15" thickBot="1" x14ac:dyDescent="0.4">
      <c r="A117" s="40">
        <v>1883</v>
      </c>
      <c r="B117" s="79" t="s">
        <v>164</v>
      </c>
      <c r="C117" s="46">
        <v>1473480</v>
      </c>
      <c r="D117" s="97">
        <v>0</v>
      </c>
      <c r="E117" s="10">
        <f>C117+D117</f>
        <v>1473480</v>
      </c>
      <c r="F117" s="23">
        <v>1306921</v>
      </c>
      <c r="G117" s="23">
        <v>3604</v>
      </c>
      <c r="H117" s="16">
        <f>F117+G117</f>
        <v>1310525</v>
      </c>
      <c r="I117" s="16">
        <f>E117-H117</f>
        <v>162955</v>
      </c>
      <c r="J117" s="23">
        <v>569940</v>
      </c>
      <c r="K117" s="23">
        <v>199710.75</v>
      </c>
      <c r="L117" s="46">
        <v>0</v>
      </c>
      <c r="M117" s="46">
        <v>7059.17</v>
      </c>
      <c r="N117" s="46">
        <v>0</v>
      </c>
      <c r="O117" s="46">
        <v>0</v>
      </c>
      <c r="P117" s="78">
        <f>I117-M117-J117-K117-N117-L117</f>
        <v>-613754.92000000004</v>
      </c>
      <c r="Q117" s="155"/>
      <c r="R117" s="155"/>
      <c r="S117" s="45">
        <f>IF(J117+K117+L117+M117+N117&lt;VLOOKUP(A117,Eligibility!$A$3:$F$423,6,0),J117+K117+L117+M117+N117,VLOOKUP(A117,Eligibility!$A$3:$F$423,6,0))</f>
        <v>776709.92</v>
      </c>
      <c r="T117" s="155"/>
      <c r="U117" s="155"/>
      <c r="V117" s="39"/>
      <c r="W117" s="155"/>
      <c r="X117" s="143"/>
      <c r="Y117" s="143"/>
      <c r="Z117" s="10"/>
      <c r="AA117" s="155"/>
      <c r="AB117" s="155"/>
      <c r="AC117" s="143"/>
      <c r="AD117" s="16"/>
      <c r="AE117" s="16"/>
      <c r="AF117" s="143"/>
      <c r="AG117" s="143"/>
      <c r="AH117" s="143"/>
      <c r="AI117" s="143"/>
      <c r="AJ117" s="143"/>
      <c r="AK117" s="16"/>
      <c r="AL117" s="16"/>
      <c r="AM117" s="143"/>
      <c r="AN117" s="177">
        <f>SUM(P117:AM117)-O117</f>
        <v>162955</v>
      </c>
    </row>
    <row r="118" spans="1:40" ht="15" thickBot="1" x14ac:dyDescent="0.4">
      <c r="A118" s="40">
        <v>1890</v>
      </c>
      <c r="B118" s="79" t="s">
        <v>165</v>
      </c>
      <c r="C118" s="46">
        <v>554620</v>
      </c>
      <c r="D118" s="97">
        <v>16250</v>
      </c>
      <c r="E118" s="10">
        <f>C118+D118</f>
        <v>570870</v>
      </c>
      <c r="F118" s="23">
        <v>170171</v>
      </c>
      <c r="G118" s="23">
        <v>0</v>
      </c>
      <c r="H118" s="16">
        <f>F118+G118</f>
        <v>170171</v>
      </c>
      <c r="I118" s="16">
        <f>E118-H118</f>
        <v>400699</v>
      </c>
      <c r="J118" s="23">
        <v>54780</v>
      </c>
      <c r="K118" s="23">
        <v>19444</v>
      </c>
      <c r="L118" s="46">
        <v>0</v>
      </c>
      <c r="M118" s="46">
        <v>0</v>
      </c>
      <c r="N118" s="46">
        <v>0</v>
      </c>
      <c r="O118" s="46">
        <v>0</v>
      </c>
      <c r="P118" s="78">
        <f>I118-M118-J118-K118-N118-L118</f>
        <v>326475</v>
      </c>
      <c r="Q118" s="155"/>
      <c r="R118" s="155">
        <v>16827</v>
      </c>
      <c r="S118" s="45">
        <f>IF(J118+K118+L118+M118+N118&lt;VLOOKUP(A118,Eligibility!$A$3:$F$423,6,0),J118+K118+L118+M118+N118,VLOOKUP(A118,Eligibility!$A$3:$F$423,6,0))-16827</f>
        <v>57397</v>
      </c>
      <c r="T118" s="155"/>
      <c r="U118" s="155"/>
      <c r="V118" s="39"/>
      <c r="W118" s="155"/>
      <c r="X118" s="143"/>
      <c r="Y118" s="143"/>
      <c r="Z118" s="10"/>
      <c r="AA118" s="155"/>
      <c r="AB118" s="155"/>
      <c r="AC118" s="143"/>
      <c r="AD118" s="16"/>
      <c r="AE118" s="16"/>
      <c r="AF118" s="143"/>
      <c r="AG118" s="143"/>
      <c r="AH118" s="143"/>
      <c r="AI118" s="143"/>
      <c r="AJ118" s="143"/>
      <c r="AK118" s="16"/>
      <c r="AL118" s="16"/>
      <c r="AM118" s="143"/>
      <c r="AN118" s="177">
        <f>SUM(P118:AM118)-O118</f>
        <v>400699</v>
      </c>
    </row>
    <row r="119" spans="1:40" ht="15" thickBot="1" x14ac:dyDescent="0.4">
      <c r="A119" s="40">
        <v>1900</v>
      </c>
      <c r="B119" s="79" t="s">
        <v>166</v>
      </c>
      <c r="C119" s="46">
        <v>3482164</v>
      </c>
      <c r="D119" s="97">
        <v>0</v>
      </c>
      <c r="E119" s="10">
        <f>C119+D119</f>
        <v>3482164</v>
      </c>
      <c r="F119" s="23">
        <v>1176437</v>
      </c>
      <c r="G119" s="23">
        <v>32500</v>
      </c>
      <c r="H119" s="16">
        <f>F119+G119</f>
        <v>1208937</v>
      </c>
      <c r="I119" s="16">
        <f>E119-H119</f>
        <v>2273227</v>
      </c>
      <c r="J119" s="23">
        <v>543074.6</v>
      </c>
      <c r="K119" s="23">
        <v>21277</v>
      </c>
      <c r="L119" s="46">
        <v>0</v>
      </c>
      <c r="M119" s="46">
        <v>0</v>
      </c>
      <c r="N119" s="46">
        <v>0</v>
      </c>
      <c r="O119" s="46">
        <v>0</v>
      </c>
      <c r="P119" s="78">
        <f>I119-M119-J119-K119-N119-L119</f>
        <v>1708875.4</v>
      </c>
      <c r="Q119" s="155"/>
      <c r="R119" s="155"/>
      <c r="S119" s="45">
        <f>IF(J119+K119+L119+M119+N119&lt;VLOOKUP(A119,Eligibility!$A$3:$F$423,6,0),J119+K119+L119+M119+N119,VLOOKUP(A119,Eligibility!$A$3:$F$423,6,0))</f>
        <v>564351.6</v>
      </c>
      <c r="T119" s="155"/>
      <c r="U119" s="155"/>
      <c r="V119" s="39"/>
      <c r="W119" s="155"/>
      <c r="X119" s="143"/>
      <c r="Y119" s="143"/>
      <c r="Z119" s="10"/>
      <c r="AA119" s="155"/>
      <c r="AB119" s="155"/>
      <c r="AC119" s="143"/>
      <c r="AD119" s="16"/>
      <c r="AE119" s="16"/>
      <c r="AF119" s="143"/>
      <c r="AG119" s="143"/>
      <c r="AH119" s="143"/>
      <c r="AI119" s="143"/>
      <c r="AJ119" s="143"/>
      <c r="AK119" s="16"/>
      <c r="AL119" s="16"/>
      <c r="AM119" s="143"/>
      <c r="AN119" s="177">
        <f>SUM(P119:AM119)-O119</f>
        <v>2273227</v>
      </c>
    </row>
    <row r="120" spans="1:40" ht="15" thickBot="1" x14ac:dyDescent="0.4">
      <c r="A120" s="40">
        <v>1939</v>
      </c>
      <c r="B120" s="79" t="s">
        <v>167</v>
      </c>
      <c r="C120" s="46">
        <v>322200</v>
      </c>
      <c r="D120" s="97">
        <v>0</v>
      </c>
      <c r="E120" s="10">
        <f>C120+D120</f>
        <v>322200</v>
      </c>
      <c r="F120" s="23">
        <v>847547</v>
      </c>
      <c r="G120" s="23">
        <v>0</v>
      </c>
      <c r="H120" s="16">
        <f>F120+G120</f>
        <v>847547</v>
      </c>
      <c r="I120" s="16">
        <f>E120-H120</f>
        <v>-525347</v>
      </c>
      <c r="J120" s="23">
        <v>0</v>
      </c>
      <c r="K120" s="23">
        <v>0</v>
      </c>
      <c r="L120" s="46">
        <v>0</v>
      </c>
      <c r="M120" s="46">
        <v>0</v>
      </c>
      <c r="N120" s="46">
        <v>0</v>
      </c>
      <c r="O120" s="46">
        <v>0</v>
      </c>
      <c r="P120" s="78">
        <f>I120-M120-J120-K120-N120-L120</f>
        <v>-525347</v>
      </c>
      <c r="Q120" s="155"/>
      <c r="R120" s="155"/>
      <c r="S120" s="45">
        <f>IF(-$P120&lt;VLOOKUP(A120,Eligibility!$A$3:$F$423,6,0),-P120,VLOOKUP(A120,Eligibility!$A$3:$F$423,6,0))</f>
        <v>525347</v>
      </c>
      <c r="T120" s="155"/>
      <c r="U120" s="155"/>
      <c r="V120" s="39"/>
      <c r="W120" s="155"/>
      <c r="X120" s="143"/>
      <c r="Y120" s="143"/>
      <c r="Z120" s="39"/>
      <c r="AA120" s="155"/>
      <c r="AB120" s="155"/>
      <c r="AC120" s="143"/>
      <c r="AD120" s="16"/>
      <c r="AE120" s="16"/>
      <c r="AF120" s="143"/>
      <c r="AG120" s="143"/>
      <c r="AH120" s="143"/>
      <c r="AI120" s="143"/>
      <c r="AJ120" s="143"/>
      <c r="AK120" s="16"/>
      <c r="AL120" s="16"/>
      <c r="AM120" s="143"/>
      <c r="AN120" s="177">
        <f>SUM(P120:AM120)-O120</f>
        <v>0</v>
      </c>
    </row>
    <row r="121" spans="1:40" ht="15" thickBot="1" x14ac:dyDescent="0.4">
      <c r="A121" s="40">
        <v>1953</v>
      </c>
      <c r="B121" s="79" t="s">
        <v>168</v>
      </c>
      <c r="C121" s="46">
        <v>1532769</v>
      </c>
      <c r="D121" s="97">
        <v>0</v>
      </c>
      <c r="E121" s="10">
        <f>C121+D121</f>
        <v>1532769</v>
      </c>
      <c r="F121" s="23">
        <v>1676817</v>
      </c>
      <c r="G121" s="23">
        <v>0</v>
      </c>
      <c r="H121" s="16">
        <f>F121+G121</f>
        <v>1676817</v>
      </c>
      <c r="I121" s="16">
        <f>E121-H121</f>
        <v>-144048</v>
      </c>
      <c r="J121" s="23">
        <v>474278.6</v>
      </c>
      <c r="K121" s="23">
        <v>25954</v>
      </c>
      <c r="L121" s="46">
        <v>0</v>
      </c>
      <c r="M121" s="46">
        <v>7059.17</v>
      </c>
      <c r="N121" s="46">
        <v>0</v>
      </c>
      <c r="O121" s="46">
        <v>0</v>
      </c>
      <c r="P121" s="78">
        <f>I121-M121-J121-K121-N121-L121</f>
        <v>-651339.77</v>
      </c>
      <c r="Q121" s="155"/>
      <c r="R121" s="155"/>
      <c r="S121" s="45">
        <f>IF(-$P121&lt;VLOOKUP(A121,Eligibility!$A$3:$F$423,6,0),-P121,VLOOKUP(A121,Eligibility!$A$3:$F$423,6,0))</f>
        <v>651339.77</v>
      </c>
      <c r="T121" s="155"/>
      <c r="U121" s="155"/>
      <c r="V121" s="39"/>
      <c r="W121" s="155"/>
      <c r="X121" s="143"/>
      <c r="Y121" s="143"/>
      <c r="Z121" s="10"/>
      <c r="AA121" s="155"/>
      <c r="AB121" s="155"/>
      <c r="AC121" s="143"/>
      <c r="AD121" s="16"/>
      <c r="AE121" s="16"/>
      <c r="AF121" s="143"/>
      <c r="AG121" s="143"/>
      <c r="AH121" s="143"/>
      <c r="AI121" s="143"/>
      <c r="AJ121" s="143"/>
      <c r="AK121" s="16"/>
      <c r="AL121" s="16"/>
      <c r="AM121" s="143"/>
      <c r="AN121" s="177">
        <f>SUM(P121:AM121)-O121</f>
        <v>0</v>
      </c>
    </row>
    <row r="122" spans="1:40" ht="15" thickBot="1" x14ac:dyDescent="0.4">
      <c r="A122" s="40">
        <v>2009</v>
      </c>
      <c r="B122" s="79" t="s">
        <v>169</v>
      </c>
      <c r="C122" s="46">
        <v>625397</v>
      </c>
      <c r="D122" s="97">
        <v>0</v>
      </c>
      <c r="E122" s="10">
        <f>C122+D122</f>
        <v>625397</v>
      </c>
      <c r="F122" s="23">
        <v>838580</v>
      </c>
      <c r="G122" s="23">
        <v>0</v>
      </c>
      <c r="H122" s="16">
        <f>F122+G122</f>
        <v>838580</v>
      </c>
      <c r="I122" s="16">
        <f>E122-H122</f>
        <v>-213183</v>
      </c>
      <c r="J122" s="23">
        <v>54596</v>
      </c>
      <c r="K122" s="23">
        <v>25954</v>
      </c>
      <c r="L122" s="46">
        <v>0</v>
      </c>
      <c r="M122" s="46">
        <v>0</v>
      </c>
      <c r="N122" s="46">
        <v>0</v>
      </c>
      <c r="O122" s="46">
        <v>0</v>
      </c>
      <c r="P122" s="78">
        <f>I122-M122-J122-K122-N122-L122</f>
        <v>-293733</v>
      </c>
      <c r="Q122" s="155"/>
      <c r="R122" s="155"/>
      <c r="S122" s="45">
        <f>IF(-$P122&lt;VLOOKUP(A122,Eligibility!$A$3:$F$423,6,0),-P122,VLOOKUP(A122,Eligibility!$A$3:$F$423,6,0))</f>
        <v>293733</v>
      </c>
      <c r="T122" s="155"/>
      <c r="U122" s="155"/>
      <c r="V122" s="39"/>
      <c r="W122" s="155"/>
      <c r="X122" s="143"/>
      <c r="Y122" s="143"/>
      <c r="Z122" s="10"/>
      <c r="AA122" s="155"/>
      <c r="AB122" s="155"/>
      <c r="AC122" s="143"/>
      <c r="AD122" s="16"/>
      <c r="AE122" s="16"/>
      <c r="AF122" s="143"/>
      <c r="AG122" s="143"/>
      <c r="AH122" s="143"/>
      <c r="AI122" s="143"/>
      <c r="AJ122" s="143"/>
      <c r="AK122" s="16"/>
      <c r="AL122" s="16"/>
      <c r="AM122" s="143"/>
      <c r="AN122" s="177">
        <f>SUM(P122:AM122)-O122</f>
        <v>0</v>
      </c>
    </row>
    <row r="123" spans="1:40" ht="15" thickBot="1" x14ac:dyDescent="0.4">
      <c r="A123" s="40">
        <v>2044</v>
      </c>
      <c r="B123" s="79" t="s">
        <v>170</v>
      </c>
      <c r="C123" s="46">
        <v>865194</v>
      </c>
      <c r="D123" s="97">
        <v>0</v>
      </c>
      <c r="E123" s="10">
        <f>C123+D123</f>
        <v>865194</v>
      </c>
      <c r="F123" s="23">
        <v>268824</v>
      </c>
      <c r="G123" s="23">
        <v>12977</v>
      </c>
      <c r="H123" s="16">
        <f>F123+G123</f>
        <v>281801</v>
      </c>
      <c r="I123" s="16">
        <f>E123-H123</f>
        <v>583393</v>
      </c>
      <c r="J123" s="23">
        <v>0</v>
      </c>
      <c r="K123" s="23">
        <v>0</v>
      </c>
      <c r="L123" s="46">
        <v>0</v>
      </c>
      <c r="M123" s="46">
        <v>0</v>
      </c>
      <c r="N123" s="46">
        <v>0</v>
      </c>
      <c r="O123" s="46">
        <v>0</v>
      </c>
      <c r="P123" s="78">
        <f>I123-M123-J123-K123-N123-L123</f>
        <v>583393</v>
      </c>
      <c r="Q123" s="155"/>
      <c r="R123" s="155"/>
      <c r="S123" s="45">
        <f>IF(J123+K123+L123+M123+N123&lt;VLOOKUP(A123,Eligibility!$A$3:$F$423,6,0),J123+K123+L123+M123+N123,VLOOKUP(A123,Eligibility!$A$3:$F$423,6,0))</f>
        <v>0</v>
      </c>
      <c r="T123" s="155"/>
      <c r="U123" s="155"/>
      <c r="V123" s="39"/>
      <c r="W123" s="155"/>
      <c r="X123" s="143"/>
      <c r="Y123" s="143"/>
      <c r="Z123" s="10"/>
      <c r="AA123" s="155"/>
      <c r="AB123" s="155"/>
      <c r="AC123" s="143"/>
      <c r="AD123" s="16"/>
      <c r="AE123" s="16"/>
      <c r="AF123" s="143"/>
      <c r="AG123" s="143"/>
      <c r="AH123" s="143"/>
      <c r="AI123" s="143"/>
      <c r="AJ123" s="143"/>
      <c r="AK123" s="16"/>
      <c r="AL123" s="16"/>
      <c r="AM123" s="143"/>
      <c r="AN123" s="177">
        <f>SUM(P123:AM123)-O123</f>
        <v>583393</v>
      </c>
    </row>
    <row r="124" spans="1:40" ht="15" thickBot="1" x14ac:dyDescent="0.4">
      <c r="A124" s="40">
        <v>2051</v>
      </c>
      <c r="B124" s="79" t="s">
        <v>171</v>
      </c>
      <c r="C124" s="46">
        <v>368391</v>
      </c>
      <c r="D124" s="97">
        <v>0</v>
      </c>
      <c r="E124" s="10">
        <f>C124+D124</f>
        <v>368391</v>
      </c>
      <c r="F124" s="23">
        <v>1195559</v>
      </c>
      <c r="G124" s="23">
        <v>38931</v>
      </c>
      <c r="H124" s="16">
        <f>F124+G124</f>
        <v>1234490</v>
      </c>
      <c r="I124" s="16">
        <f>E124-H124</f>
        <v>-866099</v>
      </c>
      <c r="J124" s="23">
        <v>20750</v>
      </c>
      <c r="K124" s="23">
        <v>12977</v>
      </c>
      <c r="L124" s="46">
        <v>0</v>
      </c>
      <c r="M124" s="46">
        <v>0</v>
      </c>
      <c r="N124" s="46">
        <v>10294</v>
      </c>
      <c r="O124" s="46">
        <v>0</v>
      </c>
      <c r="P124" s="78">
        <f>I124-M124-J124-K124-N124-L124</f>
        <v>-910120</v>
      </c>
      <c r="Q124" s="155"/>
      <c r="R124" s="155"/>
      <c r="S124" s="45">
        <f>IF(-$P124&lt;VLOOKUP(A124,Eligibility!$A$3:$F$423,6,0),-P124,VLOOKUP(A124,Eligibility!$A$3:$F$423,6,0))</f>
        <v>910120</v>
      </c>
      <c r="T124" s="155"/>
      <c r="U124" s="155"/>
      <c r="V124" s="39"/>
      <c r="W124" s="155"/>
      <c r="X124" s="143"/>
      <c r="Y124" s="143"/>
      <c r="Z124" s="10"/>
      <c r="AA124" s="155"/>
      <c r="AB124" s="155"/>
      <c r="AC124" s="143"/>
      <c r="AD124" s="16"/>
      <c r="AE124" s="16"/>
      <c r="AF124" s="143"/>
      <c r="AG124" s="143"/>
      <c r="AH124" s="143"/>
      <c r="AI124" s="143"/>
      <c r="AJ124" s="143"/>
      <c r="AK124" s="16"/>
      <c r="AL124" s="16"/>
      <c r="AM124" s="143"/>
      <c r="AN124" s="177">
        <f>SUM(P124:AM124)-O124</f>
        <v>0</v>
      </c>
    </row>
    <row r="125" spans="1:40" ht="15" thickBot="1" x14ac:dyDescent="0.4">
      <c r="A125" s="40">
        <v>2058</v>
      </c>
      <c r="B125" s="79" t="s">
        <v>172</v>
      </c>
      <c r="C125" s="46">
        <v>774850</v>
      </c>
      <c r="D125" s="97">
        <v>0</v>
      </c>
      <c r="E125" s="10">
        <f>C125+D125</f>
        <v>774850</v>
      </c>
      <c r="F125" s="23">
        <v>1353548</v>
      </c>
      <c r="G125" s="23">
        <v>0</v>
      </c>
      <c r="H125" s="16">
        <f>F125+G125</f>
        <v>1353548</v>
      </c>
      <c r="I125" s="16">
        <f>E125-H125</f>
        <v>-578698</v>
      </c>
      <c r="J125" s="23">
        <v>377474</v>
      </c>
      <c r="K125" s="23">
        <v>196467.5</v>
      </c>
      <c r="L125" s="46">
        <v>0</v>
      </c>
      <c r="M125" s="46">
        <v>0</v>
      </c>
      <c r="N125" s="46">
        <v>0</v>
      </c>
      <c r="O125" s="46">
        <v>0</v>
      </c>
      <c r="P125" s="78">
        <f>I125-M125-J125-K125-N125-L125</f>
        <v>-1152639.5</v>
      </c>
      <c r="Q125" s="155"/>
      <c r="R125" s="155"/>
      <c r="S125" s="45">
        <f>IF(-$P125&lt;VLOOKUP(A125,Eligibility!$A$3:$F$423,6,0),-P125,VLOOKUP(A125,Eligibility!$A$3:$F$423,6,0))</f>
        <v>1152639.5</v>
      </c>
      <c r="T125" s="155"/>
      <c r="U125" s="155"/>
      <c r="V125" s="39"/>
      <c r="W125" s="155"/>
      <c r="X125" s="143"/>
      <c r="Y125" s="143"/>
      <c r="Z125" s="10"/>
      <c r="AA125" s="155"/>
      <c r="AB125" s="155"/>
      <c r="AC125" s="143"/>
      <c r="AD125" s="16"/>
      <c r="AE125" s="16"/>
      <c r="AF125" s="143"/>
      <c r="AG125" s="143"/>
      <c r="AH125" s="143"/>
      <c r="AI125" s="143"/>
      <c r="AJ125" s="143"/>
      <c r="AK125" s="16"/>
      <c r="AL125" s="16"/>
      <c r="AM125" s="143"/>
      <c r="AN125" s="177">
        <f>SUM(P125:AM125)-O125</f>
        <v>0</v>
      </c>
    </row>
    <row r="126" spans="1:40" ht="15" thickBot="1" x14ac:dyDescent="0.4">
      <c r="A126" s="40">
        <v>2114</v>
      </c>
      <c r="B126" s="79" t="s">
        <v>173</v>
      </c>
      <c r="C126" s="46">
        <v>192720</v>
      </c>
      <c r="D126" s="97">
        <v>0</v>
      </c>
      <c r="E126" s="10">
        <f>C126+D126</f>
        <v>192720</v>
      </c>
      <c r="F126" s="23">
        <v>204342</v>
      </c>
      <c r="G126" s="23">
        <v>0</v>
      </c>
      <c r="H126" s="16">
        <f>F126+G126</f>
        <v>204342</v>
      </c>
      <c r="I126" s="16">
        <f>E126-H126</f>
        <v>-11622</v>
      </c>
      <c r="J126" s="23">
        <v>0</v>
      </c>
      <c r="K126" s="23">
        <v>0</v>
      </c>
      <c r="L126" s="46">
        <v>0</v>
      </c>
      <c r="M126" s="46">
        <v>0</v>
      </c>
      <c r="N126" s="46">
        <v>0</v>
      </c>
      <c r="O126" s="46">
        <v>0</v>
      </c>
      <c r="P126" s="78">
        <f>I126-M126-J126-K126-N126-L126</f>
        <v>-11622</v>
      </c>
      <c r="Q126" s="155"/>
      <c r="R126" s="155"/>
      <c r="S126" s="45">
        <f>IF(-$P126&lt;VLOOKUP(A126,Eligibility!$A$3:$F$423,6,0),-P126,VLOOKUP(A126,Eligibility!$A$3:$F$423,6,0))</f>
        <v>0</v>
      </c>
      <c r="T126" s="155">
        <v>865</v>
      </c>
      <c r="U126" s="155"/>
      <c r="V126" s="39">
        <v>756</v>
      </c>
      <c r="W126" s="155"/>
      <c r="X126" s="143"/>
      <c r="Y126" s="143"/>
      <c r="Z126" s="10"/>
      <c r="AA126" s="155"/>
      <c r="AB126" s="155"/>
      <c r="AC126" s="143"/>
      <c r="AD126" s="16">
        <v>3485</v>
      </c>
      <c r="AE126" s="16">
        <f>6513.4+2.6</f>
        <v>6516</v>
      </c>
      <c r="AF126" s="143"/>
      <c r="AG126" s="143"/>
      <c r="AH126" s="143"/>
      <c r="AI126" s="143"/>
      <c r="AJ126" s="143"/>
      <c r="AK126" s="16"/>
      <c r="AL126" s="16"/>
      <c r="AM126" s="143"/>
      <c r="AN126" s="177">
        <f>SUM(P126:AM126)-O126</f>
        <v>0</v>
      </c>
    </row>
    <row r="127" spans="1:40" ht="15" thickBot="1" x14ac:dyDescent="0.4">
      <c r="A127" s="40">
        <v>2128</v>
      </c>
      <c r="B127" s="79" t="s">
        <v>174</v>
      </c>
      <c r="C127" s="46">
        <v>270997</v>
      </c>
      <c r="D127" s="97">
        <v>0</v>
      </c>
      <c r="E127" s="10">
        <f>C127+D127</f>
        <v>270997</v>
      </c>
      <c r="F127" s="23">
        <v>581189</v>
      </c>
      <c r="G127" s="23">
        <v>0</v>
      </c>
      <c r="H127" s="16">
        <f>F127+G127</f>
        <v>581189</v>
      </c>
      <c r="I127" s="16">
        <f>E127-H127</f>
        <v>-310192</v>
      </c>
      <c r="J127" s="23">
        <v>63542</v>
      </c>
      <c r="K127" s="23">
        <v>0</v>
      </c>
      <c r="L127" s="46">
        <v>0</v>
      </c>
      <c r="M127" s="46">
        <v>0</v>
      </c>
      <c r="N127" s="46">
        <v>0</v>
      </c>
      <c r="O127" s="46">
        <v>0</v>
      </c>
      <c r="P127" s="78">
        <f>I127-M127-J127-K127-N127-L127</f>
        <v>-373734</v>
      </c>
      <c r="Q127" s="155"/>
      <c r="R127" s="155"/>
      <c r="S127" s="45">
        <f>IF(-$P127&lt;VLOOKUP(A127,Eligibility!$A$3:$F$423,6,0),-P127,VLOOKUP(A127,Eligibility!$A$3:$F$423,6,0))</f>
        <v>373734</v>
      </c>
      <c r="T127" s="155"/>
      <c r="U127" s="155"/>
      <c r="V127" s="39"/>
      <c r="W127" s="155"/>
      <c r="X127" s="143"/>
      <c r="Y127" s="143"/>
      <c r="Z127" s="10"/>
      <c r="AA127" s="155"/>
      <c r="AB127" s="155"/>
      <c r="AC127" s="143"/>
      <c r="AD127" s="16"/>
      <c r="AE127" s="16"/>
      <c r="AF127" s="143"/>
      <c r="AG127" s="143"/>
      <c r="AH127" s="143"/>
      <c r="AI127" s="143"/>
      <c r="AJ127" s="143"/>
      <c r="AK127" s="16"/>
      <c r="AL127" s="16"/>
      <c r="AM127" s="143"/>
      <c r="AN127" s="177">
        <f>SUM(P127:AM127)-O127</f>
        <v>0</v>
      </c>
    </row>
    <row r="128" spans="1:40" ht="15" thickBot="1" x14ac:dyDescent="0.4">
      <c r="A128" s="40">
        <v>2135</v>
      </c>
      <c r="B128" s="79" t="s">
        <v>175</v>
      </c>
      <c r="C128" s="46">
        <v>462290</v>
      </c>
      <c r="D128" s="97">
        <v>0</v>
      </c>
      <c r="E128" s="10">
        <f>C128+D128</f>
        <v>462290</v>
      </c>
      <c r="F128" s="23">
        <v>545252</v>
      </c>
      <c r="G128" s="23">
        <v>0</v>
      </c>
      <c r="H128" s="16">
        <f>F128+G128</f>
        <v>545252</v>
      </c>
      <c r="I128" s="16">
        <f>E128-H128</f>
        <v>-82962</v>
      </c>
      <c r="J128" s="23">
        <v>0</v>
      </c>
      <c r="K128" s="23">
        <v>0</v>
      </c>
      <c r="L128" s="46">
        <v>0</v>
      </c>
      <c r="M128" s="46">
        <v>0</v>
      </c>
      <c r="N128" s="46">
        <v>0</v>
      </c>
      <c r="O128" s="46">
        <v>0</v>
      </c>
      <c r="P128" s="78">
        <f>I128-M128-J128-K128-N128-L128</f>
        <v>-82962</v>
      </c>
      <c r="Q128" s="155"/>
      <c r="R128" s="155"/>
      <c r="S128" s="45">
        <f>IF(-$P128&lt;VLOOKUP(A128,Eligibility!$A$3:$F$423,6,0),-P128,VLOOKUP(A128,Eligibility!$A$3:$F$423,6,0))</f>
        <v>82962</v>
      </c>
      <c r="T128" s="155"/>
      <c r="U128" s="155"/>
      <c r="V128" s="39"/>
      <c r="W128" s="155"/>
      <c r="X128" s="143"/>
      <c r="Y128" s="143"/>
      <c r="Z128" s="10"/>
      <c r="AA128" s="155"/>
      <c r="AB128" s="155"/>
      <c r="AC128" s="143"/>
      <c r="AD128" s="16"/>
      <c r="AE128" s="16"/>
      <c r="AF128" s="143"/>
      <c r="AG128" s="143"/>
      <c r="AH128" s="143"/>
      <c r="AI128" s="143"/>
      <c r="AJ128" s="143"/>
      <c r="AK128" s="16"/>
      <c r="AL128" s="16"/>
      <c r="AM128" s="143"/>
      <c r="AN128" s="177">
        <f>SUM(P128:AM128)-O128</f>
        <v>0</v>
      </c>
    </row>
    <row r="129" spans="1:40" ht="15" thickBot="1" x14ac:dyDescent="0.4">
      <c r="A129" s="40">
        <v>2142</v>
      </c>
      <c r="B129" s="79" t="s">
        <v>176</v>
      </c>
      <c r="C129" s="46">
        <v>234081</v>
      </c>
      <c r="D129" s="97">
        <v>0</v>
      </c>
      <c r="E129" s="10">
        <f>C129+D129</f>
        <v>234081</v>
      </c>
      <c r="F129" s="23">
        <v>291551</v>
      </c>
      <c r="G129" s="23">
        <v>0</v>
      </c>
      <c r="H129" s="16">
        <f>F129+G129</f>
        <v>291551</v>
      </c>
      <c r="I129" s="16">
        <f>E129-H129</f>
        <v>-57470</v>
      </c>
      <c r="J129" s="23">
        <v>0</v>
      </c>
      <c r="K129" s="23">
        <v>0</v>
      </c>
      <c r="L129" s="46">
        <v>0</v>
      </c>
      <c r="M129" s="46">
        <v>0</v>
      </c>
      <c r="N129" s="46">
        <v>0</v>
      </c>
      <c r="O129" s="46">
        <v>0</v>
      </c>
      <c r="P129" s="78">
        <f>I129-M129-J129-K129-N129-L129</f>
        <v>-57470</v>
      </c>
      <c r="Q129" s="155"/>
      <c r="R129" s="155"/>
      <c r="S129" s="45">
        <f>IF(-$P129&lt;VLOOKUP(A129,Eligibility!$A$3:$F$423,6,0),-P129,VLOOKUP(A129,Eligibility!$A$3:$F$423,6,0))</f>
        <v>57470</v>
      </c>
      <c r="T129" s="155"/>
      <c r="U129" s="155"/>
      <c r="V129" s="39"/>
      <c r="W129" s="155"/>
      <c r="X129" s="143"/>
      <c r="Y129" s="143"/>
      <c r="Z129" s="10"/>
      <c r="AA129" s="155"/>
      <c r="AB129" s="155"/>
      <c r="AC129" s="143"/>
      <c r="AD129" s="16"/>
      <c r="AE129" s="16"/>
      <c r="AF129" s="143"/>
      <c r="AG129" s="143"/>
      <c r="AH129" s="143"/>
      <c r="AI129" s="143"/>
      <c r="AJ129" s="143"/>
      <c r="AK129" s="16"/>
      <c r="AL129" s="16"/>
      <c r="AM129" s="143"/>
      <c r="AN129" s="177">
        <f>SUM(P129:AM129)-O129</f>
        <v>0</v>
      </c>
    </row>
    <row r="130" spans="1:40" ht="15" thickBot="1" x14ac:dyDescent="0.4">
      <c r="A130" s="40">
        <v>2184</v>
      </c>
      <c r="B130" s="79" t="s">
        <v>177</v>
      </c>
      <c r="C130" s="46">
        <v>1026740</v>
      </c>
      <c r="D130" s="97">
        <v>0</v>
      </c>
      <c r="E130" s="10">
        <f>C130+D130</f>
        <v>1026740</v>
      </c>
      <c r="F130" s="23">
        <v>748747</v>
      </c>
      <c r="G130" s="23">
        <v>0</v>
      </c>
      <c r="H130" s="16">
        <f>F130+G130</f>
        <v>748747</v>
      </c>
      <c r="I130" s="16">
        <f>E130-H130</f>
        <v>277993</v>
      </c>
      <c r="J130" s="23">
        <v>174300</v>
      </c>
      <c r="K130" s="23">
        <v>66696.5</v>
      </c>
      <c r="L130" s="46">
        <v>0</v>
      </c>
      <c r="M130" s="46">
        <v>0</v>
      </c>
      <c r="N130" s="46">
        <v>0</v>
      </c>
      <c r="O130" s="46">
        <v>0</v>
      </c>
      <c r="P130" s="78">
        <f>I130-M130-J130-K130-N130-L130</f>
        <v>36996.5</v>
      </c>
      <c r="Q130" s="155">
        <v>59064</v>
      </c>
      <c r="R130" s="155">
        <v>66469</v>
      </c>
      <c r="S130" s="45">
        <f>IF(J130+K130+L130+M130+N130&lt;VLOOKUP(A130,Eligibility!$A$3:$F$423,6,0),J130+K130+L130+M130+N130,VLOOKUP(A130,Eligibility!$A$3:$F$423,6,0))</f>
        <v>93057</v>
      </c>
      <c r="T130" s="155">
        <v>819</v>
      </c>
      <c r="U130" s="155">
        <v>512</v>
      </c>
      <c r="V130" s="39">
        <v>716</v>
      </c>
      <c r="W130" s="155"/>
      <c r="X130" s="143"/>
      <c r="Y130" s="143"/>
      <c r="Z130" s="10"/>
      <c r="AA130" s="155">
        <v>5571</v>
      </c>
      <c r="AB130" s="155"/>
      <c r="AC130" s="143"/>
      <c r="AD130" s="16">
        <v>1633</v>
      </c>
      <c r="AE130" s="16"/>
      <c r="AF130" s="143"/>
      <c r="AG130" s="143"/>
      <c r="AH130" s="143"/>
      <c r="AI130" s="143"/>
      <c r="AJ130" s="143"/>
      <c r="AK130" s="16">
        <f>6665.28+6488.5+1.72</f>
        <v>13155.5</v>
      </c>
      <c r="AL130" s="16"/>
      <c r="AM130" s="143"/>
      <c r="AN130" s="177">
        <f>SUM(P130:AM130)-O130</f>
        <v>277993</v>
      </c>
    </row>
    <row r="131" spans="1:40" ht="15" thickBot="1" x14ac:dyDescent="0.4">
      <c r="A131" s="40">
        <v>2198</v>
      </c>
      <c r="B131" s="79" t="s">
        <v>178</v>
      </c>
      <c r="C131" s="46">
        <v>504094</v>
      </c>
      <c r="D131" s="97">
        <v>0</v>
      </c>
      <c r="E131" s="10">
        <f>C131+D131</f>
        <v>504094</v>
      </c>
      <c r="F131" s="23">
        <v>810535</v>
      </c>
      <c r="G131" s="23">
        <v>0</v>
      </c>
      <c r="H131" s="16">
        <f>F131+G131</f>
        <v>810535</v>
      </c>
      <c r="I131" s="16">
        <f>E131-H131</f>
        <v>-306441</v>
      </c>
      <c r="J131" s="23">
        <v>0</v>
      </c>
      <c r="K131" s="23">
        <v>0</v>
      </c>
      <c r="L131" s="46">
        <v>0</v>
      </c>
      <c r="M131" s="46">
        <v>0</v>
      </c>
      <c r="N131" s="46">
        <v>0</v>
      </c>
      <c r="O131" s="46">
        <v>0</v>
      </c>
      <c r="P131" s="78">
        <f>I131-M131-J131-K131-N131-L131</f>
        <v>-306441</v>
      </c>
      <c r="Q131" s="155"/>
      <c r="R131" s="155"/>
      <c r="S131" s="45">
        <f>IF(-$P131&lt;VLOOKUP(A131,Eligibility!$A$3:$F$423,6,0),-P131,VLOOKUP(A131,Eligibility!$A$3:$F$423,6,0))</f>
        <v>306441</v>
      </c>
      <c r="T131" s="155"/>
      <c r="U131" s="155"/>
      <c r="V131" s="39"/>
      <c r="W131" s="155"/>
      <c r="X131" s="143"/>
      <c r="Y131" s="143"/>
      <c r="Z131" s="10"/>
      <c r="AA131" s="155"/>
      <c r="AB131" s="155"/>
      <c r="AC131" s="143"/>
      <c r="AD131" s="16"/>
      <c r="AE131" s="16"/>
      <c r="AF131" s="143"/>
      <c r="AG131" s="143"/>
      <c r="AH131" s="143"/>
      <c r="AI131" s="143"/>
      <c r="AJ131" s="143"/>
      <c r="AK131" s="16"/>
      <c r="AL131" s="16"/>
      <c r="AM131" s="143"/>
      <c r="AN131" s="177">
        <f>SUM(P131:AM131)-O131</f>
        <v>0</v>
      </c>
    </row>
    <row r="132" spans="1:40" ht="15" thickBot="1" x14ac:dyDescent="0.4">
      <c r="A132" s="40">
        <v>2212</v>
      </c>
      <c r="B132" s="79" t="s">
        <v>179</v>
      </c>
      <c r="C132" s="46">
        <v>94250</v>
      </c>
      <c r="D132" s="97">
        <v>0</v>
      </c>
      <c r="E132" s="10">
        <f>C132+D132</f>
        <v>94250</v>
      </c>
      <c r="F132" s="23">
        <v>167437</v>
      </c>
      <c r="G132" s="23">
        <v>0</v>
      </c>
      <c r="H132" s="16">
        <f>F132+G132</f>
        <v>167437</v>
      </c>
      <c r="I132" s="16">
        <f>E132-H132</f>
        <v>-73187</v>
      </c>
      <c r="J132" s="23">
        <v>0</v>
      </c>
      <c r="K132" s="23">
        <v>0</v>
      </c>
      <c r="L132" s="46">
        <v>0</v>
      </c>
      <c r="M132" s="46">
        <v>0</v>
      </c>
      <c r="N132" s="46">
        <v>0</v>
      </c>
      <c r="O132" s="46">
        <v>0</v>
      </c>
      <c r="P132" s="78">
        <f>I132-M132-J132-K132-N132-L132</f>
        <v>-73187</v>
      </c>
      <c r="Q132" s="155">
        <v>11231</v>
      </c>
      <c r="R132" s="155">
        <v>12071</v>
      </c>
      <c r="S132" s="45">
        <f>IF(-$P132&lt;VLOOKUP(A132,Eligibility!$A$3:$F$423,6,0),-P132,VLOOKUP(A132,Eligibility!$A$3:$F$423,6,0))</f>
        <v>16899</v>
      </c>
      <c r="T132" s="155">
        <v>4637</v>
      </c>
      <c r="U132" s="155">
        <v>9049</v>
      </c>
      <c r="V132" s="39">
        <f>12669-973</f>
        <v>11696</v>
      </c>
      <c r="W132" s="155">
        <v>7604</v>
      </c>
      <c r="X132" s="143"/>
      <c r="Y132" s="143"/>
      <c r="Z132" s="10"/>
      <c r="AA132" s="155"/>
      <c r="AB132" s="155"/>
      <c r="AC132" s="143"/>
      <c r="AD132" s="16"/>
      <c r="AE132" s="16"/>
      <c r="AF132" s="143"/>
      <c r="AG132" s="143"/>
      <c r="AH132" s="143"/>
      <c r="AI132" s="143"/>
      <c r="AJ132" s="143"/>
      <c r="AK132" s="16"/>
      <c r="AL132" s="16"/>
      <c r="AM132" s="143"/>
      <c r="AN132" s="177">
        <f>SUM(P132:AM132)-O132</f>
        <v>0</v>
      </c>
    </row>
    <row r="133" spans="1:40" ht="15" thickBot="1" x14ac:dyDescent="0.4">
      <c r="A133" s="40">
        <v>2217</v>
      </c>
      <c r="B133" s="79" t="s">
        <v>180</v>
      </c>
      <c r="C133" s="46">
        <v>1319446</v>
      </c>
      <c r="D133" s="97">
        <v>0</v>
      </c>
      <c r="E133" s="10">
        <f>C133+D133</f>
        <v>1319446</v>
      </c>
      <c r="F133" s="23">
        <v>854014</v>
      </c>
      <c r="G133" s="23">
        <v>0</v>
      </c>
      <c r="H133" s="16">
        <f>F133+G133</f>
        <v>854014</v>
      </c>
      <c r="I133" s="16">
        <f>E133-H133</f>
        <v>465432</v>
      </c>
      <c r="J133" s="23">
        <v>305072</v>
      </c>
      <c r="K133" s="23">
        <v>58396.5</v>
      </c>
      <c r="L133" s="46">
        <v>0</v>
      </c>
      <c r="M133" s="46">
        <v>0</v>
      </c>
      <c r="N133" s="46">
        <v>10847</v>
      </c>
      <c r="O133" s="46">
        <v>0</v>
      </c>
      <c r="P133" s="78">
        <f>I133-M133-J133-K133-N133-L133</f>
        <v>91116.5</v>
      </c>
      <c r="Q133" s="155"/>
      <c r="R133" s="155"/>
      <c r="S133" s="45">
        <f>IF(J133+K133+L133+M133+N133&lt;VLOOKUP(A133,Eligibility!$A$3:$F$423,6,0),J133+K133+L133+M133+N133,VLOOKUP(A133,Eligibility!$A$3:$F$423,6,0))</f>
        <v>374315.5</v>
      </c>
      <c r="T133" s="155"/>
      <c r="U133" s="155"/>
      <c r="V133" s="39"/>
      <c r="W133" s="155"/>
      <c r="X133" s="143"/>
      <c r="Y133" s="143"/>
      <c r="Z133" s="10"/>
      <c r="AA133" s="155"/>
      <c r="AB133" s="155"/>
      <c r="AC133" s="143"/>
      <c r="AD133" s="16"/>
      <c r="AE133" s="16"/>
      <c r="AF133" s="143"/>
      <c r="AG133" s="143"/>
      <c r="AH133" s="143"/>
      <c r="AI133" s="143"/>
      <c r="AJ133" s="143"/>
      <c r="AK133" s="16"/>
      <c r="AL133" s="16"/>
      <c r="AM133" s="143"/>
      <c r="AN133" s="177">
        <f>SUM(P133:AM133)-O133</f>
        <v>465432</v>
      </c>
    </row>
    <row r="134" spans="1:40" ht="15" thickBot="1" x14ac:dyDescent="0.4">
      <c r="A134" s="40">
        <v>2226</v>
      </c>
      <c r="B134" s="79" t="s">
        <v>181</v>
      </c>
      <c r="C134" s="46">
        <v>365315</v>
      </c>
      <c r="D134" s="97">
        <v>0</v>
      </c>
      <c r="E134" s="10">
        <f>C134+D134</f>
        <v>365315</v>
      </c>
      <c r="F134" s="23">
        <v>574908</v>
      </c>
      <c r="G134" s="23">
        <v>12977</v>
      </c>
      <c r="H134" s="16">
        <f>F134+G134</f>
        <v>587885</v>
      </c>
      <c r="I134" s="16">
        <f>E134-H134</f>
        <v>-222570</v>
      </c>
      <c r="J134" s="23">
        <v>24900</v>
      </c>
      <c r="K134" s="23">
        <v>0</v>
      </c>
      <c r="L134" s="46">
        <v>0</v>
      </c>
      <c r="M134" s="46">
        <v>0</v>
      </c>
      <c r="N134" s="46">
        <v>0</v>
      </c>
      <c r="O134" s="46">
        <v>0</v>
      </c>
      <c r="P134" s="78">
        <f>I134-M134-J134-K134-N134-L134</f>
        <v>-247470</v>
      </c>
      <c r="Q134" s="155"/>
      <c r="R134" s="155"/>
      <c r="S134" s="45">
        <f>IF(-$P134&lt;VLOOKUP(A134,Eligibility!$A$3:$F$423,6,0),-P134,VLOOKUP(A134,Eligibility!$A$3:$F$423,6,0))</f>
        <v>247470</v>
      </c>
      <c r="T134" s="155"/>
      <c r="U134" s="155"/>
      <c r="V134" s="39"/>
      <c r="W134" s="155"/>
      <c r="X134" s="143"/>
      <c r="Y134" s="143"/>
      <c r="Z134" s="10"/>
      <c r="AA134" s="155"/>
      <c r="AB134" s="155"/>
      <c r="AC134" s="143"/>
      <c r="AD134" s="16"/>
      <c r="AE134" s="16"/>
      <c r="AF134" s="143"/>
      <c r="AG134" s="143"/>
      <c r="AH134" s="143"/>
      <c r="AI134" s="143"/>
      <c r="AJ134" s="143"/>
      <c r="AK134" s="10"/>
      <c r="AL134" s="16"/>
      <c r="AM134" s="143"/>
      <c r="AN134" s="177">
        <f>SUM(P134:AM134)-O134</f>
        <v>0</v>
      </c>
    </row>
    <row r="135" spans="1:40" ht="15" thickBot="1" x14ac:dyDescent="0.4">
      <c r="A135" s="40">
        <v>2233</v>
      </c>
      <c r="B135" s="79" t="s">
        <v>182</v>
      </c>
      <c r="C135" s="46">
        <v>9398201</v>
      </c>
      <c r="D135" s="97">
        <v>0</v>
      </c>
      <c r="E135" s="10">
        <f>C135+D135</f>
        <v>9398201</v>
      </c>
      <c r="F135" s="23">
        <v>261685</v>
      </c>
      <c r="G135" s="23">
        <v>0</v>
      </c>
      <c r="H135" s="16">
        <f>F135+G135</f>
        <v>261685</v>
      </c>
      <c r="I135" s="16">
        <f>E135-H135</f>
        <v>9136516</v>
      </c>
      <c r="J135" s="23">
        <v>0</v>
      </c>
      <c r="K135" s="23">
        <v>0</v>
      </c>
      <c r="L135" s="46">
        <v>0</v>
      </c>
      <c r="M135" s="46">
        <v>0</v>
      </c>
      <c r="N135" s="46">
        <v>0</v>
      </c>
      <c r="O135" s="46">
        <v>0</v>
      </c>
      <c r="P135" s="78">
        <f>I135-M135-J135-K135-N135-L135</f>
        <v>9136516</v>
      </c>
      <c r="Q135" s="155"/>
      <c r="R135" s="155"/>
      <c r="S135" s="45">
        <f>IF(J135+K135+L135+M135+N135&lt;VLOOKUP(A135,Eligibility!$A$3:$F$423,6,0),J135+K135+L135+M135+N135,VLOOKUP(A135,Eligibility!$A$3:$F$423,6,0))</f>
        <v>0</v>
      </c>
      <c r="T135" s="155"/>
      <c r="U135" s="155"/>
      <c r="V135" s="39"/>
      <c r="W135" s="155"/>
      <c r="X135" s="143"/>
      <c r="Y135" s="143"/>
      <c r="Z135" s="10"/>
      <c r="AA135" s="155"/>
      <c r="AB135" s="155"/>
      <c r="AC135" s="143"/>
      <c r="AD135" s="16"/>
      <c r="AE135" s="16"/>
      <c r="AF135" s="143"/>
      <c r="AG135" s="143"/>
      <c r="AH135" s="143"/>
      <c r="AI135" s="143"/>
      <c r="AJ135" s="143"/>
      <c r="AK135" s="16"/>
      <c r="AL135" s="16"/>
      <c r="AM135" s="143"/>
      <c r="AN135" s="177">
        <f>SUM(P135:AM135)-O135</f>
        <v>9136516</v>
      </c>
    </row>
    <row r="136" spans="1:40" ht="15" thickBot="1" x14ac:dyDescent="0.4">
      <c r="A136" s="40">
        <v>2289</v>
      </c>
      <c r="B136" s="79" t="s">
        <v>183</v>
      </c>
      <c r="C136" s="46">
        <v>3940051</v>
      </c>
      <c r="D136" s="97">
        <v>0</v>
      </c>
      <c r="E136" s="10">
        <f>C136+D136</f>
        <v>3940051</v>
      </c>
      <c r="F136" s="23">
        <v>17874931</v>
      </c>
      <c r="G136" s="23">
        <v>21102</v>
      </c>
      <c r="H136" s="16">
        <f>F136+G136</f>
        <v>17896033</v>
      </c>
      <c r="I136" s="16">
        <f>E136-H136</f>
        <v>-13955982</v>
      </c>
      <c r="J136" s="23">
        <v>7327985.3700000001</v>
      </c>
      <c r="K136" s="23">
        <v>298471</v>
      </c>
      <c r="L136" s="46">
        <v>0</v>
      </c>
      <c r="M136" s="46">
        <v>70591.7</v>
      </c>
      <c r="N136" s="46">
        <v>0</v>
      </c>
      <c r="O136" s="46">
        <v>0</v>
      </c>
      <c r="P136" s="78">
        <f>I136-M136-J136-K136-N136-L136</f>
        <v>-21653030.07</v>
      </c>
      <c r="Q136" s="155"/>
      <c r="R136" s="155"/>
      <c r="S136" s="45">
        <f>IF(-$P136&lt;VLOOKUP(A136,Eligibility!$A$3:$F$423,6,0),-P136,VLOOKUP(A136,Eligibility!$A$3:$F$423,6,0))</f>
        <v>21653030.07</v>
      </c>
      <c r="T136" s="155"/>
      <c r="U136" s="155"/>
      <c r="V136" s="39"/>
      <c r="W136" s="155"/>
      <c r="X136" s="143"/>
      <c r="Y136" s="143"/>
      <c r="Z136" s="10"/>
      <c r="AA136" s="155"/>
      <c r="AB136" s="155"/>
      <c r="AC136" s="143"/>
      <c r="AD136" s="16"/>
      <c r="AE136" s="16"/>
      <c r="AF136" s="143"/>
      <c r="AG136" s="143"/>
      <c r="AH136" s="143"/>
      <c r="AI136" s="143"/>
      <c r="AJ136" s="143"/>
      <c r="AK136" s="16"/>
      <c r="AL136" s="16"/>
      <c r="AM136" s="143"/>
      <c r="AN136" s="177">
        <f>SUM(P136:AM136)-O136</f>
        <v>0</v>
      </c>
    </row>
    <row r="137" spans="1:40" ht="15" thickBot="1" x14ac:dyDescent="0.4">
      <c r="A137" s="40">
        <v>2310</v>
      </c>
      <c r="B137" s="79" t="s">
        <v>8</v>
      </c>
      <c r="C137" s="46">
        <v>871151</v>
      </c>
      <c r="D137" s="97">
        <v>0</v>
      </c>
      <c r="E137" s="10">
        <f>C137+D137</f>
        <v>871151</v>
      </c>
      <c r="F137" s="23">
        <v>566374</v>
      </c>
      <c r="G137" s="23">
        <v>0</v>
      </c>
      <c r="H137" s="16">
        <f>F137+G137</f>
        <v>566374</v>
      </c>
      <c r="I137" s="16">
        <f>E137-H137</f>
        <v>304777</v>
      </c>
      <c r="J137" s="23">
        <v>13419</v>
      </c>
      <c r="K137" s="23">
        <v>0</v>
      </c>
      <c r="L137" s="46">
        <v>0</v>
      </c>
      <c r="M137" s="46">
        <v>0</v>
      </c>
      <c r="N137" s="46">
        <v>1</v>
      </c>
      <c r="O137" s="46">
        <v>0</v>
      </c>
      <c r="P137" s="78">
        <f>I137-M137-J137-K137-N137-L137</f>
        <v>291357</v>
      </c>
      <c r="Q137" s="155"/>
      <c r="R137" s="155"/>
      <c r="S137" s="45">
        <f>IF(J137+K137+L137+M137+N137&lt;VLOOKUP(A137,Eligibility!$A$3:$F$423,6,0),J137+K137+L137+M137+N137,VLOOKUP(A137,Eligibility!$A$3:$F$423,6,0))</f>
        <v>0</v>
      </c>
      <c r="T137" s="155"/>
      <c r="U137" s="155"/>
      <c r="V137" s="39"/>
      <c r="W137" s="155"/>
      <c r="X137" s="143"/>
      <c r="Y137" s="143"/>
      <c r="Z137" s="10"/>
      <c r="AA137" s="155">
        <f>17892-4472</f>
        <v>13420</v>
      </c>
      <c r="AB137" s="155"/>
      <c r="AC137" s="143"/>
      <c r="AD137" s="16"/>
      <c r="AE137" s="16"/>
      <c r="AF137" s="143"/>
      <c r="AG137" s="143"/>
      <c r="AH137" s="143"/>
      <c r="AI137" s="143"/>
      <c r="AJ137" s="143"/>
      <c r="AK137" s="16"/>
      <c r="AL137" s="16"/>
      <c r="AM137" s="143"/>
      <c r="AN137" s="177">
        <f>SUM(P137:AM137)-O137</f>
        <v>304777</v>
      </c>
    </row>
    <row r="138" spans="1:40" ht="15" thickBot="1" x14ac:dyDescent="0.4">
      <c r="A138" s="40">
        <v>2296</v>
      </c>
      <c r="B138" s="79" t="s">
        <v>184</v>
      </c>
      <c r="C138" s="46">
        <v>1786685</v>
      </c>
      <c r="D138" s="97">
        <v>64458</v>
      </c>
      <c r="E138" s="10">
        <f>C138+D138</f>
        <v>1851143</v>
      </c>
      <c r="F138" s="23">
        <v>704864</v>
      </c>
      <c r="G138" s="23">
        <v>8125</v>
      </c>
      <c r="H138" s="16">
        <f>F138+G138</f>
        <v>712989</v>
      </c>
      <c r="I138" s="16">
        <f>E138-H138</f>
        <v>1138154</v>
      </c>
      <c r="J138" s="23">
        <v>252414</v>
      </c>
      <c r="K138" s="23">
        <v>0</v>
      </c>
      <c r="L138" s="46">
        <v>0</v>
      </c>
      <c r="M138" s="46">
        <v>0</v>
      </c>
      <c r="N138" s="46">
        <v>120505</v>
      </c>
      <c r="O138" s="46">
        <v>0</v>
      </c>
      <c r="P138" s="78">
        <f>I138-M138-J138-K138-N138-L138</f>
        <v>765235</v>
      </c>
      <c r="Q138" s="155"/>
      <c r="R138" s="155"/>
      <c r="S138" s="45">
        <f>IF(J138+K138+L138+M138+N138&lt;VLOOKUP(A138,Eligibility!$A$3:$F$423,6,0),J138+K138+L138+M138+N138,VLOOKUP(A138,Eligibility!$A$3:$F$423,6,0))</f>
        <v>372919</v>
      </c>
      <c r="T138" s="155"/>
      <c r="U138" s="155"/>
      <c r="V138" s="39"/>
      <c r="W138" s="155"/>
      <c r="X138" s="143"/>
      <c r="Y138" s="143"/>
      <c r="Z138" s="10"/>
      <c r="AA138" s="155"/>
      <c r="AB138" s="155"/>
      <c r="AC138" s="143"/>
      <c r="AD138" s="16"/>
      <c r="AE138" s="16"/>
      <c r="AF138" s="143"/>
      <c r="AG138" s="143"/>
      <c r="AH138" s="143"/>
      <c r="AI138" s="143"/>
      <c r="AJ138" s="143"/>
      <c r="AK138" s="16"/>
      <c r="AL138" s="16"/>
      <c r="AM138" s="143"/>
      <c r="AN138" s="177">
        <f>SUM(P138:AM138)-O138</f>
        <v>1138154</v>
      </c>
    </row>
    <row r="139" spans="1:40" ht="15" thickBot="1" x14ac:dyDescent="0.4">
      <c r="A139" s="40">
        <v>2303</v>
      </c>
      <c r="B139" s="79" t="s">
        <v>185</v>
      </c>
      <c r="C139" s="46">
        <v>3301066</v>
      </c>
      <c r="D139" s="97">
        <v>138893</v>
      </c>
      <c r="E139" s="10">
        <f>C139+D139</f>
        <v>3439959</v>
      </c>
      <c r="F139" s="23">
        <v>3911917</v>
      </c>
      <c r="G139" s="23">
        <v>56333</v>
      </c>
      <c r="H139" s="16">
        <f>F139+G139</f>
        <v>3968250</v>
      </c>
      <c r="I139" s="16">
        <f>E139-H139</f>
        <v>-528291</v>
      </c>
      <c r="J139" s="23">
        <v>936983.23</v>
      </c>
      <c r="K139" s="23">
        <v>25954</v>
      </c>
      <c r="L139" s="46">
        <v>0</v>
      </c>
      <c r="M139" s="46">
        <v>0</v>
      </c>
      <c r="N139" s="46">
        <v>0</v>
      </c>
      <c r="O139" s="46">
        <v>0</v>
      </c>
      <c r="P139" s="78">
        <f>I139-M139-J139-K139-N139-L139</f>
        <v>-1491228.23</v>
      </c>
      <c r="Q139" s="155"/>
      <c r="R139" s="155"/>
      <c r="S139" s="45">
        <f>IF(-$P139&lt;VLOOKUP(A139,Eligibility!$A$3:$F$423,6,0),-P139,VLOOKUP(A139,Eligibility!$A$3:$F$423,6,0))</f>
        <v>1491228.23</v>
      </c>
      <c r="T139" s="155"/>
      <c r="U139" s="155"/>
      <c r="V139" s="39"/>
      <c r="W139" s="155"/>
      <c r="X139" s="143"/>
      <c r="Y139" s="143"/>
      <c r="Z139" s="10"/>
      <c r="AA139" s="155"/>
      <c r="AB139" s="155"/>
      <c r="AC139" s="143"/>
      <c r="AD139" s="16"/>
      <c r="AE139" s="16"/>
      <c r="AF139" s="143"/>
      <c r="AG139" s="143"/>
      <c r="AH139" s="143"/>
      <c r="AI139" s="143"/>
      <c r="AJ139" s="143"/>
      <c r="AK139" s="16"/>
      <c r="AL139" s="16"/>
      <c r="AM139" s="143"/>
      <c r="AN139" s="177">
        <f>SUM(P139:AM139)-O139</f>
        <v>0</v>
      </c>
    </row>
    <row r="140" spans="1:40" ht="15" thickBot="1" x14ac:dyDescent="0.4">
      <c r="A140" s="40">
        <v>2394</v>
      </c>
      <c r="B140" s="79" t="s">
        <v>186</v>
      </c>
      <c r="C140" s="46">
        <v>95806</v>
      </c>
      <c r="D140" s="97">
        <v>0</v>
      </c>
      <c r="E140" s="10">
        <f>C140+D140</f>
        <v>95806</v>
      </c>
      <c r="F140" s="23">
        <v>330744</v>
      </c>
      <c r="G140" s="23">
        <v>0</v>
      </c>
      <c r="H140" s="16">
        <f>F140+G140</f>
        <v>330744</v>
      </c>
      <c r="I140" s="16">
        <f>E140-H140</f>
        <v>-234938</v>
      </c>
      <c r="J140" s="23">
        <v>8300</v>
      </c>
      <c r="K140" s="23">
        <v>0</v>
      </c>
      <c r="L140" s="46">
        <v>0</v>
      </c>
      <c r="M140" s="46">
        <v>0</v>
      </c>
      <c r="N140" s="46">
        <v>0</v>
      </c>
      <c r="O140" s="46">
        <v>0</v>
      </c>
      <c r="P140" s="78">
        <f>I140-M140-J140-K140-N140-L140</f>
        <v>-243238</v>
      </c>
      <c r="Q140" s="155"/>
      <c r="R140" s="155"/>
      <c r="S140" s="45">
        <f>IF(-$P140&lt;VLOOKUP(A140,Eligibility!$A$3:$F$423,6,0),-P140,VLOOKUP(A140,Eligibility!$A$3:$F$423,6,0))</f>
        <v>243238</v>
      </c>
      <c r="T140" s="155"/>
      <c r="U140" s="155"/>
      <c r="V140" s="39"/>
      <c r="W140" s="155"/>
      <c r="X140" s="143"/>
      <c r="Y140" s="143"/>
      <c r="Z140" s="10"/>
      <c r="AA140" s="155"/>
      <c r="AB140" s="155"/>
      <c r="AC140" s="143"/>
      <c r="AD140" s="16"/>
      <c r="AE140" s="16"/>
      <c r="AF140" s="143"/>
      <c r="AG140" s="143"/>
      <c r="AH140" s="143"/>
      <c r="AI140" s="143"/>
      <c r="AJ140" s="143"/>
      <c r="AK140" s="16"/>
      <c r="AL140" s="16"/>
      <c r="AM140" s="143"/>
      <c r="AN140" s="177">
        <f>SUM(P140:AM140)-O140</f>
        <v>0</v>
      </c>
    </row>
    <row r="141" spans="1:40" ht="15" thickBot="1" x14ac:dyDescent="0.4">
      <c r="A141" s="40">
        <v>2415</v>
      </c>
      <c r="B141" s="79" t="s">
        <v>187</v>
      </c>
      <c r="C141" s="46">
        <v>344226</v>
      </c>
      <c r="D141" s="97">
        <v>0</v>
      </c>
      <c r="E141" s="10">
        <f>C141+D141</f>
        <v>344226</v>
      </c>
      <c r="F141" s="23">
        <v>239299</v>
      </c>
      <c r="G141" s="23">
        <v>0</v>
      </c>
      <c r="H141" s="16">
        <f>F141+G141</f>
        <v>239299</v>
      </c>
      <c r="I141" s="16">
        <f>E141-H141</f>
        <v>104927</v>
      </c>
      <c r="J141" s="23">
        <v>24900</v>
      </c>
      <c r="K141" s="23">
        <v>0</v>
      </c>
      <c r="L141" s="46">
        <v>0</v>
      </c>
      <c r="M141" s="46">
        <v>0</v>
      </c>
      <c r="N141" s="46">
        <v>0</v>
      </c>
      <c r="O141" s="46">
        <v>0</v>
      </c>
      <c r="P141" s="78">
        <f>I141-M141-J141-K141-N141-L141</f>
        <v>80027</v>
      </c>
      <c r="Q141" s="155"/>
      <c r="R141" s="155"/>
      <c r="S141" s="45">
        <f>IF(J141+K141+L141+M141+N141&lt;VLOOKUP(A141,Eligibility!$A$3:$F$423,6,0),J141+K141+L141+M141+N141,VLOOKUP(A141,Eligibility!$A$3:$F$423,6,0))</f>
        <v>24900</v>
      </c>
      <c r="T141" s="155"/>
      <c r="U141" s="155"/>
      <c r="V141" s="39"/>
      <c r="W141" s="155"/>
      <c r="X141" s="143"/>
      <c r="Y141" s="143"/>
      <c r="Z141" s="10"/>
      <c r="AA141" s="155"/>
      <c r="AB141" s="155"/>
      <c r="AC141" s="143"/>
      <c r="AD141" s="16"/>
      <c r="AE141" s="16"/>
      <c r="AF141" s="143"/>
      <c r="AG141" s="143"/>
      <c r="AH141" s="143"/>
      <c r="AI141" s="143"/>
      <c r="AJ141" s="143"/>
      <c r="AK141" s="16"/>
      <c r="AL141" s="16"/>
      <c r="AM141" s="143"/>
      <c r="AN141" s="177">
        <f>SUM(P141:AM141)-O141</f>
        <v>104927</v>
      </c>
    </row>
    <row r="142" spans="1:40" ht="15" thickBot="1" x14ac:dyDescent="0.4">
      <c r="A142" s="40">
        <v>2420</v>
      </c>
      <c r="B142" s="79" t="s">
        <v>188</v>
      </c>
      <c r="C142" s="46">
        <v>923216</v>
      </c>
      <c r="D142" s="97">
        <v>50329</v>
      </c>
      <c r="E142" s="10">
        <f>C142+D142</f>
        <v>973545</v>
      </c>
      <c r="F142" s="23">
        <v>1179783</v>
      </c>
      <c r="G142" s="23">
        <v>0</v>
      </c>
      <c r="H142" s="16">
        <f>F142+G142</f>
        <v>1179783</v>
      </c>
      <c r="I142" s="16">
        <f>E142-H142</f>
        <v>-206238</v>
      </c>
      <c r="J142" s="23">
        <v>492382</v>
      </c>
      <c r="K142" s="23">
        <v>84350.5</v>
      </c>
      <c r="L142" s="46">
        <v>0</v>
      </c>
      <c r="M142" s="46">
        <v>7059.17</v>
      </c>
      <c r="N142" s="46">
        <v>0</v>
      </c>
      <c r="O142" s="46">
        <v>0</v>
      </c>
      <c r="P142" s="78">
        <f>I142-M142-J142-K142-N142-L142</f>
        <v>-790029.67</v>
      </c>
      <c r="Q142" s="155"/>
      <c r="R142" s="155"/>
      <c r="S142" s="45">
        <f>IF(-$P142&lt;VLOOKUP(A142,Eligibility!$A$3:$F$423,6,0),-P142,VLOOKUP(A142,Eligibility!$A$3:$F$423,6,0))</f>
        <v>790029.67</v>
      </c>
      <c r="T142" s="155"/>
      <c r="U142" s="155"/>
      <c r="V142" s="39"/>
      <c r="W142" s="155"/>
      <c r="X142" s="143"/>
      <c r="Y142" s="143"/>
      <c r="Z142" s="10"/>
      <c r="AA142" s="155"/>
      <c r="AB142" s="155"/>
      <c r="AC142" s="143"/>
      <c r="AD142" s="16"/>
      <c r="AE142" s="16"/>
      <c r="AF142" s="143"/>
      <c r="AG142" s="143"/>
      <c r="AH142" s="143"/>
      <c r="AI142" s="143"/>
      <c r="AJ142" s="143"/>
      <c r="AK142" s="16"/>
      <c r="AL142" s="16"/>
      <c r="AM142" s="143"/>
      <c r="AN142" s="177">
        <f>SUM(P142:AM142)-O142</f>
        <v>0</v>
      </c>
    </row>
    <row r="143" spans="1:40" ht="15" thickBot="1" x14ac:dyDescent="0.4">
      <c r="A143" s="40">
        <v>2443</v>
      </c>
      <c r="B143" s="79" t="s">
        <v>189</v>
      </c>
      <c r="C143" s="46">
        <v>503864</v>
      </c>
      <c r="D143" s="97">
        <v>0</v>
      </c>
      <c r="E143" s="10">
        <f>C143+D143</f>
        <v>503864</v>
      </c>
      <c r="F143" s="23">
        <v>3377041</v>
      </c>
      <c r="G143" s="23">
        <v>0</v>
      </c>
      <c r="H143" s="16">
        <f>F143+G143</f>
        <v>3377041</v>
      </c>
      <c r="I143" s="16">
        <f>E143-H143</f>
        <v>-2873177</v>
      </c>
      <c r="J143" s="23">
        <v>265600</v>
      </c>
      <c r="K143" s="23">
        <v>25954</v>
      </c>
      <c r="L143" s="46">
        <v>0</v>
      </c>
      <c r="M143" s="46">
        <v>0</v>
      </c>
      <c r="N143" s="46">
        <v>10168</v>
      </c>
      <c r="O143" s="46">
        <v>0</v>
      </c>
      <c r="P143" s="78">
        <f>I143-M143-J143-K143-N143-L143</f>
        <v>-3174899</v>
      </c>
      <c r="Q143" s="155"/>
      <c r="R143" s="155"/>
      <c r="S143" s="45">
        <f>IF(-$P143&lt;VLOOKUP(A143,Eligibility!$A$3:$F$423,6,0),-P143,VLOOKUP(A143,Eligibility!$A$3:$F$423,6,0))</f>
        <v>3174899</v>
      </c>
      <c r="T143" s="155"/>
      <c r="U143" s="155"/>
      <c r="V143" s="39"/>
      <c r="W143" s="155"/>
      <c r="X143" s="143"/>
      <c r="Y143" s="143"/>
      <c r="Z143" s="10"/>
      <c r="AA143" s="155"/>
      <c r="AB143" s="155"/>
      <c r="AC143" s="143"/>
      <c r="AD143" s="16"/>
      <c r="AE143" s="16"/>
      <c r="AF143" s="143"/>
      <c r="AG143" s="143"/>
      <c r="AH143" s="143"/>
      <c r="AI143" s="143"/>
      <c r="AJ143" s="143"/>
      <c r="AK143" s="16"/>
      <c r="AL143" s="16"/>
      <c r="AM143" s="143"/>
      <c r="AN143" s="177">
        <f>SUM(P143:AM143)-O143</f>
        <v>0</v>
      </c>
    </row>
    <row r="144" spans="1:40" ht="15" thickBot="1" x14ac:dyDescent="0.4">
      <c r="A144" s="40">
        <v>2436</v>
      </c>
      <c r="B144" s="79" t="s">
        <v>190</v>
      </c>
      <c r="C144" s="46">
        <v>408099</v>
      </c>
      <c r="D144" s="97">
        <v>0</v>
      </c>
      <c r="E144" s="10">
        <f>C144+D144</f>
        <v>408099</v>
      </c>
      <c r="F144" s="23">
        <v>1689049</v>
      </c>
      <c r="G144" s="23">
        <v>0</v>
      </c>
      <c r="H144" s="16">
        <f>F144+G144</f>
        <v>1689049</v>
      </c>
      <c r="I144" s="16">
        <f>E144-H144</f>
        <v>-1280950</v>
      </c>
      <c r="J144" s="23">
        <v>143136</v>
      </c>
      <c r="K144" s="23">
        <v>38931</v>
      </c>
      <c r="L144" s="46">
        <v>0</v>
      </c>
      <c r="M144" s="46">
        <v>7059.17</v>
      </c>
      <c r="N144" s="46">
        <v>0</v>
      </c>
      <c r="O144" s="46">
        <v>0</v>
      </c>
      <c r="P144" s="78">
        <f>I144-M144-J144-K144-N144-L144</f>
        <v>-1470076.17</v>
      </c>
      <c r="Q144" s="155"/>
      <c r="R144" s="155"/>
      <c r="S144" s="45">
        <f>IF(-$P144&lt;VLOOKUP(A144,Eligibility!$A$3:$F$423,6,0),-P144,VLOOKUP(A144,Eligibility!$A$3:$F$423,6,0))</f>
        <v>1470076.17</v>
      </c>
      <c r="T144" s="155"/>
      <c r="U144" s="155"/>
      <c r="V144" s="39"/>
      <c r="W144" s="155"/>
      <c r="X144" s="143"/>
      <c r="Y144" s="143"/>
      <c r="Z144" s="10"/>
      <c r="AA144" s="155"/>
      <c r="AB144" s="155"/>
      <c r="AC144" s="143"/>
      <c r="AD144" s="16"/>
      <c r="AE144" s="16"/>
      <c r="AF144" s="143"/>
      <c r="AG144" s="143"/>
      <c r="AH144" s="143"/>
      <c r="AI144" s="143"/>
      <c r="AJ144" s="143"/>
      <c r="AK144" s="16"/>
      <c r="AL144" s="16"/>
      <c r="AM144" s="143"/>
      <c r="AN144" s="177">
        <f>SUM(P144:AM144)-O144</f>
        <v>0</v>
      </c>
    </row>
    <row r="145" spans="1:40" ht="15" thickBot="1" x14ac:dyDescent="0.4">
      <c r="A145" s="40">
        <v>2460</v>
      </c>
      <c r="B145" s="79" t="s">
        <v>191</v>
      </c>
      <c r="C145" s="46">
        <v>887678</v>
      </c>
      <c r="D145" s="97">
        <v>8125</v>
      </c>
      <c r="E145" s="10">
        <f>C145+D145</f>
        <v>895803</v>
      </c>
      <c r="F145" s="23">
        <v>1489413</v>
      </c>
      <c r="G145" s="23">
        <v>8125</v>
      </c>
      <c r="H145" s="16">
        <f>F145+G145</f>
        <v>1497538</v>
      </c>
      <c r="I145" s="16">
        <f>E145-H145</f>
        <v>-601735</v>
      </c>
      <c r="J145" s="23">
        <v>129052.3</v>
      </c>
      <c r="K145" s="23">
        <v>55531</v>
      </c>
      <c r="L145" s="46">
        <v>0</v>
      </c>
      <c r="M145" s="46">
        <v>0</v>
      </c>
      <c r="N145" s="46">
        <v>0</v>
      </c>
      <c r="O145" s="46">
        <v>0</v>
      </c>
      <c r="P145" s="78">
        <f>I145-M145-J145-K145-N145-L145</f>
        <v>-786318.3</v>
      </c>
      <c r="Q145" s="155"/>
      <c r="R145" s="155"/>
      <c r="S145" s="45">
        <f>IF(-$P145&lt;VLOOKUP(A145,Eligibility!$A$3:$F$423,6,0),-P145,VLOOKUP(A145,Eligibility!$A$3:$F$423,6,0))</f>
        <v>786318.3</v>
      </c>
      <c r="T145" s="155"/>
      <c r="U145" s="155"/>
      <c r="V145" s="39"/>
      <c r="W145" s="155"/>
      <c r="X145" s="143"/>
      <c r="Y145" s="143"/>
      <c r="Z145" s="10"/>
      <c r="AA145" s="155"/>
      <c r="AB145" s="155"/>
      <c r="AC145" s="143"/>
      <c r="AD145" s="16"/>
      <c r="AE145" s="16"/>
      <c r="AF145" s="143"/>
      <c r="AG145" s="143"/>
      <c r="AH145" s="143"/>
      <c r="AI145" s="143"/>
      <c r="AJ145" s="143"/>
      <c r="AK145" s="16"/>
      <c r="AL145" s="16"/>
      <c r="AM145" s="143"/>
      <c r="AN145" s="177">
        <f>SUM(P145:AM145)-O145</f>
        <v>0</v>
      </c>
    </row>
    <row r="146" spans="1:40" ht="15" thickBot="1" x14ac:dyDescent="0.4">
      <c r="A146" s="40">
        <v>2478</v>
      </c>
      <c r="B146" s="79" t="s">
        <v>192</v>
      </c>
      <c r="C146" s="46">
        <v>2064683</v>
      </c>
      <c r="D146" s="97">
        <v>0</v>
      </c>
      <c r="E146" s="10">
        <f>C146+D146</f>
        <v>2064683</v>
      </c>
      <c r="F146" s="23">
        <v>473041</v>
      </c>
      <c r="G146" s="23">
        <v>0</v>
      </c>
      <c r="H146" s="16">
        <f>F146+G146</f>
        <v>473041</v>
      </c>
      <c r="I146" s="16">
        <f>E146-H146</f>
        <v>1591642</v>
      </c>
      <c r="J146" s="23">
        <v>0</v>
      </c>
      <c r="K146" s="23">
        <v>0</v>
      </c>
      <c r="L146" s="46">
        <v>34272</v>
      </c>
      <c r="M146" s="46">
        <v>0</v>
      </c>
      <c r="N146" s="46">
        <v>0</v>
      </c>
      <c r="O146" s="46">
        <v>0</v>
      </c>
      <c r="P146" s="78">
        <f>I146-M146-J146-K146-N146-L146</f>
        <v>1557370</v>
      </c>
      <c r="Q146" s="155"/>
      <c r="R146" s="155"/>
      <c r="S146" s="45">
        <f>IF(J146+K146+L146+M146+N146&lt;VLOOKUP(A146,Eligibility!$A$3:$F$423,6,0),J146+K146+L146+M146+N146,VLOOKUP(A146,Eligibility!$A$3:$F$423,6,0))</f>
        <v>34272</v>
      </c>
      <c r="T146" s="155"/>
      <c r="U146" s="155"/>
      <c r="V146" s="39"/>
      <c r="W146" s="155"/>
      <c r="X146" s="143"/>
      <c r="Y146" s="143"/>
      <c r="Z146" s="10"/>
      <c r="AA146" s="155"/>
      <c r="AB146" s="155"/>
      <c r="AC146" s="143"/>
      <c r="AD146" s="16"/>
      <c r="AE146" s="16"/>
      <c r="AF146" s="143"/>
      <c r="AG146" s="143"/>
      <c r="AH146" s="143"/>
      <c r="AI146" s="143"/>
      <c r="AJ146" s="143"/>
      <c r="AK146" s="16"/>
      <c r="AL146" s="16"/>
      <c r="AM146" s="143"/>
      <c r="AN146" s="177">
        <f>SUM(P146:AM146)-O146</f>
        <v>1591642</v>
      </c>
    </row>
    <row r="147" spans="1:40" ht="15" thickBot="1" x14ac:dyDescent="0.4">
      <c r="A147" s="40">
        <v>2525</v>
      </c>
      <c r="B147" s="79" t="s">
        <v>452</v>
      </c>
      <c r="C147" s="46">
        <v>357431</v>
      </c>
      <c r="D147" s="97">
        <v>0</v>
      </c>
      <c r="E147" s="10">
        <f>C147+D147</f>
        <v>357431</v>
      </c>
      <c r="F147" s="23">
        <v>644766</v>
      </c>
      <c r="G147" s="23">
        <v>0</v>
      </c>
      <c r="H147" s="16">
        <f>F147+G147</f>
        <v>644766</v>
      </c>
      <c r="I147" s="16">
        <f>E147-H147</f>
        <v>-287335</v>
      </c>
      <c r="J147" s="23">
        <v>62250</v>
      </c>
      <c r="K147" s="23">
        <v>0</v>
      </c>
      <c r="L147" s="46">
        <v>0</v>
      </c>
      <c r="M147" s="46">
        <v>0</v>
      </c>
      <c r="N147" s="46">
        <v>0</v>
      </c>
      <c r="O147" s="46">
        <v>0</v>
      </c>
      <c r="P147" s="78">
        <f>I147-M147-J147-K147-N147-L147</f>
        <v>-349585</v>
      </c>
      <c r="Q147" s="155"/>
      <c r="R147" s="155"/>
      <c r="S147" s="45">
        <f>IF(-$P147&lt;VLOOKUP(A147,Eligibility!$A$3:$F$423,6,0),-P147,VLOOKUP(A147,Eligibility!$A$3:$F$423,6,0))</f>
        <v>349585</v>
      </c>
      <c r="T147" s="155"/>
      <c r="U147" s="155"/>
      <c r="V147" s="39"/>
      <c r="W147" s="155"/>
      <c r="X147" s="143"/>
      <c r="Y147" s="143"/>
      <c r="Z147" s="10"/>
      <c r="AA147" s="155"/>
      <c r="AB147" s="155"/>
      <c r="AC147" s="143"/>
      <c r="AD147" s="16"/>
      <c r="AE147" s="16"/>
      <c r="AF147" s="143"/>
      <c r="AG147" s="143"/>
      <c r="AH147" s="143"/>
      <c r="AI147" s="143"/>
      <c r="AJ147" s="143"/>
      <c r="AK147" s="16"/>
      <c r="AL147" s="16"/>
      <c r="AM147" s="143"/>
      <c r="AN147" s="177">
        <f>SUM(P147:AM147)-O147</f>
        <v>0</v>
      </c>
    </row>
    <row r="148" spans="1:40" ht="15" thickBot="1" x14ac:dyDescent="0.4">
      <c r="A148" s="40">
        <v>2527</v>
      </c>
      <c r="B148" s="79" t="s">
        <v>193</v>
      </c>
      <c r="C148" s="46">
        <v>262328</v>
      </c>
      <c r="D148" s="97">
        <v>0</v>
      </c>
      <c r="E148" s="10">
        <f>C148+D148</f>
        <v>262328</v>
      </c>
      <c r="F148" s="23">
        <v>282252</v>
      </c>
      <c r="G148" s="23">
        <v>0</v>
      </c>
      <c r="H148" s="16">
        <f>F148+G148</f>
        <v>282252</v>
      </c>
      <c r="I148" s="16">
        <f>E148-H148</f>
        <v>-19924</v>
      </c>
      <c r="J148" s="23">
        <v>0</v>
      </c>
      <c r="K148" s="23">
        <v>0</v>
      </c>
      <c r="L148" s="46">
        <v>0</v>
      </c>
      <c r="M148" s="46">
        <v>0</v>
      </c>
      <c r="N148" s="46">
        <v>0</v>
      </c>
      <c r="O148" s="46">
        <v>0</v>
      </c>
      <c r="P148" s="78">
        <f>I148-M148-J148-K148-N148-L148</f>
        <v>-19924</v>
      </c>
      <c r="Q148" s="155"/>
      <c r="R148" s="155"/>
      <c r="S148" s="45">
        <f>IF(-$P148&lt;VLOOKUP(A148,Eligibility!$A$3:$F$423,6,0),-P148,VLOOKUP(A148,Eligibility!$A$3:$F$423,6,0))</f>
        <v>19924</v>
      </c>
      <c r="T148" s="155"/>
      <c r="U148" s="155"/>
      <c r="V148" s="39"/>
      <c r="W148" s="155"/>
      <c r="X148" s="143"/>
      <c r="Y148" s="143"/>
      <c r="Z148" s="10"/>
      <c r="AA148" s="155"/>
      <c r="AB148" s="155"/>
      <c r="AC148" s="143"/>
      <c r="AD148" s="16"/>
      <c r="AE148" s="16"/>
      <c r="AF148" s="143"/>
      <c r="AG148" s="143"/>
      <c r="AH148" s="143"/>
      <c r="AI148" s="143"/>
      <c r="AJ148" s="143"/>
      <c r="AK148" s="16"/>
      <c r="AL148" s="16"/>
      <c r="AM148" s="143"/>
      <c r="AN148" s="177">
        <f>SUM(P148:AM148)-O148</f>
        <v>0</v>
      </c>
    </row>
    <row r="149" spans="1:40" ht="15" thickBot="1" x14ac:dyDescent="0.4">
      <c r="A149" s="40">
        <v>2534</v>
      </c>
      <c r="B149" s="79" t="s">
        <v>194</v>
      </c>
      <c r="C149" s="46">
        <v>869230</v>
      </c>
      <c r="D149" s="97">
        <v>0</v>
      </c>
      <c r="E149" s="10">
        <f>C149+D149</f>
        <v>869230</v>
      </c>
      <c r="F149" s="23">
        <v>559243</v>
      </c>
      <c r="G149" s="23">
        <v>0</v>
      </c>
      <c r="H149" s="16">
        <f>F149+G149</f>
        <v>559243</v>
      </c>
      <c r="I149" s="16">
        <f>E149-H149</f>
        <v>309987</v>
      </c>
      <c r="J149" s="23">
        <v>112050</v>
      </c>
      <c r="K149" s="23">
        <v>0</v>
      </c>
      <c r="L149" s="46">
        <v>0</v>
      </c>
      <c r="M149" s="46">
        <v>0</v>
      </c>
      <c r="N149" s="46">
        <v>0</v>
      </c>
      <c r="O149" s="46">
        <v>0</v>
      </c>
      <c r="P149" s="78">
        <f>I149-M149-J149-K149-N149-L149</f>
        <v>197937</v>
      </c>
      <c r="Q149" s="155"/>
      <c r="R149" s="155"/>
      <c r="S149" s="45">
        <f>IF(J149+K149+L149+M149+N149&lt;VLOOKUP(A149,Eligibility!$A$3:$F$423,6,0),J149+K149+L149+M149+N149,VLOOKUP(A149,Eligibility!$A$3:$F$423,6,0))</f>
        <v>112050</v>
      </c>
      <c r="T149" s="155"/>
      <c r="U149" s="155"/>
      <c r="V149" s="39"/>
      <c r="W149" s="155"/>
      <c r="X149" s="143"/>
      <c r="Y149" s="143"/>
      <c r="Z149" s="10"/>
      <c r="AA149" s="155"/>
      <c r="AB149" s="155"/>
      <c r="AC149" s="143"/>
      <c r="AD149" s="16"/>
      <c r="AE149" s="16"/>
      <c r="AF149" s="143"/>
      <c r="AG149" s="143"/>
      <c r="AH149" s="143"/>
      <c r="AI149" s="143"/>
      <c r="AJ149" s="143"/>
      <c r="AK149" s="16"/>
      <c r="AL149" s="16"/>
      <c r="AM149" s="143"/>
      <c r="AN149" s="177">
        <f>SUM(P149:AM149)-O149</f>
        <v>309987</v>
      </c>
    </row>
    <row r="150" spans="1:40" ht="15" thickBot="1" x14ac:dyDescent="0.4">
      <c r="A150" s="40">
        <v>2541</v>
      </c>
      <c r="B150" s="79" t="s">
        <v>195</v>
      </c>
      <c r="C150" s="46">
        <v>477095</v>
      </c>
      <c r="D150" s="97">
        <v>0</v>
      </c>
      <c r="E150" s="10">
        <f>C150+D150</f>
        <v>477095</v>
      </c>
      <c r="F150" s="23">
        <v>267485</v>
      </c>
      <c r="G150" s="23">
        <v>0</v>
      </c>
      <c r="H150" s="16">
        <f>F150+G150</f>
        <v>267485</v>
      </c>
      <c r="I150" s="16">
        <f>E150-H150</f>
        <v>209610</v>
      </c>
      <c r="J150" s="23">
        <v>0</v>
      </c>
      <c r="K150" s="23">
        <v>0</v>
      </c>
      <c r="L150" s="46">
        <v>0</v>
      </c>
      <c r="M150" s="46">
        <v>14118.34</v>
      </c>
      <c r="N150" s="46">
        <v>0</v>
      </c>
      <c r="O150" s="46">
        <v>0</v>
      </c>
      <c r="P150" s="78">
        <f>I150-M150-J150-K150-N150-L150</f>
        <v>195491.66</v>
      </c>
      <c r="Q150" s="155"/>
      <c r="R150" s="155"/>
      <c r="S150" s="45">
        <f>IF(J150+K150+L150+M150+N150&lt;VLOOKUP(A150,Eligibility!$A$3:$F$423,6,0),J150+K150+L150+M150+N150,VLOOKUP(A150,Eligibility!$A$3:$F$423,6,0))</f>
        <v>14118.34</v>
      </c>
      <c r="T150" s="155"/>
      <c r="U150" s="155"/>
      <c r="V150" s="39"/>
      <c r="W150" s="155"/>
      <c r="X150" s="143"/>
      <c r="Y150" s="143"/>
      <c r="Z150" s="10"/>
      <c r="AA150" s="155"/>
      <c r="AB150" s="155"/>
      <c r="AC150" s="143"/>
      <c r="AD150" s="16"/>
      <c r="AE150" s="16"/>
      <c r="AF150" s="143"/>
      <c r="AG150" s="143"/>
      <c r="AH150" s="143"/>
      <c r="AI150" s="143"/>
      <c r="AJ150" s="143"/>
      <c r="AK150" s="16"/>
      <c r="AL150" s="16"/>
      <c r="AM150" s="143"/>
      <c r="AN150" s="177">
        <f>SUM(P150:AM150)-O150</f>
        <v>209610</v>
      </c>
    </row>
    <row r="151" spans="1:40" ht="15" thickBot="1" x14ac:dyDescent="0.4">
      <c r="A151" s="40">
        <v>2562</v>
      </c>
      <c r="B151" s="79" t="s">
        <v>196</v>
      </c>
      <c r="C151" s="46">
        <v>1537823</v>
      </c>
      <c r="D151" s="97">
        <v>0</v>
      </c>
      <c r="E151" s="10">
        <f>C151+D151</f>
        <v>1537823</v>
      </c>
      <c r="F151" s="23">
        <v>3727803</v>
      </c>
      <c r="G151" s="23">
        <v>0</v>
      </c>
      <c r="H151" s="16">
        <f>F151+G151</f>
        <v>3727803</v>
      </c>
      <c r="I151" s="16">
        <f>E151-H151</f>
        <v>-2189980</v>
      </c>
      <c r="J151" s="23">
        <v>685915</v>
      </c>
      <c r="K151" s="23">
        <v>139881.5</v>
      </c>
      <c r="L151" s="46">
        <v>0</v>
      </c>
      <c r="M151" s="46">
        <v>0</v>
      </c>
      <c r="N151" s="46">
        <v>0</v>
      </c>
      <c r="O151" s="46">
        <v>0</v>
      </c>
      <c r="P151" s="78">
        <f>I151-M151-J151-K151-N151-L151</f>
        <v>-3015776.5</v>
      </c>
      <c r="Q151" s="155"/>
      <c r="R151" s="155"/>
      <c r="S151" s="45">
        <f>IF(-$P151&lt;VLOOKUP(A151,Eligibility!$A$3:$F$423,6,0),-P151,VLOOKUP(A151,Eligibility!$A$3:$F$423,6,0))</f>
        <v>3015776.5</v>
      </c>
      <c r="T151" s="155"/>
      <c r="U151" s="155"/>
      <c r="V151" s="39"/>
      <c r="W151" s="155"/>
      <c r="X151" s="143"/>
      <c r="Y151" s="143"/>
      <c r="Z151" s="10"/>
      <c r="AA151" s="155"/>
      <c r="AB151" s="155"/>
      <c r="AC151" s="143"/>
      <c r="AD151" s="16"/>
      <c r="AE151" s="16"/>
      <c r="AF151" s="143"/>
      <c r="AG151" s="143"/>
      <c r="AH151" s="143"/>
      <c r="AI151" s="143"/>
      <c r="AJ151" s="143"/>
      <c r="AK151" s="16"/>
      <c r="AL151" s="16"/>
      <c r="AM151" s="143"/>
      <c r="AN151" s="177">
        <f>SUM(P151:AM151)-O151</f>
        <v>0</v>
      </c>
    </row>
    <row r="152" spans="1:40" ht="15" thickBot="1" x14ac:dyDescent="0.4">
      <c r="A152" s="40">
        <v>2570</v>
      </c>
      <c r="B152" s="79" t="s">
        <v>474</v>
      </c>
      <c r="C152" s="46">
        <v>499919</v>
      </c>
      <c r="D152" s="97">
        <v>0</v>
      </c>
      <c r="E152" s="10">
        <f>C152+D152</f>
        <v>499919</v>
      </c>
      <c r="F152" s="23">
        <v>495039</v>
      </c>
      <c r="G152" s="23">
        <v>0</v>
      </c>
      <c r="H152" s="16">
        <f>F152+G152</f>
        <v>495039</v>
      </c>
      <c r="I152" s="16">
        <f>E152-H152</f>
        <v>4880</v>
      </c>
      <c r="J152" s="23">
        <v>59760</v>
      </c>
      <c r="K152" s="23">
        <v>38931</v>
      </c>
      <c r="L152" s="46">
        <v>0</v>
      </c>
      <c r="M152" s="46">
        <v>0</v>
      </c>
      <c r="N152" s="46">
        <v>0</v>
      </c>
      <c r="O152" s="46">
        <v>0</v>
      </c>
      <c r="P152" s="78">
        <f>I152-M152-J152-K152-N152-L152</f>
        <v>-93811</v>
      </c>
      <c r="Q152" s="155"/>
      <c r="R152" s="155"/>
      <c r="S152" s="45">
        <f>IF(J152+K152+L152+M152+N152&lt;VLOOKUP(A152,Eligibility!$A$3:$F$423,6,0),J152+K152+L152+M152+N152,VLOOKUP(A152,Eligibility!$A$3:$F$423,6,0))</f>
        <v>98691</v>
      </c>
      <c r="T152" s="155"/>
      <c r="U152" s="155"/>
      <c r="V152" s="39"/>
      <c r="W152" s="155"/>
      <c r="X152" s="143"/>
      <c r="Y152" s="143"/>
      <c r="Z152" s="10"/>
      <c r="AA152" s="155"/>
      <c r="AB152" s="155"/>
      <c r="AC152" s="143"/>
      <c r="AD152" s="16"/>
      <c r="AE152" s="16"/>
      <c r="AF152" s="143"/>
      <c r="AG152" s="143"/>
      <c r="AH152" s="143"/>
      <c r="AI152" s="143"/>
      <c r="AJ152" s="143"/>
      <c r="AK152" s="16"/>
      <c r="AL152" s="16"/>
      <c r="AM152" s="143"/>
      <c r="AN152" s="177">
        <f>SUM(P152:AM152)-O152</f>
        <v>4880</v>
      </c>
    </row>
    <row r="153" spans="1:40" ht="15" thickBot="1" x14ac:dyDescent="0.4">
      <c r="A153" s="40">
        <v>2576</v>
      </c>
      <c r="B153" s="79" t="s">
        <v>197</v>
      </c>
      <c r="C153" s="46">
        <v>550079</v>
      </c>
      <c r="D153" s="97">
        <v>0</v>
      </c>
      <c r="E153" s="10">
        <f>C153+D153</f>
        <v>550079</v>
      </c>
      <c r="F153" s="23">
        <v>1573605</v>
      </c>
      <c r="G153" s="23">
        <v>0</v>
      </c>
      <c r="H153" s="16">
        <f>F153+G153</f>
        <v>1573605</v>
      </c>
      <c r="I153" s="16">
        <f>E153-H153</f>
        <v>-1023526</v>
      </c>
      <c r="J153" s="23">
        <v>100892</v>
      </c>
      <c r="K153" s="23">
        <v>25954</v>
      </c>
      <c r="L153" s="46">
        <v>0</v>
      </c>
      <c r="M153" s="46">
        <v>0</v>
      </c>
      <c r="N153" s="46">
        <v>0</v>
      </c>
      <c r="O153" s="46">
        <v>0</v>
      </c>
      <c r="P153" s="78">
        <f>I153-M153-J153-K153-N153-L153</f>
        <v>-1150372</v>
      </c>
      <c r="Q153" s="155"/>
      <c r="R153" s="155"/>
      <c r="S153" s="45">
        <f>IF(-$P153&lt;VLOOKUP(A153,Eligibility!$A$3:$F$423,6,0),-P153,VLOOKUP(A153,Eligibility!$A$3:$F$423,6,0))</f>
        <v>1150372</v>
      </c>
      <c r="T153" s="155"/>
      <c r="U153" s="155"/>
      <c r="V153" s="39"/>
      <c r="W153" s="155"/>
      <c r="X153" s="143"/>
      <c r="Y153" s="143"/>
      <c r="Z153" s="10"/>
      <c r="AA153" s="155"/>
      <c r="AB153" s="155"/>
      <c r="AC153" s="143"/>
      <c r="AD153" s="16"/>
      <c r="AE153" s="16"/>
      <c r="AF153" s="143"/>
      <c r="AG153" s="143"/>
      <c r="AH153" s="143"/>
      <c r="AI153" s="143"/>
      <c r="AJ153" s="143"/>
      <c r="AK153" s="16"/>
      <c r="AL153" s="16"/>
      <c r="AM153" s="143"/>
      <c r="AN153" s="177">
        <f>SUM(P153:AM153)-O153</f>
        <v>0</v>
      </c>
    </row>
    <row r="154" spans="1:40" ht="15" thickBot="1" x14ac:dyDescent="0.4">
      <c r="A154" s="40">
        <v>2583</v>
      </c>
      <c r="B154" s="79" t="s">
        <v>198</v>
      </c>
      <c r="C154" s="46">
        <v>3123792</v>
      </c>
      <c r="D154" s="97">
        <v>0</v>
      </c>
      <c r="E154" s="10">
        <f>C154+D154</f>
        <v>3123792</v>
      </c>
      <c r="F154" s="23">
        <v>1877272</v>
      </c>
      <c r="G154" s="23">
        <v>0</v>
      </c>
      <c r="H154" s="16">
        <f>F154+G154</f>
        <v>1877272</v>
      </c>
      <c r="I154" s="16">
        <f>E154-H154</f>
        <v>1246520</v>
      </c>
      <c r="J154" s="23">
        <v>869758</v>
      </c>
      <c r="K154" s="23">
        <v>64885</v>
      </c>
      <c r="L154" s="46">
        <v>0</v>
      </c>
      <c r="M154" s="46">
        <v>0</v>
      </c>
      <c r="N154" s="46">
        <v>0</v>
      </c>
      <c r="O154" s="46">
        <v>0</v>
      </c>
      <c r="P154" s="78">
        <f>I154-M154-J154-K154-N154-L154</f>
        <v>311877</v>
      </c>
      <c r="Q154" s="155"/>
      <c r="R154" s="155"/>
      <c r="S154" s="45">
        <f>IF(J154+K154+L154+M154+N154&lt;VLOOKUP(A154,Eligibility!$A$3:$F$423,6,0),J154+K154+L154+M154+N154,VLOOKUP(A154,Eligibility!$A$3:$F$423,6,0))</f>
        <v>934643</v>
      </c>
      <c r="T154" s="155"/>
      <c r="U154" s="155"/>
      <c r="V154" s="39"/>
      <c r="W154" s="155"/>
      <c r="X154" s="143"/>
      <c r="Y154" s="143"/>
      <c r="Z154" s="10"/>
      <c r="AA154" s="155"/>
      <c r="AB154" s="155"/>
      <c r="AC154" s="143"/>
      <c r="AD154" s="16"/>
      <c r="AE154" s="16"/>
      <c r="AF154" s="143"/>
      <c r="AG154" s="143"/>
      <c r="AH154" s="143"/>
      <c r="AI154" s="143"/>
      <c r="AJ154" s="143"/>
      <c r="AK154" s="16"/>
      <c r="AL154" s="16"/>
      <c r="AM154" s="143"/>
      <c r="AN154" s="177">
        <f>SUM(P154:AM154)-O154</f>
        <v>1246520</v>
      </c>
    </row>
    <row r="155" spans="1:40" ht="15" thickBot="1" x14ac:dyDescent="0.4">
      <c r="A155" s="40">
        <v>2605</v>
      </c>
      <c r="B155" s="79" t="s">
        <v>199</v>
      </c>
      <c r="C155" s="46">
        <v>1402285</v>
      </c>
      <c r="D155" s="97">
        <v>0</v>
      </c>
      <c r="E155" s="10">
        <f>C155+D155</f>
        <v>1402285</v>
      </c>
      <c r="F155" s="23">
        <v>549528</v>
      </c>
      <c r="G155" s="23">
        <v>0</v>
      </c>
      <c r="H155" s="16">
        <f>F155+G155</f>
        <v>549528</v>
      </c>
      <c r="I155" s="16">
        <f>E155-H155</f>
        <v>852757</v>
      </c>
      <c r="J155" s="23">
        <v>177530</v>
      </c>
      <c r="K155" s="23">
        <v>6488.5</v>
      </c>
      <c r="L155" s="46">
        <v>0</v>
      </c>
      <c r="M155" s="46">
        <v>0</v>
      </c>
      <c r="N155" s="46">
        <v>0</v>
      </c>
      <c r="O155" s="46">
        <v>0</v>
      </c>
      <c r="P155" s="78">
        <f>I155-M155-J155-K155-N155-L155</f>
        <v>668738.5</v>
      </c>
      <c r="Q155" s="155"/>
      <c r="R155" s="155"/>
      <c r="S155" s="45">
        <f>IF(J155+K155+L155+M155+N155&lt;VLOOKUP(A155,Eligibility!$A$3:$F$423,6,0),J155+K155+L155+M155+N155,VLOOKUP(A155,Eligibility!$A$3:$F$423,6,0))</f>
        <v>184018.5</v>
      </c>
      <c r="T155" s="155"/>
      <c r="U155" s="155"/>
      <c r="V155" s="39"/>
      <c r="W155" s="155"/>
      <c r="X155" s="143"/>
      <c r="Y155" s="143"/>
      <c r="Z155" s="10"/>
      <c r="AA155" s="155"/>
      <c r="AB155" s="155"/>
      <c r="AC155" s="143"/>
      <c r="AD155" s="16"/>
      <c r="AE155" s="16"/>
      <c r="AF155" s="147"/>
      <c r="AG155" s="143"/>
      <c r="AH155" s="143"/>
      <c r="AI155" s="143"/>
      <c r="AJ155" s="143"/>
      <c r="AK155" s="16"/>
      <c r="AL155" s="16"/>
      <c r="AM155" s="143"/>
      <c r="AN155" s="177">
        <f>SUM(P155:AM155)-O155</f>
        <v>852757</v>
      </c>
    </row>
    <row r="156" spans="1:40" ht="15" thickBot="1" x14ac:dyDescent="0.4">
      <c r="A156" s="40">
        <v>2604</v>
      </c>
      <c r="B156" s="79" t="s">
        <v>200</v>
      </c>
      <c r="C156" s="46">
        <v>5107206</v>
      </c>
      <c r="D156" s="97">
        <v>0</v>
      </c>
      <c r="E156" s="10">
        <f>C156+D156</f>
        <v>5107206</v>
      </c>
      <c r="F156" s="23">
        <v>1814955</v>
      </c>
      <c r="G156" s="23">
        <v>0</v>
      </c>
      <c r="H156" s="16">
        <f>F156+G156</f>
        <v>1814955</v>
      </c>
      <c r="I156" s="16">
        <f>E156-H156</f>
        <v>3292251</v>
      </c>
      <c r="J156" s="23">
        <v>398498</v>
      </c>
      <c r="K156" s="23">
        <v>71373.5</v>
      </c>
      <c r="L156" s="46">
        <v>0</v>
      </c>
      <c r="M156" s="46">
        <v>0</v>
      </c>
      <c r="N156" s="46">
        <v>0</v>
      </c>
      <c r="O156" s="46">
        <v>0</v>
      </c>
      <c r="P156" s="78">
        <f>I156-M156-J156-K156-N156-L156</f>
        <v>2822379.5</v>
      </c>
      <c r="Q156" s="155"/>
      <c r="R156" s="155"/>
      <c r="S156" s="45">
        <f>IF(J156+K156+L156+M156+N156&lt;VLOOKUP(A156,Eligibility!$A$3:$F$423,6,0),J156+K156+L156+M156+N156,VLOOKUP(A156,Eligibility!$A$3:$F$423,6,0))</f>
        <v>469871.5</v>
      </c>
      <c r="T156" s="155"/>
      <c r="U156" s="155"/>
      <c r="V156" s="39"/>
      <c r="W156" s="155"/>
      <c r="X156" s="143"/>
      <c r="Y156" s="143"/>
      <c r="Z156" s="10"/>
      <c r="AA156" s="155"/>
      <c r="AB156" s="155"/>
      <c r="AC156" s="143"/>
      <c r="AD156" s="16"/>
      <c r="AE156" s="16"/>
      <c r="AF156" s="143"/>
      <c r="AG156" s="143"/>
      <c r="AH156" s="143"/>
      <c r="AI156" s="143"/>
      <c r="AJ156" s="143"/>
      <c r="AK156" s="16"/>
      <c r="AL156" s="16"/>
      <c r="AM156" s="143"/>
      <c r="AN156" s="177">
        <f>SUM(P156:AM156)-O156</f>
        <v>3292251</v>
      </c>
    </row>
    <row r="157" spans="1:40" ht="15" thickBot="1" x14ac:dyDescent="0.4">
      <c r="A157" s="40">
        <v>2611</v>
      </c>
      <c r="B157" s="79" t="s">
        <v>201</v>
      </c>
      <c r="C157" s="46">
        <v>1164941</v>
      </c>
      <c r="D157" s="97">
        <v>0</v>
      </c>
      <c r="E157" s="10">
        <f>C157+D157</f>
        <v>1164941</v>
      </c>
      <c r="F157" s="23">
        <v>1550131</v>
      </c>
      <c r="G157" s="23">
        <v>0</v>
      </c>
      <c r="H157" s="16">
        <f>F157+G157</f>
        <v>1550131</v>
      </c>
      <c r="I157" s="16">
        <f>E157-H157</f>
        <v>-385190</v>
      </c>
      <c r="J157" s="23">
        <v>0</v>
      </c>
      <c r="K157" s="23">
        <v>0</v>
      </c>
      <c r="L157" s="46">
        <v>0</v>
      </c>
      <c r="M157" s="46">
        <v>0</v>
      </c>
      <c r="N157" s="46">
        <v>0</v>
      </c>
      <c r="O157" s="46">
        <v>0</v>
      </c>
      <c r="P157" s="78">
        <f>I157-M157-J157-K157-N157-L157</f>
        <v>-385190</v>
      </c>
      <c r="Q157" s="155"/>
      <c r="R157" s="155"/>
      <c r="S157" s="45">
        <f>IF(-$P157&lt;VLOOKUP(A157,Eligibility!$A$3:$F$423,6,0),-P157,VLOOKUP(A157,Eligibility!$A$3:$F$423,6,0))</f>
        <v>385190</v>
      </c>
      <c r="T157" s="155"/>
      <c r="U157" s="155"/>
      <c r="V157" s="39"/>
      <c r="W157" s="155"/>
      <c r="X157" s="143"/>
      <c r="Y157" s="143"/>
      <c r="Z157" s="10"/>
      <c r="AA157" s="155"/>
      <c r="AB157" s="155"/>
      <c r="AC157" s="143"/>
      <c r="AD157" s="16"/>
      <c r="AE157" s="16"/>
      <c r="AF157" s="143"/>
      <c r="AG157" s="143"/>
      <c r="AH157" s="143"/>
      <c r="AI157" s="143"/>
      <c r="AJ157" s="143"/>
      <c r="AK157" s="16"/>
      <c r="AL157" s="16"/>
      <c r="AM157" s="143"/>
      <c r="AN157" s="177">
        <f>SUM(P157:AM157)-O157</f>
        <v>0</v>
      </c>
    </row>
    <row r="158" spans="1:40" ht="15" thickBot="1" x14ac:dyDescent="0.4">
      <c r="A158" s="40">
        <v>2618</v>
      </c>
      <c r="B158" s="79" t="s">
        <v>202</v>
      </c>
      <c r="C158" s="46">
        <v>63690</v>
      </c>
      <c r="D158" s="97">
        <v>0</v>
      </c>
      <c r="E158" s="10">
        <f>C158+D158</f>
        <v>63690</v>
      </c>
      <c r="F158" s="23">
        <v>65366</v>
      </c>
      <c r="G158" s="23">
        <v>0</v>
      </c>
      <c r="H158" s="16">
        <f>F158+G158</f>
        <v>65366</v>
      </c>
      <c r="I158" s="16">
        <f>E158-H158</f>
        <v>-1676</v>
      </c>
      <c r="J158" s="23">
        <v>16600</v>
      </c>
      <c r="K158" s="23">
        <v>0</v>
      </c>
      <c r="L158" s="46">
        <v>0</v>
      </c>
      <c r="M158" s="46">
        <v>0</v>
      </c>
      <c r="N158" s="46">
        <v>0</v>
      </c>
      <c r="O158" s="46">
        <v>0</v>
      </c>
      <c r="P158" s="78">
        <f>I158-M158-J158-K158-N158-L158</f>
        <v>-18276</v>
      </c>
      <c r="Q158" s="155"/>
      <c r="R158" s="155"/>
      <c r="S158" s="45">
        <f>IF(-$P158&lt;VLOOKUP(A158,Eligibility!$A$3:$F$423,6,0),-P158,VLOOKUP(A158,Eligibility!$A$3:$F$423,6,0))</f>
        <v>18276</v>
      </c>
      <c r="T158" s="155"/>
      <c r="U158" s="155"/>
      <c r="V158" s="39"/>
      <c r="W158" s="155"/>
      <c r="X158" s="143"/>
      <c r="Y158" s="143"/>
      <c r="Z158" s="10"/>
      <c r="AA158" s="155"/>
      <c r="AB158" s="155"/>
      <c r="AC158" s="143"/>
      <c r="AD158" s="16"/>
      <c r="AE158" s="16"/>
      <c r="AF158" s="143"/>
      <c r="AG158" s="143"/>
      <c r="AH158" s="143"/>
      <c r="AI158" s="143"/>
      <c r="AJ158" s="143"/>
      <c r="AK158" s="16"/>
      <c r="AL158" s="16"/>
      <c r="AM158" s="143"/>
      <c r="AN158" s="177">
        <f>SUM(P158:AM158)-O158</f>
        <v>0</v>
      </c>
    </row>
    <row r="159" spans="1:40" ht="15" thickBot="1" x14ac:dyDescent="0.4">
      <c r="A159" s="40">
        <v>2625</v>
      </c>
      <c r="B159" s="79" t="s">
        <v>203</v>
      </c>
      <c r="C159" s="46">
        <v>386262</v>
      </c>
      <c r="D159" s="97">
        <v>0</v>
      </c>
      <c r="E159" s="10">
        <f>C159+D159</f>
        <v>386262</v>
      </c>
      <c r="F159" s="23">
        <v>651515</v>
      </c>
      <c r="G159" s="23">
        <v>0</v>
      </c>
      <c r="H159" s="16">
        <f>F159+G159</f>
        <v>651515</v>
      </c>
      <c r="I159" s="16">
        <f>E159-H159</f>
        <v>-265253</v>
      </c>
      <c r="J159" s="23">
        <v>40257</v>
      </c>
      <c r="K159" s="23">
        <v>12977</v>
      </c>
      <c r="L159" s="46">
        <v>0</v>
      </c>
      <c r="M159" s="46">
        <v>0</v>
      </c>
      <c r="N159" s="46">
        <v>0</v>
      </c>
      <c r="O159" s="46">
        <v>0</v>
      </c>
      <c r="P159" s="78">
        <f>I159-M159-J159-K159-N159-L159</f>
        <v>-318487</v>
      </c>
      <c r="Q159" s="155"/>
      <c r="R159" s="155"/>
      <c r="S159" s="45">
        <f>IF(-$P159&lt;VLOOKUP(A159,Eligibility!$A$3:$F$423,6,0),-P159,VLOOKUP(A159,Eligibility!$A$3:$F$423,6,0))</f>
        <v>318487</v>
      </c>
      <c r="T159" s="155"/>
      <c r="U159" s="155"/>
      <c r="V159" s="39"/>
      <c r="W159" s="155"/>
      <c r="X159" s="143"/>
      <c r="Y159" s="143"/>
      <c r="Z159" s="10"/>
      <c r="AA159" s="155"/>
      <c r="AB159" s="155"/>
      <c r="AC159" s="143"/>
      <c r="AD159" s="16"/>
      <c r="AE159" s="16"/>
      <c r="AF159" s="143"/>
      <c r="AG159" s="143"/>
      <c r="AH159" s="143"/>
      <c r="AI159" s="143"/>
      <c r="AJ159" s="143"/>
      <c r="AK159" s="16"/>
      <c r="AL159" s="16"/>
      <c r="AM159" s="143"/>
      <c r="AN159" s="177">
        <f>SUM(P159:AM159)-O159</f>
        <v>0</v>
      </c>
    </row>
    <row r="160" spans="1:40" ht="15" thickBot="1" x14ac:dyDescent="0.4">
      <c r="A160" s="40">
        <v>2632</v>
      </c>
      <c r="B160" s="79" t="s">
        <v>204</v>
      </c>
      <c r="C160" s="46">
        <v>238244</v>
      </c>
      <c r="D160" s="97">
        <v>0</v>
      </c>
      <c r="E160" s="10">
        <f>C160+D160</f>
        <v>238244</v>
      </c>
      <c r="F160" s="23">
        <v>843495</v>
      </c>
      <c r="G160" s="23">
        <v>0</v>
      </c>
      <c r="H160" s="16">
        <f>F160+G160</f>
        <v>843495</v>
      </c>
      <c r="I160" s="16">
        <f>E160-H160</f>
        <v>-605251</v>
      </c>
      <c r="J160" s="23">
        <v>0</v>
      </c>
      <c r="K160" s="23">
        <v>0</v>
      </c>
      <c r="L160" s="46">
        <v>0</v>
      </c>
      <c r="M160" s="46">
        <v>0</v>
      </c>
      <c r="N160" s="46">
        <v>0</v>
      </c>
      <c r="O160" s="46">
        <v>0</v>
      </c>
      <c r="P160" s="78">
        <f>I160-M160-J160-K160-N160-L160</f>
        <v>-605251</v>
      </c>
      <c r="Q160" s="155"/>
      <c r="R160" s="155"/>
      <c r="S160" s="45">
        <f>IF(-$P160&lt;VLOOKUP(A160,Eligibility!$A$3:$F$423,6,0),-P160,VLOOKUP(A160,Eligibility!$A$3:$F$423,6,0))</f>
        <v>605251</v>
      </c>
      <c r="T160" s="155"/>
      <c r="U160" s="155"/>
      <c r="V160" s="39"/>
      <c r="W160" s="155"/>
      <c r="X160" s="143"/>
      <c r="Y160" s="143"/>
      <c r="Z160" s="10"/>
      <c r="AA160" s="155"/>
      <c r="AB160" s="155"/>
      <c r="AC160" s="143"/>
      <c r="AD160" s="16"/>
      <c r="AE160" s="16"/>
      <c r="AF160" s="143"/>
      <c r="AG160" s="143"/>
      <c r="AH160" s="143"/>
      <c r="AI160" s="143"/>
      <c r="AJ160" s="143"/>
      <c r="AK160" s="16"/>
      <c r="AL160" s="16"/>
      <c r="AM160" s="143"/>
      <c r="AN160" s="177">
        <f>SUM(P160:AM160)-O160</f>
        <v>0</v>
      </c>
    </row>
    <row r="161" spans="1:40" ht="15" thickBot="1" x14ac:dyDescent="0.4">
      <c r="A161" s="40">
        <v>2639</v>
      </c>
      <c r="B161" s="79" t="s">
        <v>205</v>
      </c>
      <c r="C161" s="46">
        <v>342628</v>
      </c>
      <c r="D161" s="97">
        <v>0</v>
      </c>
      <c r="E161" s="10">
        <f>C161+D161</f>
        <v>342628</v>
      </c>
      <c r="F161" s="23">
        <v>663582</v>
      </c>
      <c r="G161" s="23">
        <v>0</v>
      </c>
      <c r="H161" s="16">
        <f>F161+G161</f>
        <v>663582</v>
      </c>
      <c r="I161" s="16">
        <f>E161-H161</f>
        <v>-320954</v>
      </c>
      <c r="J161" s="23">
        <v>71842</v>
      </c>
      <c r="K161" s="23">
        <v>21277</v>
      </c>
      <c r="L161" s="46">
        <v>0</v>
      </c>
      <c r="M161" s="46">
        <v>7059.17</v>
      </c>
      <c r="N161" s="46">
        <v>0</v>
      </c>
      <c r="O161" s="46">
        <v>0</v>
      </c>
      <c r="P161" s="78">
        <f>I161-M161-J161-K161-N161-L161</f>
        <v>-421132.17</v>
      </c>
      <c r="Q161" s="155"/>
      <c r="R161" s="155"/>
      <c r="S161" s="45">
        <f>IF(-$P161&lt;VLOOKUP(A161,Eligibility!$A$3:$F$423,6,0),-P161,VLOOKUP(A161,Eligibility!$A$3:$F$423,6,0))</f>
        <v>421132.17</v>
      </c>
      <c r="T161" s="155"/>
      <c r="U161" s="155"/>
      <c r="V161" s="39"/>
      <c r="W161" s="155"/>
      <c r="X161" s="143"/>
      <c r="Y161" s="143"/>
      <c r="Z161" s="10"/>
      <c r="AA161" s="155"/>
      <c r="AB161" s="155"/>
      <c r="AC161" s="143"/>
      <c r="AD161" s="16"/>
      <c r="AE161" s="16"/>
      <c r="AF161" s="143"/>
      <c r="AG161" s="143"/>
      <c r="AH161" s="143"/>
      <c r="AI161" s="143"/>
      <c r="AJ161" s="143"/>
      <c r="AK161" s="16"/>
      <c r="AL161" s="16"/>
      <c r="AM161" s="143"/>
      <c r="AN161" s="177">
        <f>SUM(P161:AM161)-O161</f>
        <v>0</v>
      </c>
    </row>
    <row r="162" spans="1:40" ht="15" thickBot="1" x14ac:dyDescent="0.4">
      <c r="A162" s="40">
        <v>2646</v>
      </c>
      <c r="B162" s="79" t="s">
        <v>206</v>
      </c>
      <c r="C162" s="46">
        <v>527833</v>
      </c>
      <c r="D162" s="97">
        <v>0</v>
      </c>
      <c r="E162" s="10">
        <f>C162+D162</f>
        <v>527833</v>
      </c>
      <c r="F162" s="23">
        <v>571917</v>
      </c>
      <c r="G162" s="23">
        <v>0</v>
      </c>
      <c r="H162" s="16">
        <f>F162+G162</f>
        <v>571917</v>
      </c>
      <c r="I162" s="16">
        <f>E162-H162</f>
        <v>-44084</v>
      </c>
      <c r="J162" s="23">
        <v>0</v>
      </c>
      <c r="K162" s="23">
        <v>0</v>
      </c>
      <c r="L162" s="46">
        <v>0</v>
      </c>
      <c r="M162" s="46">
        <v>0</v>
      </c>
      <c r="N162" s="46">
        <v>0</v>
      </c>
      <c r="O162" s="46">
        <v>0</v>
      </c>
      <c r="P162" s="78">
        <f>I162-M162-J162-K162-N162-L162</f>
        <v>-44084</v>
      </c>
      <c r="Q162" s="155"/>
      <c r="R162" s="155"/>
      <c r="S162" s="45">
        <f>IF(-$P162&lt;VLOOKUP(A162,Eligibility!$A$3:$F$423,6,0),-P162,VLOOKUP(A162,Eligibility!$A$3:$F$423,6,0))</f>
        <v>44084</v>
      </c>
      <c r="T162" s="155"/>
      <c r="U162" s="155"/>
      <c r="V162" s="39"/>
      <c r="W162" s="155"/>
      <c r="X162" s="143"/>
      <c r="Y162" s="143"/>
      <c r="Z162" s="39"/>
      <c r="AA162" s="155"/>
      <c r="AB162" s="155"/>
      <c r="AC162" s="143"/>
      <c r="AD162" s="16"/>
      <c r="AE162" s="38"/>
      <c r="AF162" s="143"/>
      <c r="AG162" s="143"/>
      <c r="AH162" s="143"/>
      <c r="AI162" s="143"/>
      <c r="AJ162" s="143"/>
      <c r="AK162" s="16"/>
      <c r="AL162" s="16"/>
      <c r="AM162" s="143"/>
      <c r="AN162" s="177">
        <f>SUM(P162:AM162)-O162</f>
        <v>0</v>
      </c>
    </row>
    <row r="163" spans="1:40" ht="15" thickBot="1" x14ac:dyDescent="0.4">
      <c r="A163" s="40">
        <v>2660</v>
      </c>
      <c r="B163" s="79" t="s">
        <v>207</v>
      </c>
      <c r="C163" s="46">
        <v>1264103</v>
      </c>
      <c r="D163" s="97">
        <v>0</v>
      </c>
      <c r="E163" s="10">
        <f>C163+D163</f>
        <v>1264103</v>
      </c>
      <c r="F163" s="23">
        <v>369459</v>
      </c>
      <c r="G163" s="23">
        <v>0</v>
      </c>
      <c r="H163" s="16">
        <f>F163+G163</f>
        <v>369459</v>
      </c>
      <c r="I163" s="16">
        <f>E163-H163</f>
        <v>894644</v>
      </c>
      <c r="J163" s="23">
        <v>0</v>
      </c>
      <c r="K163" s="23">
        <v>0</v>
      </c>
      <c r="L163" s="46">
        <v>0</v>
      </c>
      <c r="M163" s="46">
        <v>0</v>
      </c>
      <c r="N163" s="46">
        <v>0</v>
      </c>
      <c r="O163" s="46">
        <v>0</v>
      </c>
      <c r="P163" s="78">
        <f>I163-M163-J163-K163-N163-L163</f>
        <v>894644</v>
      </c>
      <c r="Q163" s="155"/>
      <c r="R163" s="155"/>
      <c r="S163" s="45">
        <f>IF(J163+K163+L163+M163+N163&lt;VLOOKUP(A163,Eligibility!$A$3:$F$423,6,0),J163+K163+L163+M163+N163,VLOOKUP(A163,Eligibility!$A$3:$F$423,6,0))</f>
        <v>0</v>
      </c>
      <c r="T163" s="155"/>
      <c r="U163" s="155"/>
      <c r="V163" s="39"/>
      <c r="W163" s="155"/>
      <c r="X163" s="143"/>
      <c r="Y163" s="143"/>
      <c r="Z163" s="10"/>
      <c r="AA163" s="155"/>
      <c r="AB163" s="155"/>
      <c r="AC163" s="143"/>
      <c r="AD163" s="16"/>
      <c r="AE163" s="38"/>
      <c r="AF163" s="143"/>
      <c r="AG163" s="143"/>
      <c r="AH163" s="143"/>
      <c r="AI163" s="143"/>
      <c r="AJ163" s="143"/>
      <c r="AK163" s="16"/>
      <c r="AL163" s="16"/>
      <c r="AM163" s="143"/>
      <c r="AN163" s="177">
        <f>SUM(P163:AM163)-O163</f>
        <v>894644</v>
      </c>
    </row>
    <row r="164" spans="1:40" ht="15" thickBot="1" x14ac:dyDescent="0.4">
      <c r="A164" s="40">
        <v>2695</v>
      </c>
      <c r="B164" s="79" t="s">
        <v>208</v>
      </c>
      <c r="C164" s="46">
        <v>4493001</v>
      </c>
      <c r="D164" s="97">
        <v>12977</v>
      </c>
      <c r="E164" s="10">
        <f>C164+D164</f>
        <v>4505978</v>
      </c>
      <c r="F164" s="23">
        <v>3935908</v>
      </c>
      <c r="G164" s="23">
        <v>0</v>
      </c>
      <c r="H164" s="16">
        <f>F164+G164</f>
        <v>3935908</v>
      </c>
      <c r="I164" s="16">
        <f>E164-H164</f>
        <v>570070</v>
      </c>
      <c r="J164" s="23">
        <v>357400.3</v>
      </c>
      <c r="K164" s="23">
        <v>0</v>
      </c>
      <c r="L164" s="46">
        <v>2749.5</v>
      </c>
      <c r="M164" s="46">
        <v>28236.68</v>
      </c>
      <c r="N164" s="46">
        <v>0</v>
      </c>
      <c r="O164" s="46">
        <v>0</v>
      </c>
      <c r="P164" s="78">
        <f>I164-M164-J164-K164-N164-L164</f>
        <v>181683.52</v>
      </c>
      <c r="Q164" s="155"/>
      <c r="R164" s="155"/>
      <c r="S164" s="45">
        <f>IF(J164+K164+L164+M164+N164&lt;VLOOKUP(A164,Eligibility!$A$3:$F$423,6,0),J164+K164+L164+M164+N164,VLOOKUP(A164,Eligibility!$A$3:$F$423,6,0))</f>
        <v>388386.48</v>
      </c>
      <c r="T164" s="155"/>
      <c r="U164" s="155"/>
      <c r="V164" s="39"/>
      <c r="W164" s="155"/>
      <c r="X164" s="143"/>
      <c r="Y164" s="143"/>
      <c r="Z164" s="10"/>
      <c r="AA164" s="155"/>
      <c r="AB164" s="155"/>
      <c r="AC164" s="143"/>
      <c r="AD164" s="16"/>
      <c r="AE164" s="16"/>
      <c r="AF164" s="143"/>
      <c r="AG164" s="143"/>
      <c r="AH164" s="143"/>
      <c r="AI164" s="143"/>
      <c r="AJ164" s="143"/>
      <c r="AK164" s="16"/>
      <c r="AL164" s="16"/>
      <c r="AM164" s="143"/>
      <c r="AN164" s="177">
        <f>SUM(P164:AM164)-O164</f>
        <v>570070</v>
      </c>
    </row>
    <row r="165" spans="1:40" ht="15" thickBot="1" x14ac:dyDescent="0.4">
      <c r="A165" s="40">
        <v>2702</v>
      </c>
      <c r="B165" s="79" t="s">
        <v>209</v>
      </c>
      <c r="C165" s="46">
        <v>1891592</v>
      </c>
      <c r="D165" s="97">
        <v>0</v>
      </c>
      <c r="E165" s="10">
        <f>C165+D165</f>
        <v>1891592</v>
      </c>
      <c r="F165" s="23">
        <v>1470990</v>
      </c>
      <c r="G165" s="23">
        <v>0</v>
      </c>
      <c r="H165" s="16">
        <f>F165+G165</f>
        <v>1470990</v>
      </c>
      <c r="I165" s="16">
        <f>E165-H165</f>
        <v>420602</v>
      </c>
      <c r="J165" s="23">
        <v>426902</v>
      </c>
      <c r="K165" s="23">
        <v>0</v>
      </c>
      <c r="L165" s="46">
        <v>0</v>
      </c>
      <c r="M165" s="46">
        <v>0</v>
      </c>
      <c r="N165" s="46">
        <v>31119</v>
      </c>
      <c r="O165" s="46">
        <v>0</v>
      </c>
      <c r="P165" s="78">
        <f>I165-M165-J165-K165-N165-L165</f>
        <v>-37419</v>
      </c>
      <c r="Q165" s="155"/>
      <c r="R165" s="155"/>
      <c r="S165" s="45">
        <f>IF(J165+K165+L165+M165+N165&lt;VLOOKUP(A165,Eligibility!$A$3:$F$423,6,0),J165+K165+L165+M165+N165,VLOOKUP(A165,Eligibility!$A$3:$F$423,6,0))</f>
        <v>458021</v>
      </c>
      <c r="T165" s="155"/>
      <c r="U165" s="155"/>
      <c r="V165" s="39"/>
      <c r="W165" s="155"/>
      <c r="X165" s="143"/>
      <c r="Y165" s="143"/>
      <c r="Z165" s="10"/>
      <c r="AA165" s="155"/>
      <c r="AB165" s="155"/>
      <c r="AC165" s="143"/>
      <c r="AD165" s="16"/>
      <c r="AE165" s="16"/>
      <c r="AF165" s="143"/>
      <c r="AG165" s="143"/>
      <c r="AH165" s="143"/>
      <c r="AI165" s="143"/>
      <c r="AJ165" s="143"/>
      <c r="AK165" s="16"/>
      <c r="AL165" s="16"/>
      <c r="AM165" s="143"/>
      <c r="AN165" s="177">
        <f>SUM(P165:AM165)-O165</f>
        <v>420602</v>
      </c>
    </row>
    <row r="166" spans="1:40" ht="15" thickBot="1" x14ac:dyDescent="0.4">
      <c r="A166" s="40">
        <v>2730</v>
      </c>
      <c r="B166" s="79" t="s">
        <v>210</v>
      </c>
      <c r="C166" s="46">
        <v>637210</v>
      </c>
      <c r="D166" s="97">
        <v>0</v>
      </c>
      <c r="E166" s="10">
        <f>C166+D166</f>
        <v>637210</v>
      </c>
      <c r="F166" s="23">
        <v>1578092</v>
      </c>
      <c r="G166" s="23">
        <v>0</v>
      </c>
      <c r="H166" s="16">
        <f>F166+G166</f>
        <v>1578092</v>
      </c>
      <c r="I166" s="16">
        <f>E166-H166</f>
        <v>-940882</v>
      </c>
      <c r="J166" s="23">
        <v>113019</v>
      </c>
      <c r="K166" s="23">
        <v>19465.5</v>
      </c>
      <c r="L166" s="46">
        <v>0</v>
      </c>
      <c r="M166" s="46">
        <v>0</v>
      </c>
      <c r="N166" s="46">
        <v>0</v>
      </c>
      <c r="O166" s="46">
        <v>0</v>
      </c>
      <c r="P166" s="78">
        <f>I166-M166-J166-K166-N166-L166</f>
        <v>-1073366.5</v>
      </c>
      <c r="Q166" s="155"/>
      <c r="R166" s="155"/>
      <c r="S166" s="45">
        <f>IF(-$P166&lt;VLOOKUP(A166,Eligibility!$A$3:$F$423,6,0),-P166,VLOOKUP(A166,Eligibility!$A$3:$F$423,6,0))</f>
        <v>1073366.5</v>
      </c>
      <c r="T166" s="155"/>
      <c r="U166" s="155"/>
      <c r="V166" s="39"/>
      <c r="W166" s="155"/>
      <c r="X166" s="143"/>
      <c r="Y166" s="143"/>
      <c r="Z166" s="10"/>
      <c r="AA166" s="155"/>
      <c r="AB166" s="155"/>
      <c r="AC166" s="143"/>
      <c r="AD166" s="16"/>
      <c r="AE166" s="16"/>
      <c r="AF166" s="143"/>
      <c r="AG166" s="143"/>
      <c r="AH166" s="143"/>
      <c r="AI166" s="143"/>
      <c r="AJ166" s="143"/>
      <c r="AK166" s="16"/>
      <c r="AL166" s="16"/>
      <c r="AM166" s="143"/>
      <c r="AN166" s="177">
        <f>SUM(P166:AM166)-O166</f>
        <v>0</v>
      </c>
    </row>
    <row r="167" spans="1:40" ht="15" thickBot="1" x14ac:dyDescent="0.4">
      <c r="A167" s="40">
        <v>2737</v>
      </c>
      <c r="B167" s="79" t="s">
        <v>211</v>
      </c>
      <c r="C167" s="46">
        <v>671124</v>
      </c>
      <c r="D167" s="97">
        <v>0</v>
      </c>
      <c r="E167" s="10">
        <f>C167+D167</f>
        <v>671124</v>
      </c>
      <c r="F167" s="23">
        <v>335214</v>
      </c>
      <c r="G167" s="23">
        <v>0</v>
      </c>
      <c r="H167" s="16">
        <f>F167+G167</f>
        <v>335214</v>
      </c>
      <c r="I167" s="16">
        <f>E167-H167</f>
        <v>335910</v>
      </c>
      <c r="J167" s="23">
        <v>0</v>
      </c>
      <c r="K167" s="23">
        <v>0</v>
      </c>
      <c r="L167" s="46">
        <v>0</v>
      </c>
      <c r="M167" s="46">
        <v>0</v>
      </c>
      <c r="N167" s="46">
        <v>0</v>
      </c>
      <c r="O167" s="46">
        <v>0</v>
      </c>
      <c r="P167" s="78">
        <f>I167-M167-J167-K167-N167-L167</f>
        <v>335910</v>
      </c>
      <c r="Q167" s="155"/>
      <c r="R167" s="155"/>
      <c r="S167" s="45">
        <f>IF(J167+K167+L167+M167+N167&lt;VLOOKUP(A167,Eligibility!$A$3:$F$423,6,0),J167+K167+L167+M167+N167,VLOOKUP(A167,Eligibility!$A$3:$F$423,6,0))</f>
        <v>0</v>
      </c>
      <c r="T167" s="155"/>
      <c r="U167" s="155"/>
      <c r="V167" s="39"/>
      <c r="W167" s="155"/>
      <c r="X167" s="143"/>
      <c r="Y167" s="143"/>
      <c r="Z167" s="10"/>
      <c r="AA167" s="155"/>
      <c r="AB167" s="155"/>
      <c r="AC167" s="143"/>
      <c r="AD167" s="16"/>
      <c r="AE167" s="16"/>
      <c r="AF167" s="143"/>
      <c r="AG167" s="143"/>
      <c r="AH167" s="143"/>
      <c r="AI167" s="143"/>
      <c r="AJ167" s="143"/>
      <c r="AK167" s="16"/>
      <c r="AL167" s="16"/>
      <c r="AM167" s="143"/>
      <c r="AN167" s="177">
        <f>SUM(P167:AM167)-O167</f>
        <v>335910</v>
      </c>
    </row>
    <row r="168" spans="1:40" ht="15" thickBot="1" x14ac:dyDescent="0.4">
      <c r="A168" s="40">
        <v>2758</v>
      </c>
      <c r="B168" s="79" t="s">
        <v>212</v>
      </c>
      <c r="C168" s="46">
        <v>1297748</v>
      </c>
      <c r="D168" s="97">
        <v>0</v>
      </c>
      <c r="E168" s="10">
        <f>C168+D168</f>
        <v>1297748</v>
      </c>
      <c r="F168" s="23">
        <v>7894003</v>
      </c>
      <c r="G168" s="23">
        <v>0</v>
      </c>
      <c r="H168" s="16">
        <f>F168+G168</f>
        <v>7894003</v>
      </c>
      <c r="I168" s="16">
        <f>E168-H168</f>
        <v>-6596255</v>
      </c>
      <c r="J168" s="23">
        <v>921124</v>
      </c>
      <c r="K168" s="23">
        <v>194655</v>
      </c>
      <c r="L168" s="46">
        <v>0</v>
      </c>
      <c r="M168" s="46">
        <v>14118.34</v>
      </c>
      <c r="N168" s="46">
        <v>0</v>
      </c>
      <c r="O168" s="46">
        <v>0</v>
      </c>
      <c r="P168" s="78">
        <f>I168-M168-J168-K168-N168-L168</f>
        <v>-7726152.3399999999</v>
      </c>
      <c r="Q168" s="155"/>
      <c r="R168" s="155"/>
      <c r="S168" s="45">
        <f>IF(-$P168&lt;VLOOKUP(A168,Eligibility!$A$3:$F$423,6,0),-P168,VLOOKUP(A168,Eligibility!$A$3:$F$423,6,0))</f>
        <v>7726152.3399999999</v>
      </c>
      <c r="T168" s="155"/>
      <c r="U168" s="155"/>
      <c r="V168" s="39"/>
      <c r="W168" s="155"/>
      <c r="X168" s="143"/>
      <c r="Y168" s="143"/>
      <c r="Z168" s="10"/>
      <c r="AA168" s="155"/>
      <c r="AB168" s="155"/>
      <c r="AC168" s="143"/>
      <c r="AD168" s="16"/>
      <c r="AE168" s="16"/>
      <c r="AF168" s="143"/>
      <c r="AG168" s="143"/>
      <c r="AH168" s="143"/>
      <c r="AI168" s="143"/>
      <c r="AJ168" s="143"/>
      <c r="AK168" s="16"/>
      <c r="AL168" s="16"/>
      <c r="AM168" s="143"/>
      <c r="AN168" s="177">
        <f>SUM(P168:AM168)-O168</f>
        <v>0</v>
      </c>
    </row>
    <row r="169" spans="1:40" ht="15" thickBot="1" x14ac:dyDescent="0.4">
      <c r="A169" s="40">
        <v>2793</v>
      </c>
      <c r="B169" s="79" t="s">
        <v>213</v>
      </c>
      <c r="C169" s="46">
        <v>1381848</v>
      </c>
      <c r="D169" s="97">
        <v>53602</v>
      </c>
      <c r="E169" s="10">
        <f>C169+D169</f>
        <v>1435450</v>
      </c>
      <c r="F169" s="23">
        <v>5177206</v>
      </c>
      <c r="G169" s="23">
        <v>0</v>
      </c>
      <c r="H169" s="16">
        <f>F169+G169</f>
        <v>5177206</v>
      </c>
      <c r="I169" s="16">
        <f>E169-H169</f>
        <v>-3741756</v>
      </c>
      <c r="J169" s="23">
        <v>2645058</v>
      </c>
      <c r="K169" s="23">
        <v>882436</v>
      </c>
      <c r="L169" s="46">
        <v>0</v>
      </c>
      <c r="M169" s="46">
        <v>0</v>
      </c>
      <c r="N169" s="46">
        <v>74131</v>
      </c>
      <c r="O169" s="46">
        <v>0</v>
      </c>
      <c r="P169" s="78">
        <f>I169-M169-J169-K169-N169-L169</f>
        <v>-7343381</v>
      </c>
      <c r="Q169" s="155"/>
      <c r="R169" s="155"/>
      <c r="S169" s="45">
        <f>IF(-$P169&lt;VLOOKUP(A169,Eligibility!$A$3:$F$423,6,0),-P169,VLOOKUP(A169,Eligibility!$A$3:$F$423,6,0))</f>
        <v>7343381</v>
      </c>
      <c r="T169" s="155"/>
      <c r="U169" s="155"/>
      <c r="V169" s="39"/>
      <c r="W169" s="155"/>
      <c r="X169" s="143"/>
      <c r="Y169" s="143"/>
      <c r="Z169" s="10"/>
      <c r="AA169" s="155"/>
      <c r="AB169" s="155"/>
      <c r="AC169" s="143"/>
      <c r="AD169" s="16"/>
      <c r="AE169" s="16"/>
      <c r="AF169" s="143"/>
      <c r="AG169" s="143"/>
      <c r="AH169" s="143"/>
      <c r="AI169" s="143"/>
      <c r="AJ169" s="143"/>
      <c r="AK169" s="16"/>
      <c r="AL169" s="16"/>
      <c r="AM169" s="143"/>
      <c r="AN169" s="177">
        <f>SUM(P169:AM169)-O169</f>
        <v>0</v>
      </c>
    </row>
    <row r="170" spans="1:40" ht="15" thickBot="1" x14ac:dyDescent="0.4">
      <c r="A170" s="40">
        <v>1376</v>
      </c>
      <c r="B170" s="79" t="s">
        <v>214</v>
      </c>
      <c r="C170" s="46">
        <v>4382831</v>
      </c>
      <c r="D170" s="97">
        <v>0</v>
      </c>
      <c r="E170" s="10">
        <f>C170+D170</f>
        <v>4382831</v>
      </c>
      <c r="F170" s="23">
        <v>2022332</v>
      </c>
      <c r="G170" s="23">
        <v>4876</v>
      </c>
      <c r="H170" s="16">
        <f>F170+G170</f>
        <v>2027208</v>
      </c>
      <c r="I170" s="16">
        <f>E170-H170</f>
        <v>2355623</v>
      </c>
      <c r="J170" s="23">
        <v>315498</v>
      </c>
      <c r="K170" s="23">
        <v>110940.65</v>
      </c>
      <c r="L170" s="46">
        <v>0</v>
      </c>
      <c r="M170" s="46">
        <v>0</v>
      </c>
      <c r="N170" s="46">
        <v>0</v>
      </c>
      <c r="O170" s="46">
        <v>0</v>
      </c>
      <c r="P170" s="78">
        <f>I170-M170-J170-K170-N170-L170</f>
        <v>1929184.35</v>
      </c>
      <c r="Q170" s="155"/>
      <c r="R170" s="155"/>
      <c r="S170" s="45">
        <f>IF(J170+K170+L170+M170+N170&lt;VLOOKUP(A170,Eligibility!$A$3:$F$423,6,0),J170+K170+L170+M170+N170,VLOOKUP(A170,Eligibility!$A$3:$F$423,6,0))</f>
        <v>426438.65</v>
      </c>
      <c r="T170" s="155"/>
      <c r="U170" s="155"/>
      <c r="V170" s="39"/>
      <c r="W170" s="155"/>
      <c r="X170" s="143"/>
      <c r="Y170" s="143"/>
      <c r="Z170" s="10"/>
      <c r="AA170" s="155"/>
      <c r="AB170" s="155"/>
      <c r="AC170" s="143"/>
      <c r="AD170" s="16"/>
      <c r="AE170" s="16"/>
      <c r="AF170" s="143"/>
      <c r="AG170" s="143"/>
      <c r="AH170" s="143"/>
      <c r="AI170" s="143"/>
      <c r="AJ170" s="143"/>
      <c r="AK170" s="16"/>
      <c r="AL170" s="16"/>
      <c r="AM170" s="143"/>
      <c r="AN170" s="177">
        <f>SUM(P170:AM170)-O170</f>
        <v>2355623</v>
      </c>
    </row>
    <row r="171" spans="1:40" ht="15" thickBot="1" x14ac:dyDescent="0.4">
      <c r="A171" s="40">
        <v>2800</v>
      </c>
      <c r="B171" s="79" t="s">
        <v>215</v>
      </c>
      <c r="C171" s="46">
        <v>1331424</v>
      </c>
      <c r="D171" s="97">
        <v>0</v>
      </c>
      <c r="E171" s="10">
        <f>C171+D171</f>
        <v>1331424</v>
      </c>
      <c r="F171" s="23">
        <v>1971976</v>
      </c>
      <c r="G171" s="23">
        <v>0</v>
      </c>
      <c r="H171" s="16">
        <f>F171+G171</f>
        <v>1971976</v>
      </c>
      <c r="I171" s="16">
        <f>E171-H171</f>
        <v>-640552</v>
      </c>
      <c r="J171" s="23">
        <v>190352</v>
      </c>
      <c r="K171" s="23">
        <v>25954</v>
      </c>
      <c r="L171" s="46">
        <v>0</v>
      </c>
      <c r="M171" s="46">
        <v>0</v>
      </c>
      <c r="N171" s="46">
        <v>0</v>
      </c>
      <c r="O171" s="46">
        <v>0</v>
      </c>
      <c r="P171" s="78">
        <f>I171-M171-J171-K171-N171-L171</f>
        <v>-856858</v>
      </c>
      <c r="Q171" s="155"/>
      <c r="R171" s="155"/>
      <c r="S171" s="45">
        <f>IF(-$P171&lt;VLOOKUP(A171,Eligibility!$A$3:$F$423,6,0),-P171,VLOOKUP(A171,Eligibility!$A$3:$F$423,6,0))</f>
        <v>856858</v>
      </c>
      <c r="T171" s="155"/>
      <c r="U171" s="155"/>
      <c r="V171" s="39"/>
      <c r="W171" s="155"/>
      <c r="X171" s="143"/>
      <c r="Y171" s="143"/>
      <c r="Z171" s="10"/>
      <c r="AA171" s="155"/>
      <c r="AB171" s="155"/>
      <c r="AC171" s="143"/>
      <c r="AD171" s="16"/>
      <c r="AE171" s="16"/>
      <c r="AF171" s="143"/>
      <c r="AG171" s="143"/>
      <c r="AH171" s="143"/>
      <c r="AI171" s="143"/>
      <c r="AJ171" s="143"/>
      <c r="AK171" s="16"/>
      <c r="AL171" s="16"/>
      <c r="AM171" s="143"/>
      <c r="AN171" s="177">
        <f>SUM(P171:AM171)-O171</f>
        <v>0</v>
      </c>
    </row>
    <row r="172" spans="1:40" ht="15" thickBot="1" x14ac:dyDescent="0.4">
      <c r="A172" s="40">
        <v>2814</v>
      </c>
      <c r="B172" s="79" t="s">
        <v>216</v>
      </c>
      <c r="C172" s="46">
        <v>391424</v>
      </c>
      <c r="D172" s="97">
        <v>0</v>
      </c>
      <c r="E172" s="10">
        <f>C172+D172</f>
        <v>391424</v>
      </c>
      <c r="F172" s="23">
        <v>777392</v>
      </c>
      <c r="G172" s="23">
        <v>12977</v>
      </c>
      <c r="H172" s="16">
        <f>F172+G172</f>
        <v>790369</v>
      </c>
      <c r="I172" s="16">
        <f>E172-H172</f>
        <v>-398945</v>
      </c>
      <c r="J172" s="23">
        <v>232772</v>
      </c>
      <c r="K172" s="23">
        <v>12977</v>
      </c>
      <c r="L172" s="46">
        <v>0</v>
      </c>
      <c r="M172" s="46">
        <v>0</v>
      </c>
      <c r="N172" s="46">
        <v>0</v>
      </c>
      <c r="O172" s="46">
        <v>0</v>
      </c>
      <c r="P172" s="78">
        <f>I172-M172-J172-K172-N172-L172</f>
        <v>-644694</v>
      </c>
      <c r="Q172" s="155"/>
      <c r="R172" s="155"/>
      <c r="S172" s="45">
        <f>IF(-$P172&lt;VLOOKUP(A172,Eligibility!$A$3:$F$423,6,0),-P172,VLOOKUP(A172,Eligibility!$A$3:$F$423,6,0))</f>
        <v>644694</v>
      </c>
      <c r="T172" s="155"/>
      <c r="U172" s="155"/>
      <c r="V172" s="39"/>
      <c r="W172" s="155"/>
      <c r="X172" s="143"/>
      <c r="Y172" s="143"/>
      <c r="Z172" s="10"/>
      <c r="AA172" s="155"/>
      <c r="AB172" s="155"/>
      <c r="AC172" s="143"/>
      <c r="AD172" s="16"/>
      <c r="AE172" s="16"/>
      <c r="AF172" s="143"/>
      <c r="AG172" s="143"/>
      <c r="AH172" s="143"/>
      <c r="AI172" s="143"/>
      <c r="AJ172" s="143"/>
      <c r="AK172" s="16"/>
      <c r="AL172" s="16"/>
      <c r="AM172" s="143"/>
      <c r="AN172" s="177">
        <f>SUM(P172:AM172)-O172</f>
        <v>0</v>
      </c>
    </row>
    <row r="173" spans="1:40" ht="15" thickBot="1" x14ac:dyDescent="0.4">
      <c r="A173" s="40">
        <v>5960</v>
      </c>
      <c r="B173" s="79" t="s">
        <v>217</v>
      </c>
      <c r="C173" s="46">
        <v>795441</v>
      </c>
      <c r="D173" s="97">
        <v>0</v>
      </c>
      <c r="E173" s="10">
        <f>C173+D173</f>
        <v>795441</v>
      </c>
      <c r="F173" s="23">
        <v>384882</v>
      </c>
      <c r="G173" s="23">
        <v>0</v>
      </c>
      <c r="H173" s="16">
        <f>F173+G173</f>
        <v>384882</v>
      </c>
      <c r="I173" s="16">
        <f>E173-H173</f>
        <v>410559</v>
      </c>
      <c r="J173" s="23">
        <v>0</v>
      </c>
      <c r="K173" s="23">
        <v>0</v>
      </c>
      <c r="L173" s="46">
        <v>0</v>
      </c>
      <c r="M173" s="46">
        <v>0</v>
      </c>
      <c r="N173" s="46">
        <v>0</v>
      </c>
      <c r="O173" s="46">
        <v>0</v>
      </c>
      <c r="P173" s="78">
        <f>I173-M173-J173-K173-N173-L173</f>
        <v>410559</v>
      </c>
      <c r="Q173" s="155"/>
      <c r="R173" s="155"/>
      <c r="S173" s="45">
        <f>IF(J173+K173+L173+M173+N173&lt;VLOOKUP(A173,Eligibility!$A$3:$F$423,6,0),J173+K173+L173+M173+N173,VLOOKUP(A173,Eligibility!$A$3:$F$423,6,0))</f>
        <v>0</v>
      </c>
      <c r="T173" s="155"/>
      <c r="U173" s="155"/>
      <c r="V173" s="39"/>
      <c r="W173" s="155"/>
      <c r="X173" s="143"/>
      <c r="Y173" s="143"/>
      <c r="Z173" s="10"/>
      <c r="AA173" s="155"/>
      <c r="AB173" s="155"/>
      <c r="AC173" s="143"/>
      <c r="AD173" s="16"/>
      <c r="AE173" s="16"/>
      <c r="AF173" s="143"/>
      <c r="AG173" s="143"/>
      <c r="AH173" s="143"/>
      <c r="AI173" s="143"/>
      <c r="AJ173" s="143"/>
      <c r="AK173" s="16"/>
      <c r="AL173" s="16"/>
      <c r="AM173" s="143"/>
      <c r="AN173" s="177">
        <f>SUM(P173:AM173)-O173</f>
        <v>410559</v>
      </c>
    </row>
    <row r="174" spans="1:40" ht="15" thickBot="1" x14ac:dyDescent="0.4">
      <c r="A174" s="40">
        <v>2828</v>
      </c>
      <c r="B174" s="79" t="s">
        <v>218</v>
      </c>
      <c r="C174" s="46">
        <v>1080707</v>
      </c>
      <c r="D174" s="97">
        <v>0</v>
      </c>
      <c r="E174" s="10">
        <f>C174+D174</f>
        <v>1080707</v>
      </c>
      <c r="F174" s="23">
        <v>1316951</v>
      </c>
      <c r="G174" s="23">
        <v>0</v>
      </c>
      <c r="H174" s="16">
        <f>F174+G174</f>
        <v>1316951</v>
      </c>
      <c r="I174" s="16">
        <f>E174-H174</f>
        <v>-236244</v>
      </c>
      <c r="J174" s="23">
        <v>126438</v>
      </c>
      <c r="K174" s="23">
        <v>25954</v>
      </c>
      <c r="L174" s="46">
        <v>0</v>
      </c>
      <c r="M174" s="46">
        <v>0</v>
      </c>
      <c r="N174" s="46">
        <v>0</v>
      </c>
      <c r="O174" s="46">
        <v>0</v>
      </c>
      <c r="P174" s="78">
        <f>I174-M174-J174-K174-N174-L174</f>
        <v>-388636</v>
      </c>
      <c r="Q174" s="155"/>
      <c r="R174" s="155"/>
      <c r="S174" s="45">
        <f>IF(-$P174&lt;VLOOKUP(A174,Eligibility!$A$3:$F$423,6,0),-P174,VLOOKUP(A174,Eligibility!$A$3:$F$423,6,0))</f>
        <v>388636</v>
      </c>
      <c r="T174" s="155"/>
      <c r="U174" s="155"/>
      <c r="V174" s="39"/>
      <c r="W174" s="155"/>
      <c r="X174" s="143"/>
      <c r="Y174" s="143"/>
      <c r="Z174" s="10"/>
      <c r="AA174" s="155"/>
      <c r="AB174" s="155"/>
      <c r="AC174" s="143"/>
      <c r="AD174" s="16"/>
      <c r="AE174" s="16"/>
      <c r="AF174" s="143"/>
      <c r="AG174" s="143"/>
      <c r="AH174" s="143"/>
      <c r="AI174" s="143"/>
      <c r="AJ174" s="143"/>
      <c r="AK174" s="16"/>
      <c r="AL174" s="16"/>
      <c r="AM174" s="143"/>
      <c r="AN174" s="177">
        <f>SUM(P174:AM174)-O174</f>
        <v>0</v>
      </c>
    </row>
    <row r="175" spans="1:40" ht="15" thickBot="1" x14ac:dyDescent="0.4">
      <c r="A175" s="40">
        <v>2835</v>
      </c>
      <c r="B175" s="79" t="s">
        <v>219</v>
      </c>
      <c r="C175" s="46">
        <v>5767724</v>
      </c>
      <c r="D175" s="97">
        <v>0</v>
      </c>
      <c r="E175" s="10">
        <f>C175+D175</f>
        <v>5767724</v>
      </c>
      <c r="F175" s="23">
        <v>2182532</v>
      </c>
      <c r="G175" s="23">
        <v>0</v>
      </c>
      <c r="H175" s="16">
        <f>F175+G175</f>
        <v>2182532</v>
      </c>
      <c r="I175" s="16">
        <f>E175-H175</f>
        <v>3585192</v>
      </c>
      <c r="J175" s="23">
        <v>468402</v>
      </c>
      <c r="K175" s="23">
        <v>38931</v>
      </c>
      <c r="L175" s="46">
        <v>0</v>
      </c>
      <c r="M175" s="46">
        <v>0</v>
      </c>
      <c r="N175" s="46">
        <v>0</v>
      </c>
      <c r="O175" s="46">
        <v>0</v>
      </c>
      <c r="P175" s="78">
        <f>I175-M175-J175-K175-N175-L175</f>
        <v>3077859</v>
      </c>
      <c r="Q175" s="155"/>
      <c r="R175" s="155"/>
      <c r="S175" s="45">
        <f>IF(J175+K175+L175+M175+N175&lt;VLOOKUP(A175,Eligibility!$A$3:$F$423,6,0),J175+K175+L175+M175+N175,VLOOKUP(A175,Eligibility!$A$3:$F$423,6,0))</f>
        <v>507333</v>
      </c>
      <c r="T175" s="155"/>
      <c r="U175" s="155"/>
      <c r="V175" s="39"/>
      <c r="W175" s="155"/>
      <c r="X175" s="143"/>
      <c r="Y175" s="143"/>
      <c r="Z175" s="10"/>
      <c r="AA175" s="155"/>
      <c r="AB175" s="155"/>
      <c r="AC175" s="143"/>
      <c r="AD175" s="16"/>
      <c r="AE175" s="16"/>
      <c r="AF175" s="143"/>
      <c r="AG175" s="143"/>
      <c r="AH175" s="143"/>
      <c r="AI175" s="143"/>
      <c r="AJ175" s="143"/>
      <c r="AK175" s="16"/>
      <c r="AL175" s="16"/>
      <c r="AM175" s="143"/>
      <c r="AN175" s="177">
        <f>SUM(P175:AM175)-O175</f>
        <v>3585192</v>
      </c>
    </row>
    <row r="176" spans="1:40" ht="15" thickBot="1" x14ac:dyDescent="0.4">
      <c r="A176" s="40">
        <v>2842</v>
      </c>
      <c r="B176" s="79" t="s">
        <v>220</v>
      </c>
      <c r="C176" s="46">
        <v>2180622</v>
      </c>
      <c r="D176" s="97">
        <v>0</v>
      </c>
      <c r="E176" s="10">
        <f>C176+D176</f>
        <v>2180622</v>
      </c>
      <c r="F176" s="23">
        <v>314343</v>
      </c>
      <c r="G176" s="23">
        <v>0</v>
      </c>
      <c r="H176" s="16">
        <f>F176+G176</f>
        <v>314343</v>
      </c>
      <c r="I176" s="16">
        <f>E176-H176</f>
        <v>1866279</v>
      </c>
      <c r="J176" s="23">
        <v>16600</v>
      </c>
      <c r="K176" s="23">
        <v>12977</v>
      </c>
      <c r="L176" s="46">
        <v>0</v>
      </c>
      <c r="M176" s="46">
        <v>0</v>
      </c>
      <c r="N176" s="46">
        <v>0</v>
      </c>
      <c r="O176" s="46">
        <v>0</v>
      </c>
      <c r="P176" s="78">
        <f>I176-M176-J176-K176-N176-L176</f>
        <v>1836702</v>
      </c>
      <c r="Q176" s="155"/>
      <c r="R176" s="155">
        <v>3358</v>
      </c>
      <c r="S176" s="45">
        <f>IF(J176+K176+L176+M176+N176&lt;VLOOKUP(A176,Eligibility!$A$3:$F$423,6,0),J176+K176+L176+M176+N176,VLOOKUP(A176,Eligibility!$A$3:$F$423,6,0))-3358</f>
        <v>26219</v>
      </c>
      <c r="T176" s="155"/>
      <c r="U176" s="155"/>
      <c r="V176" s="39"/>
      <c r="W176" s="155"/>
      <c r="X176" s="143"/>
      <c r="Y176" s="143"/>
      <c r="Z176" s="10"/>
      <c r="AA176" s="155"/>
      <c r="AB176" s="155"/>
      <c r="AC176" s="143"/>
      <c r="AD176" s="16"/>
      <c r="AE176" s="16"/>
      <c r="AF176" s="143"/>
      <c r="AG176" s="143"/>
      <c r="AH176" s="143"/>
      <c r="AI176" s="143"/>
      <c r="AJ176" s="143"/>
      <c r="AK176" s="16"/>
      <c r="AL176" s="16"/>
      <c r="AM176" s="143"/>
      <c r="AN176" s="177">
        <f>SUM(P176:AM176)-O176</f>
        <v>1866279</v>
      </c>
    </row>
    <row r="177" spans="1:40" ht="15" thickBot="1" x14ac:dyDescent="0.4">
      <c r="A177" s="40">
        <v>1848</v>
      </c>
      <c r="B177" s="79" t="s">
        <v>7</v>
      </c>
      <c r="C177" s="46">
        <v>116977</v>
      </c>
      <c r="D177" s="97">
        <v>0</v>
      </c>
      <c r="E177" s="10">
        <f>C177+D177</f>
        <v>116977</v>
      </c>
      <c r="F177" s="23">
        <v>549563</v>
      </c>
      <c r="G177" s="23">
        <v>0</v>
      </c>
      <c r="H177" s="16">
        <f>F177+G177</f>
        <v>549563</v>
      </c>
      <c r="I177" s="16">
        <f>E177-H177</f>
        <v>-432586</v>
      </c>
      <c r="J177" s="23">
        <v>0</v>
      </c>
      <c r="K177" s="23">
        <v>0</v>
      </c>
      <c r="L177" s="46">
        <v>0</v>
      </c>
      <c r="M177" s="46">
        <v>0</v>
      </c>
      <c r="N177" s="46">
        <v>0</v>
      </c>
      <c r="O177" s="46">
        <v>0</v>
      </c>
      <c r="P177" s="78">
        <f>I177-M177-J177-K177-N177-L177</f>
        <v>-432586</v>
      </c>
      <c r="Q177" s="155">
        <v>113126</v>
      </c>
      <c r="R177" s="155">
        <f>134895-4288</f>
        <v>130607</v>
      </c>
      <c r="S177" s="45">
        <f>IF(-$P177&lt;VLOOKUP(A177,Eligibility!$A$3:$F$423,6,0),-P177,VLOOKUP(A177,Eligibility!$A$3:$F$423,6,0))</f>
        <v>188853</v>
      </c>
      <c r="T177" s="155"/>
      <c r="U177" s="155"/>
      <c r="V177" s="38"/>
      <c r="W177" s="155"/>
      <c r="X177" s="143"/>
      <c r="Y177" s="143"/>
      <c r="Z177" s="10"/>
      <c r="AA177" s="155"/>
      <c r="AB177" s="155"/>
      <c r="AC177" s="143"/>
      <c r="AD177" s="16"/>
      <c r="AE177" s="16"/>
      <c r="AF177" s="143"/>
      <c r="AG177" s="143"/>
      <c r="AH177" s="143"/>
      <c r="AI177" s="143"/>
      <c r="AJ177" s="143"/>
      <c r="AK177" s="16"/>
      <c r="AL177" s="16"/>
      <c r="AM177" s="143"/>
      <c r="AN177" s="177">
        <f>SUM(P177:AM177)-O177</f>
        <v>0</v>
      </c>
    </row>
    <row r="178" spans="1:40" ht="15" thickBot="1" x14ac:dyDescent="0.4">
      <c r="A178" s="40">
        <v>2849</v>
      </c>
      <c r="B178" s="79" t="s">
        <v>221</v>
      </c>
      <c r="C178" s="46">
        <v>2349879</v>
      </c>
      <c r="D178" s="97">
        <v>0</v>
      </c>
      <c r="E178" s="10">
        <f>C178+D178</f>
        <v>2349879</v>
      </c>
      <c r="F178" s="23">
        <v>2963837</v>
      </c>
      <c r="G178" s="23">
        <v>0</v>
      </c>
      <c r="H178" s="16">
        <f>F178+G178</f>
        <v>2963837</v>
      </c>
      <c r="I178" s="16">
        <f>E178-H178</f>
        <v>-613958</v>
      </c>
      <c r="J178" s="23">
        <v>1000444</v>
      </c>
      <c r="K178" s="23">
        <v>194655</v>
      </c>
      <c r="L178" s="46">
        <v>0</v>
      </c>
      <c r="M178" s="46">
        <v>7059.17</v>
      </c>
      <c r="N178" s="46">
        <v>33926</v>
      </c>
      <c r="O178" s="46">
        <v>0</v>
      </c>
      <c r="P178" s="78">
        <f>I178-M178-J178-K178-N178-L178</f>
        <v>-1850042.17</v>
      </c>
      <c r="Q178" s="155"/>
      <c r="R178" s="155"/>
      <c r="S178" s="45">
        <f>IF(-$P178&lt;VLOOKUP(A178,Eligibility!$A$3:$F$423,6,0),-P178,VLOOKUP(A178,Eligibility!$A$3:$F$423,6,0))</f>
        <v>1850042.17</v>
      </c>
      <c r="T178" s="155"/>
      <c r="U178" s="155"/>
      <c r="V178" s="39"/>
      <c r="W178" s="155"/>
      <c r="X178" s="143"/>
      <c r="Y178" s="143"/>
      <c r="Z178" s="10"/>
      <c r="AA178" s="155"/>
      <c r="AB178" s="155"/>
      <c r="AC178" s="143"/>
      <c r="AD178" s="16"/>
      <c r="AE178" s="16"/>
      <c r="AF178" s="143"/>
      <c r="AG178" s="143"/>
      <c r="AH178" s="143"/>
      <c r="AI178" s="143"/>
      <c r="AJ178" s="143"/>
      <c r="AK178" s="16"/>
      <c r="AL178" s="16"/>
      <c r="AM178" s="143"/>
      <c r="AN178" s="177">
        <f>SUM(P178:AM178)-O178</f>
        <v>0</v>
      </c>
    </row>
    <row r="179" spans="1:40" ht="15" thickBot="1" x14ac:dyDescent="0.4">
      <c r="A179" s="40">
        <v>2856</v>
      </c>
      <c r="B179" s="79" t="s">
        <v>222</v>
      </c>
      <c r="C179" s="46">
        <v>1058173</v>
      </c>
      <c r="D179" s="97">
        <v>0</v>
      </c>
      <c r="E179" s="10">
        <f>C179+D179</f>
        <v>1058173</v>
      </c>
      <c r="F179" s="23">
        <v>924792</v>
      </c>
      <c r="G179" s="23">
        <v>0</v>
      </c>
      <c r="H179" s="16">
        <f>F179+G179</f>
        <v>924792</v>
      </c>
      <c r="I179" s="16">
        <f>E179-H179</f>
        <v>133381</v>
      </c>
      <c r="J179" s="23">
        <v>66400</v>
      </c>
      <c r="K179" s="23">
        <v>0</v>
      </c>
      <c r="L179" s="46">
        <v>0</v>
      </c>
      <c r="M179" s="46">
        <v>7059.17</v>
      </c>
      <c r="N179" s="46">
        <v>0</v>
      </c>
      <c r="O179" s="46">
        <v>0</v>
      </c>
      <c r="P179" s="78">
        <f>I179-M179-J179-K179-N179-L179</f>
        <v>59921.83</v>
      </c>
      <c r="Q179" s="155"/>
      <c r="R179" s="155"/>
      <c r="S179" s="45">
        <f>IF(J179+K179+L179+M179+N179&lt;VLOOKUP(A179,Eligibility!$A$3:$F$423,6,0),J179+K179+L179+M179+N179,VLOOKUP(A179,Eligibility!$A$3:$F$423,6,0))</f>
        <v>73459.17</v>
      </c>
      <c r="T179" s="155"/>
      <c r="U179" s="155"/>
      <c r="V179" s="39"/>
      <c r="W179" s="155"/>
      <c r="X179" s="143"/>
      <c r="Y179" s="143"/>
      <c r="Z179" s="10"/>
      <c r="AA179" s="155"/>
      <c r="AB179" s="155"/>
      <c r="AC179" s="143"/>
      <c r="AD179" s="16"/>
      <c r="AE179" s="16"/>
      <c r="AF179" s="143"/>
      <c r="AG179" s="143"/>
      <c r="AH179" s="143"/>
      <c r="AI179" s="143"/>
      <c r="AJ179" s="143"/>
      <c r="AK179" s="16"/>
      <c r="AL179" s="16"/>
      <c r="AM179" s="143"/>
      <c r="AN179" s="177">
        <f>SUM(P179:AM179)-O179</f>
        <v>133381</v>
      </c>
    </row>
    <row r="180" spans="1:40" ht="15" thickBot="1" x14ac:dyDescent="0.4">
      <c r="A180" s="40">
        <v>2863</v>
      </c>
      <c r="B180" s="79" t="s">
        <v>223</v>
      </c>
      <c r="C180" s="46">
        <v>238727</v>
      </c>
      <c r="D180" s="97">
        <v>0</v>
      </c>
      <c r="E180" s="10">
        <f>C180+D180</f>
        <v>238727</v>
      </c>
      <c r="F180" s="23">
        <v>442440</v>
      </c>
      <c r="G180" s="23">
        <v>0</v>
      </c>
      <c r="H180" s="16">
        <f>F180+G180</f>
        <v>442440</v>
      </c>
      <c r="I180" s="16">
        <f>E180-H180</f>
        <v>-203713</v>
      </c>
      <c r="J180" s="23">
        <v>0</v>
      </c>
      <c r="K180" s="23">
        <v>0</v>
      </c>
      <c r="L180" s="46">
        <v>0</v>
      </c>
      <c r="M180" s="46">
        <v>0</v>
      </c>
      <c r="N180" s="46">
        <v>0</v>
      </c>
      <c r="O180" s="46">
        <v>0</v>
      </c>
      <c r="P180" s="78">
        <f>I180-M180-J180-K180-N180-L180</f>
        <v>-203713</v>
      </c>
      <c r="Q180" s="155"/>
      <c r="R180" s="155"/>
      <c r="S180" s="45">
        <f>IF(-$P180&lt;VLOOKUP(A180,Eligibility!$A$3:$F$423,6,0),-P180,VLOOKUP(A180,Eligibility!$A$3:$F$423,6,0))</f>
        <v>203713</v>
      </c>
      <c r="T180" s="155"/>
      <c r="U180" s="155"/>
      <c r="V180" s="39"/>
      <c r="W180" s="155"/>
      <c r="X180" s="143"/>
      <c r="Y180" s="143"/>
      <c r="Z180" s="10"/>
      <c r="AA180" s="155"/>
      <c r="AB180" s="155"/>
      <c r="AC180" s="143"/>
      <c r="AD180" s="16"/>
      <c r="AE180" s="16"/>
      <c r="AF180" s="143"/>
      <c r="AG180" s="143"/>
      <c r="AH180" s="143"/>
      <c r="AI180" s="143"/>
      <c r="AJ180" s="143"/>
      <c r="AK180" s="16"/>
      <c r="AL180" s="16"/>
      <c r="AM180" s="143"/>
      <c r="AN180" s="177">
        <f>SUM(P180:AM180)-O180</f>
        <v>0</v>
      </c>
    </row>
    <row r="181" spans="1:40" ht="15" thickBot="1" x14ac:dyDescent="0.4">
      <c r="A181" s="40">
        <v>3862</v>
      </c>
      <c r="B181" s="79" t="s">
        <v>224</v>
      </c>
      <c r="C181" s="46">
        <v>1279665</v>
      </c>
      <c r="D181" s="97">
        <v>0</v>
      </c>
      <c r="E181" s="10">
        <f>C181+D181</f>
        <v>1279665</v>
      </c>
      <c r="F181" s="23">
        <v>200022</v>
      </c>
      <c r="G181" s="23">
        <v>8125</v>
      </c>
      <c r="H181" s="16">
        <f>F181+G181</f>
        <v>208147</v>
      </c>
      <c r="I181" s="16">
        <f>E181-H181</f>
        <v>1071518</v>
      </c>
      <c r="J181" s="23">
        <v>8300</v>
      </c>
      <c r="K181" s="23">
        <v>14788.5</v>
      </c>
      <c r="L181" s="46">
        <v>0</v>
      </c>
      <c r="M181" s="46">
        <v>0</v>
      </c>
      <c r="N181" s="46">
        <v>0</v>
      </c>
      <c r="O181" s="46">
        <v>0</v>
      </c>
      <c r="P181" s="78">
        <f>I181-M181-J181-K181-N181-L181</f>
        <v>1048429.5</v>
      </c>
      <c r="Q181" s="155">
        <v>1096</v>
      </c>
      <c r="R181" s="155">
        <v>685</v>
      </c>
      <c r="S181" s="45">
        <f>IF(J181+K181+L181+M181+N181&lt;VLOOKUP(A181,Eligibility!$A$3:$F$423,6,0),J181+K181+L181+M181+N181,VLOOKUP(A181,Eligibility!$A$3:$F$423,6,0))</f>
        <v>959</v>
      </c>
      <c r="T181" s="155">
        <v>2995.5</v>
      </c>
      <c r="U181" s="155">
        <v>7230</v>
      </c>
      <c r="V181" s="39">
        <v>10123</v>
      </c>
      <c r="W181" s="155"/>
      <c r="X181" s="143"/>
      <c r="Y181" s="143"/>
      <c r="Z181" s="10"/>
      <c r="AA181" s="155"/>
      <c r="AB181" s="155"/>
      <c r="AC181" s="143"/>
      <c r="AD181" s="16"/>
      <c r="AE181" s="16"/>
      <c r="AF181" s="143"/>
      <c r="AG181" s="143"/>
      <c r="AH181" s="143"/>
      <c r="AI181" s="143"/>
      <c r="AJ181" s="143"/>
      <c r="AK181" s="16"/>
      <c r="AL181" s="16"/>
      <c r="AM181" s="143"/>
      <c r="AN181" s="177">
        <f>SUM(P181:AM181)-O181</f>
        <v>1071518</v>
      </c>
    </row>
    <row r="182" spans="1:40" ht="15" thickBot="1" x14ac:dyDescent="0.4">
      <c r="A182" s="40">
        <v>2885</v>
      </c>
      <c r="B182" s="79" t="s">
        <v>225</v>
      </c>
      <c r="C182" s="46">
        <v>1861605</v>
      </c>
      <c r="D182" s="97">
        <v>64885</v>
      </c>
      <c r="E182" s="10">
        <f>C182+D182</f>
        <v>1926490</v>
      </c>
      <c r="F182" s="23">
        <v>2239455</v>
      </c>
      <c r="G182" s="23">
        <v>0</v>
      </c>
      <c r="H182" s="16">
        <f>F182+G182</f>
        <v>2239455</v>
      </c>
      <c r="I182" s="16">
        <f>E182-H182</f>
        <v>-312965</v>
      </c>
      <c r="J182" s="23">
        <v>215800</v>
      </c>
      <c r="K182" s="23">
        <v>0</v>
      </c>
      <c r="L182" s="46">
        <v>0</v>
      </c>
      <c r="M182" s="46">
        <v>0</v>
      </c>
      <c r="N182" s="46">
        <v>0</v>
      </c>
      <c r="O182" s="46">
        <v>0</v>
      </c>
      <c r="P182" s="78">
        <f>I182-M182-J182-K182-N182-L182</f>
        <v>-528765</v>
      </c>
      <c r="Q182" s="155"/>
      <c r="R182" s="155"/>
      <c r="S182" s="45">
        <f>IF(-$P182&lt;VLOOKUP(A182,Eligibility!$A$3:$F$423,6,0),-P182,VLOOKUP(A182,Eligibility!$A$3:$F$423,6,0))</f>
        <v>528765</v>
      </c>
      <c r="T182" s="155"/>
      <c r="U182" s="155"/>
      <c r="V182" s="39"/>
      <c r="W182" s="155"/>
      <c r="X182" s="143"/>
      <c r="Y182" s="143"/>
      <c r="Z182" s="10"/>
      <c r="AA182" s="155"/>
      <c r="AB182" s="155"/>
      <c r="AC182" s="143"/>
      <c r="AD182" s="16"/>
      <c r="AE182" s="16"/>
      <c r="AF182" s="143"/>
      <c r="AG182" s="143"/>
      <c r="AH182" s="143"/>
      <c r="AI182" s="143"/>
      <c r="AJ182" s="143"/>
      <c r="AK182" s="16"/>
      <c r="AL182" s="16"/>
      <c r="AM182" s="143"/>
      <c r="AN182" s="177">
        <f>SUM(P182:AM182)-O182</f>
        <v>0</v>
      </c>
    </row>
    <row r="183" spans="1:40" ht="15" thickBot="1" x14ac:dyDescent="0.4">
      <c r="A183" s="40">
        <v>2884</v>
      </c>
      <c r="B183" s="79" t="s">
        <v>226</v>
      </c>
      <c r="C183" s="46">
        <v>1294359</v>
      </c>
      <c r="D183" s="97">
        <v>0</v>
      </c>
      <c r="E183" s="10">
        <f>C183+D183</f>
        <v>1294359</v>
      </c>
      <c r="F183" s="23">
        <v>766853</v>
      </c>
      <c r="G183" s="23">
        <v>0</v>
      </c>
      <c r="H183" s="16">
        <f>F183+G183</f>
        <v>766853</v>
      </c>
      <c r="I183" s="16">
        <f>E183-H183</f>
        <v>527506</v>
      </c>
      <c r="J183" s="23">
        <v>53676</v>
      </c>
      <c r="K183" s="23">
        <v>0</v>
      </c>
      <c r="L183" s="46">
        <v>0</v>
      </c>
      <c r="M183" s="46">
        <v>0</v>
      </c>
      <c r="N183" s="46">
        <v>0</v>
      </c>
      <c r="O183" s="46">
        <v>0</v>
      </c>
      <c r="P183" s="78">
        <f>I183-M183-J183-K183-N183-L183</f>
        <v>473830</v>
      </c>
      <c r="Q183" s="155"/>
      <c r="R183" s="155"/>
      <c r="S183" s="45">
        <f>IF(J183+K183+L183+M183+N183&lt;VLOOKUP(A183,Eligibility!$A$3:$F$423,6,0),J183+K183+L183+M183+N183,VLOOKUP(A183,Eligibility!$A$3:$F$423,6,0))</f>
        <v>53676</v>
      </c>
      <c r="T183" s="155"/>
      <c r="U183" s="155"/>
      <c r="V183" s="39"/>
      <c r="W183" s="155"/>
      <c r="X183" s="143"/>
      <c r="Y183" s="143"/>
      <c r="Z183" s="10"/>
      <c r="AA183" s="155"/>
      <c r="AB183" s="155"/>
      <c r="AC183" s="143"/>
      <c r="AD183" s="16"/>
      <c r="AE183" s="16"/>
      <c r="AF183" s="143"/>
      <c r="AG183" s="143"/>
      <c r="AH183" s="143"/>
      <c r="AI183" s="143"/>
      <c r="AJ183" s="143"/>
      <c r="AK183" s="16"/>
      <c r="AL183" s="16"/>
      <c r="AM183" s="143"/>
      <c r="AN183" s="177">
        <f>SUM(P183:AM183)-O183</f>
        <v>527506</v>
      </c>
    </row>
    <row r="184" spans="1:40" ht="15" thickBot="1" x14ac:dyDescent="0.4">
      <c r="A184" s="40">
        <v>2891</v>
      </c>
      <c r="B184" s="79" t="s">
        <v>45</v>
      </c>
      <c r="C184" s="46">
        <v>239645</v>
      </c>
      <c r="D184" s="97">
        <v>0</v>
      </c>
      <c r="E184" s="10">
        <f>C184+D184</f>
        <v>239645</v>
      </c>
      <c r="F184" s="23">
        <v>324684</v>
      </c>
      <c r="G184" s="23">
        <v>0</v>
      </c>
      <c r="H184" s="16">
        <f>F184+G184</f>
        <v>324684</v>
      </c>
      <c r="I184" s="16">
        <f>E184-H184</f>
        <v>-85039</v>
      </c>
      <c r="J184" s="23">
        <v>0</v>
      </c>
      <c r="K184" s="23">
        <v>0</v>
      </c>
      <c r="L184" s="46">
        <v>0</v>
      </c>
      <c r="M184" s="46">
        <v>0</v>
      </c>
      <c r="N184" s="46">
        <v>0</v>
      </c>
      <c r="O184" s="46">
        <v>0</v>
      </c>
      <c r="P184" s="78">
        <f>I184-M184-J184-K184-N184-L184</f>
        <v>-85039</v>
      </c>
      <c r="Q184" s="155">
        <v>18755</v>
      </c>
      <c r="R184" s="155">
        <v>20735</v>
      </c>
      <c r="S184" s="45">
        <f>IF(-$P184&lt;VLOOKUP(A184,Eligibility!$A$3:$F$423,6,0),-P184,VLOOKUP(A184,Eligibility!$A$3:$F$423,6,0))</f>
        <v>29029</v>
      </c>
      <c r="T184" s="155"/>
      <c r="U184" s="155"/>
      <c r="V184" s="39">
        <v>16520</v>
      </c>
      <c r="W184" s="155"/>
      <c r="X184" s="143"/>
      <c r="Y184" s="143"/>
      <c r="Z184" s="39"/>
      <c r="AA184" s="155"/>
      <c r="AB184" s="155"/>
      <c r="AC184" s="143"/>
      <c r="AD184" s="16"/>
      <c r="AE184" s="16"/>
      <c r="AF184" s="143"/>
      <c r="AG184" s="143"/>
      <c r="AH184" s="143"/>
      <c r="AI184" s="143"/>
      <c r="AJ184" s="143"/>
      <c r="AK184" s="10"/>
      <c r="AL184" s="16"/>
      <c r="AM184" s="143"/>
      <c r="AN184" s="177">
        <f>SUM(P184:AM184)-O184</f>
        <v>0</v>
      </c>
    </row>
    <row r="185" spans="1:40" ht="15" thickBot="1" x14ac:dyDescent="0.4">
      <c r="A185" s="40">
        <v>2898</v>
      </c>
      <c r="B185" s="79" t="s">
        <v>227</v>
      </c>
      <c r="C185" s="46">
        <v>795158</v>
      </c>
      <c r="D185" s="97">
        <v>0</v>
      </c>
      <c r="E185" s="10">
        <f>C185+D185</f>
        <v>795158</v>
      </c>
      <c r="F185" s="23">
        <v>750845</v>
      </c>
      <c r="G185" s="23">
        <v>0</v>
      </c>
      <c r="H185" s="16">
        <f>F185+G185</f>
        <v>750845</v>
      </c>
      <c r="I185" s="16">
        <f>E185-H185</f>
        <v>44313</v>
      </c>
      <c r="J185" s="23">
        <v>237020</v>
      </c>
      <c r="K185" s="23">
        <v>0</v>
      </c>
      <c r="L185" s="46">
        <v>0</v>
      </c>
      <c r="M185" s="46">
        <v>0</v>
      </c>
      <c r="N185" s="46">
        <v>0</v>
      </c>
      <c r="O185" s="46">
        <v>0</v>
      </c>
      <c r="P185" s="78">
        <f>I185-M185-J185-K185-N185-L185</f>
        <v>-192707</v>
      </c>
      <c r="Q185" s="155"/>
      <c r="R185" s="155"/>
      <c r="S185" s="45">
        <f>IF(J185+K185+L185+M185+N185&lt;VLOOKUP(A185,Eligibility!$A$3:$F$423,6,0),J185+K185+L185+M185+N185,VLOOKUP(A185,Eligibility!$A$3:$F$423,6,0))</f>
        <v>237020</v>
      </c>
      <c r="T185" s="155"/>
      <c r="U185" s="155"/>
      <c r="V185" s="39"/>
      <c r="W185" s="155"/>
      <c r="X185" s="143"/>
      <c r="Y185" s="143"/>
      <c r="Z185" s="10"/>
      <c r="AA185" s="155"/>
      <c r="AB185" s="155"/>
      <c r="AC185" s="143"/>
      <c r="AD185" s="16"/>
      <c r="AE185" s="16"/>
      <c r="AF185" s="143"/>
      <c r="AG185" s="143"/>
      <c r="AH185" s="143"/>
      <c r="AI185" s="143"/>
      <c r="AJ185" s="143"/>
      <c r="AK185" s="16"/>
      <c r="AL185" s="16"/>
      <c r="AM185" s="143"/>
      <c r="AN185" s="177">
        <f>SUM(P185:AM185)-O185</f>
        <v>44313</v>
      </c>
    </row>
    <row r="186" spans="1:40" ht="15" thickBot="1" x14ac:dyDescent="0.4">
      <c r="A186" s="40">
        <v>3647</v>
      </c>
      <c r="B186" s="79" t="s">
        <v>54</v>
      </c>
      <c r="C186" s="46">
        <v>315405</v>
      </c>
      <c r="D186" s="97">
        <v>0</v>
      </c>
      <c r="E186" s="10">
        <f>C186+D186</f>
        <v>315405</v>
      </c>
      <c r="F186" s="23">
        <v>217680</v>
      </c>
      <c r="G186" s="23">
        <v>0</v>
      </c>
      <c r="H186" s="16">
        <f>F186+G186</f>
        <v>217680</v>
      </c>
      <c r="I186" s="16">
        <f>E186-H186</f>
        <v>97725</v>
      </c>
      <c r="J186" s="23">
        <v>8946</v>
      </c>
      <c r="K186" s="23">
        <v>0</v>
      </c>
      <c r="L186" s="46">
        <v>0</v>
      </c>
      <c r="M186" s="46">
        <v>7059.17</v>
      </c>
      <c r="N186" s="46">
        <v>0</v>
      </c>
      <c r="O186" s="46">
        <v>0</v>
      </c>
      <c r="P186" s="78">
        <f>I186-M186-J186-K186-N186-L186</f>
        <v>81719.83</v>
      </c>
      <c r="Q186" s="155"/>
      <c r="R186" s="155"/>
      <c r="S186" s="45">
        <f>IF(J186+K186+L186+M186+N186&lt;VLOOKUP(A186,Eligibility!$A$3:$F$423,6,0),J186+K186+L186+M186+N186,VLOOKUP(A186,Eligibility!$A$3:$F$423,6,0))</f>
        <v>0</v>
      </c>
      <c r="T186" s="155"/>
      <c r="U186" s="155">
        <v>1396</v>
      </c>
      <c r="V186" s="38">
        <v>7550</v>
      </c>
      <c r="W186" s="155"/>
      <c r="X186" s="143"/>
      <c r="Y186" s="143"/>
      <c r="Z186" s="10"/>
      <c r="AA186" s="155"/>
      <c r="AB186" s="155"/>
      <c r="AC186" s="143"/>
      <c r="AD186" s="16">
        <v>7059.17</v>
      </c>
      <c r="AE186" s="16"/>
      <c r="AF186" s="143"/>
      <c r="AG186" s="143"/>
      <c r="AH186" s="143"/>
      <c r="AI186" s="143"/>
      <c r="AJ186" s="143"/>
      <c r="AK186" s="16"/>
      <c r="AL186" s="16"/>
      <c r="AM186" s="143"/>
      <c r="AN186" s="177">
        <f>SUM(P186:AM186)-O186</f>
        <v>97725</v>
      </c>
    </row>
    <row r="187" spans="1:40" ht="15" thickBot="1" x14ac:dyDescent="0.4">
      <c r="A187" s="40">
        <v>2912</v>
      </c>
      <c r="B187" s="79" t="s">
        <v>228</v>
      </c>
      <c r="C187" s="46">
        <v>413618</v>
      </c>
      <c r="D187" s="97">
        <v>0</v>
      </c>
      <c r="E187" s="10">
        <f>C187+D187</f>
        <v>413618</v>
      </c>
      <c r="F187" s="23">
        <v>512206</v>
      </c>
      <c r="G187" s="23">
        <v>0</v>
      </c>
      <c r="H187" s="16">
        <f>F187+G187</f>
        <v>512206</v>
      </c>
      <c r="I187" s="16">
        <f>E187-H187</f>
        <v>-98588</v>
      </c>
      <c r="J187" s="23">
        <v>0</v>
      </c>
      <c r="K187" s="23">
        <v>0</v>
      </c>
      <c r="L187" s="46">
        <v>0</v>
      </c>
      <c r="M187" s="46">
        <v>0</v>
      </c>
      <c r="N187" s="46">
        <v>11367</v>
      </c>
      <c r="O187" s="46">
        <v>0</v>
      </c>
      <c r="P187" s="78">
        <f>I187-M187-J187-K187-N187-L187</f>
        <v>-109955</v>
      </c>
      <c r="Q187" s="155"/>
      <c r="R187" s="155"/>
      <c r="S187" s="45">
        <f>IF(-$P187&lt;VLOOKUP(A187,Eligibility!$A$3:$F$423,6,0),-P187,VLOOKUP(A187,Eligibility!$A$3:$F$423,6,0))</f>
        <v>109955</v>
      </c>
      <c r="T187" s="155"/>
      <c r="U187" s="155"/>
      <c r="V187" s="39"/>
      <c r="W187" s="155"/>
      <c r="X187" s="143"/>
      <c r="Y187" s="143"/>
      <c r="Z187" s="10"/>
      <c r="AA187" s="155"/>
      <c r="AB187" s="155"/>
      <c r="AC187" s="143"/>
      <c r="AD187" s="16"/>
      <c r="AE187" s="16"/>
      <c r="AF187" s="143"/>
      <c r="AG187" s="143"/>
      <c r="AH187" s="143"/>
      <c r="AI187" s="143"/>
      <c r="AJ187" s="143"/>
      <c r="AK187" s="16"/>
      <c r="AL187" s="16"/>
      <c r="AM187" s="143"/>
      <c r="AN187" s="177">
        <f>SUM(P187:AM187)-O187</f>
        <v>0</v>
      </c>
    </row>
    <row r="188" spans="1:40" ht="15" thickBot="1" x14ac:dyDescent="0.4">
      <c r="A188" s="40">
        <v>2940</v>
      </c>
      <c r="B188" s="79" t="s">
        <v>229</v>
      </c>
      <c r="C188" s="46">
        <v>454032</v>
      </c>
      <c r="D188" s="97">
        <v>0</v>
      </c>
      <c r="E188" s="10">
        <f>C188+D188</f>
        <v>454032</v>
      </c>
      <c r="F188" s="23">
        <v>173683</v>
      </c>
      <c r="G188" s="23">
        <v>0</v>
      </c>
      <c r="H188" s="16">
        <f>F188+G188</f>
        <v>173683</v>
      </c>
      <c r="I188" s="16">
        <f>E188-H188</f>
        <v>280349</v>
      </c>
      <c r="J188" s="23">
        <v>0</v>
      </c>
      <c r="K188" s="23">
        <v>0</v>
      </c>
      <c r="L188" s="46">
        <v>0</v>
      </c>
      <c r="M188" s="46">
        <v>0</v>
      </c>
      <c r="N188" s="46">
        <v>0</v>
      </c>
      <c r="O188" s="46">
        <v>0</v>
      </c>
      <c r="P188" s="78">
        <f>I188-M188-J188-K188-N188-L188</f>
        <v>280349</v>
      </c>
      <c r="Q188" s="155"/>
      <c r="R188" s="155"/>
      <c r="S188" s="45">
        <f>IF(J188+K188+L188+M188+N188&lt;VLOOKUP(A188,Eligibility!$A$3:$F$423,6,0),J188+K188+L188+M188+N188,VLOOKUP(A188,Eligibility!$A$3:$F$423,6,0))</f>
        <v>0</v>
      </c>
      <c r="T188" s="155"/>
      <c r="U188" s="155"/>
      <c r="V188" s="39"/>
      <c r="W188" s="155"/>
      <c r="X188" s="143"/>
      <c r="Y188" s="143"/>
      <c r="Z188" s="10"/>
      <c r="AA188" s="155"/>
      <c r="AB188" s="155"/>
      <c r="AC188" s="143"/>
      <c r="AD188" s="16"/>
      <c r="AE188" s="16"/>
      <c r="AF188" s="143"/>
      <c r="AG188" s="143"/>
      <c r="AH188" s="143"/>
      <c r="AI188" s="143"/>
      <c r="AJ188" s="143"/>
      <c r="AK188" s="16"/>
      <c r="AL188" s="16"/>
      <c r="AM188" s="143"/>
      <c r="AN188" s="177">
        <f>SUM(P188:AM188)-O188</f>
        <v>280349</v>
      </c>
    </row>
    <row r="189" spans="1:40" ht="15" thickBot="1" x14ac:dyDescent="0.4">
      <c r="A189" s="40">
        <v>2961</v>
      </c>
      <c r="B189" s="79" t="s">
        <v>230</v>
      </c>
      <c r="C189" s="46">
        <v>633761</v>
      </c>
      <c r="D189" s="97">
        <v>0</v>
      </c>
      <c r="E189" s="10">
        <f>C189+D189</f>
        <v>633761</v>
      </c>
      <c r="F189" s="23">
        <v>565146</v>
      </c>
      <c r="G189" s="23">
        <v>16250</v>
      </c>
      <c r="H189" s="16">
        <f>F189+G189</f>
        <v>581396</v>
      </c>
      <c r="I189" s="16">
        <f>E189-H189</f>
        <v>52365</v>
      </c>
      <c r="J189" s="23">
        <v>42146</v>
      </c>
      <c r="K189" s="23">
        <v>0</v>
      </c>
      <c r="L189" s="46">
        <v>0</v>
      </c>
      <c r="M189" s="46">
        <v>0</v>
      </c>
      <c r="N189" s="46">
        <v>0</v>
      </c>
      <c r="O189" s="46">
        <v>0</v>
      </c>
      <c r="P189" s="78">
        <f>I189-M189-J189-K189-N189-L189</f>
        <v>10219</v>
      </c>
      <c r="Q189" s="155"/>
      <c r="R189" s="155"/>
      <c r="S189" s="45">
        <f>IF(J189+K189+L189+M189+N189&lt;VLOOKUP(A189,Eligibility!$A$3:$F$423,6,0),J189+K189+L189+M189+N189,VLOOKUP(A189,Eligibility!$A$3:$F$423,6,0))</f>
        <v>42146</v>
      </c>
      <c r="T189" s="155"/>
      <c r="U189" s="155"/>
      <c r="V189" s="39"/>
      <c r="W189" s="155"/>
      <c r="X189" s="143"/>
      <c r="Y189" s="143"/>
      <c r="Z189" s="10"/>
      <c r="AA189" s="155"/>
      <c r="AB189" s="155"/>
      <c r="AC189" s="143"/>
      <c r="AD189" s="16"/>
      <c r="AE189" s="16"/>
      <c r="AF189" s="143"/>
      <c r="AG189" s="143"/>
      <c r="AH189" s="143"/>
      <c r="AI189" s="143"/>
      <c r="AJ189" s="143"/>
      <c r="AK189" s="16"/>
      <c r="AL189" s="16"/>
      <c r="AM189" s="143"/>
      <c r="AN189" s="177">
        <f>SUM(P189:AM189)-O189</f>
        <v>52365</v>
      </c>
    </row>
    <row r="190" spans="1:40" ht="15" thickBot="1" x14ac:dyDescent="0.4">
      <c r="A190" s="40">
        <v>3087</v>
      </c>
      <c r="B190" s="79" t="s">
        <v>42</v>
      </c>
      <c r="C190" s="46">
        <v>433062</v>
      </c>
      <c r="D190" s="97">
        <v>0</v>
      </c>
      <c r="E190" s="10">
        <f>C190+D190</f>
        <v>433062</v>
      </c>
      <c r="F190" s="23">
        <v>377077</v>
      </c>
      <c r="G190" s="23">
        <v>0</v>
      </c>
      <c r="H190" s="16">
        <f>F190+G190</f>
        <v>377077</v>
      </c>
      <c r="I190" s="16">
        <f>E190-H190</f>
        <v>55985</v>
      </c>
      <c r="J190" s="23">
        <v>0</v>
      </c>
      <c r="K190" s="23">
        <v>0</v>
      </c>
      <c r="L190" s="46">
        <v>0</v>
      </c>
      <c r="M190" s="46">
        <v>0</v>
      </c>
      <c r="N190" s="46">
        <v>0</v>
      </c>
      <c r="O190" s="46">
        <v>0</v>
      </c>
      <c r="P190" s="78">
        <f>I190-M190-J190-K190-N190-L190</f>
        <v>55985</v>
      </c>
      <c r="Q190" s="155"/>
      <c r="R190" s="155"/>
      <c r="S190" s="45">
        <f>IF(J190+K190+L190+M190+N190&lt;VLOOKUP(A190,Eligibility!$A$3:$F$423,6,0),J190+K190+L190+M190+N190,VLOOKUP(A190,Eligibility!$A$3:$F$423,6,0))</f>
        <v>0</v>
      </c>
      <c r="T190" s="155"/>
      <c r="U190" s="155"/>
      <c r="V190" s="39"/>
      <c r="W190" s="155"/>
      <c r="X190" s="143"/>
      <c r="Y190" s="143"/>
      <c r="Z190" s="10"/>
      <c r="AA190" s="155"/>
      <c r="AB190" s="155"/>
      <c r="AC190" s="143"/>
      <c r="AD190" s="10"/>
      <c r="AE190" s="16"/>
      <c r="AF190" s="143"/>
      <c r="AG190" s="143"/>
      <c r="AH190" s="143"/>
      <c r="AI190" s="143"/>
      <c r="AJ190" s="143"/>
      <c r="AK190" s="16"/>
      <c r="AL190" s="16"/>
      <c r="AM190" s="143"/>
      <c r="AN190" s="177">
        <f>SUM(P190:AM190)-O190</f>
        <v>55985</v>
      </c>
    </row>
    <row r="191" spans="1:40" ht="15" thickBot="1" x14ac:dyDescent="0.4">
      <c r="A191" s="40">
        <v>3094</v>
      </c>
      <c r="B191" s="79" t="s">
        <v>231</v>
      </c>
      <c r="C191" s="46">
        <v>714483</v>
      </c>
      <c r="D191" s="97">
        <v>0</v>
      </c>
      <c r="E191" s="10">
        <f>C191+D191</f>
        <v>714483</v>
      </c>
      <c r="F191" s="23">
        <v>165608</v>
      </c>
      <c r="G191" s="23">
        <v>0</v>
      </c>
      <c r="H191" s="16">
        <f>F191+G191</f>
        <v>165608</v>
      </c>
      <c r="I191" s="16">
        <f>E191-H191</f>
        <v>548875</v>
      </c>
      <c r="J191" s="23">
        <v>8300</v>
      </c>
      <c r="K191" s="23">
        <v>0</v>
      </c>
      <c r="L191" s="46">
        <v>0</v>
      </c>
      <c r="M191" s="46">
        <v>0</v>
      </c>
      <c r="N191" s="46">
        <v>0</v>
      </c>
      <c r="O191" s="46">
        <v>0</v>
      </c>
      <c r="P191" s="78">
        <f>I191-M191-J191-K191-N191-L191</f>
        <v>540575</v>
      </c>
      <c r="Q191" s="155"/>
      <c r="R191" s="155"/>
      <c r="S191" s="45">
        <f>IF(J191+K191+L191+M191+N191&lt;VLOOKUP(A191,Eligibility!$A$3:$F$423,6,0),J191+K191+L191+M191+N191,VLOOKUP(A191,Eligibility!$A$3:$F$423,6,0))</f>
        <v>0</v>
      </c>
      <c r="T191" s="155">
        <v>270</v>
      </c>
      <c r="U191" s="155">
        <v>169</v>
      </c>
      <c r="V191" s="39">
        <v>235</v>
      </c>
      <c r="W191" s="155"/>
      <c r="X191" s="143"/>
      <c r="Y191" s="143"/>
      <c r="Z191" s="10"/>
      <c r="AA191" s="155">
        <v>7626</v>
      </c>
      <c r="AB191" s="155"/>
      <c r="AC191" s="143"/>
      <c r="AD191" s="16"/>
      <c r="AE191" s="16"/>
      <c r="AF191" s="143"/>
      <c r="AG191" s="143"/>
      <c r="AH191" s="143"/>
      <c r="AI191" s="143"/>
      <c r="AJ191" s="143"/>
      <c r="AK191" s="16"/>
      <c r="AL191" s="16"/>
      <c r="AM191" s="143"/>
      <c r="AN191" s="177">
        <f>SUM(P191:AM191)-O191</f>
        <v>548875</v>
      </c>
    </row>
    <row r="192" spans="1:40" ht="15" thickBot="1" x14ac:dyDescent="0.4">
      <c r="A192" s="40">
        <v>3129</v>
      </c>
      <c r="B192" s="79" t="s">
        <v>232</v>
      </c>
      <c r="C192" s="46">
        <v>4081592</v>
      </c>
      <c r="D192" s="97">
        <v>0</v>
      </c>
      <c r="E192" s="10">
        <f>C192+D192</f>
        <v>4081592</v>
      </c>
      <c r="F192" s="23">
        <v>1071316</v>
      </c>
      <c r="G192" s="23">
        <v>0</v>
      </c>
      <c r="H192" s="16">
        <f>F192+G192</f>
        <v>1071316</v>
      </c>
      <c r="I192" s="16">
        <f>E192-H192</f>
        <v>3010276</v>
      </c>
      <c r="J192" s="23">
        <v>459730</v>
      </c>
      <c r="K192" s="23">
        <v>12977</v>
      </c>
      <c r="L192" s="46">
        <v>0</v>
      </c>
      <c r="M192" s="46">
        <v>0</v>
      </c>
      <c r="N192" s="46">
        <v>0</v>
      </c>
      <c r="O192" s="46"/>
      <c r="P192" s="78">
        <f>I192-M192-J192-K192-N192-L192</f>
        <v>2537569</v>
      </c>
      <c r="Q192" s="155"/>
      <c r="R192" s="155"/>
      <c r="S192" s="45">
        <f>IF(J192+K192+L192+M192+N192&lt;VLOOKUP(A192,Eligibility!$A$3:$F$423,6,0),J192+K192+L192+M192+N192,VLOOKUP(A192,Eligibility!$A$3:$F$423,6,0))</f>
        <v>472707</v>
      </c>
      <c r="T192" s="155"/>
      <c r="U192" s="155"/>
      <c r="V192" s="39"/>
      <c r="W192" s="155"/>
      <c r="X192" s="143"/>
      <c r="Y192" s="143"/>
      <c r="Z192" s="10"/>
      <c r="AA192" s="155"/>
      <c r="AB192" s="155"/>
      <c r="AC192" s="143"/>
      <c r="AD192" s="16"/>
      <c r="AE192" s="16"/>
      <c r="AF192" s="143"/>
      <c r="AG192" s="143"/>
      <c r="AH192" s="143"/>
      <c r="AI192" s="143"/>
      <c r="AJ192" s="143"/>
      <c r="AK192" s="16"/>
      <c r="AL192" s="16"/>
      <c r="AM192" s="143"/>
      <c r="AN192" s="177">
        <f>SUM(P192:AM192)-O192</f>
        <v>3010276</v>
      </c>
    </row>
    <row r="193" spans="1:40" ht="15" thickBot="1" x14ac:dyDescent="0.4">
      <c r="A193" s="40">
        <v>3150</v>
      </c>
      <c r="B193" s="79" t="s">
        <v>233</v>
      </c>
      <c r="C193" s="46">
        <v>812838</v>
      </c>
      <c r="D193" s="97">
        <v>0</v>
      </c>
      <c r="E193" s="10">
        <f>C193+D193</f>
        <v>812838</v>
      </c>
      <c r="F193" s="23">
        <v>568578</v>
      </c>
      <c r="G193" s="23">
        <v>0</v>
      </c>
      <c r="H193" s="16">
        <f>F193+G193</f>
        <v>568578</v>
      </c>
      <c r="I193" s="16">
        <f>E193-H193</f>
        <v>244260</v>
      </c>
      <c r="J193" s="23">
        <v>0</v>
      </c>
      <c r="K193" s="23">
        <v>0</v>
      </c>
      <c r="L193" s="46">
        <v>0</v>
      </c>
      <c r="M193" s="46">
        <v>14118.34</v>
      </c>
      <c r="N193" s="46">
        <v>0</v>
      </c>
      <c r="O193" s="46">
        <v>0</v>
      </c>
      <c r="P193" s="78">
        <f>I193-M193-J193-K193-N193-L193</f>
        <v>230141.66</v>
      </c>
      <c r="Q193" s="155"/>
      <c r="R193" s="155"/>
      <c r="S193" s="45">
        <f>IF(J193+K193+L193+M193+N193&lt;VLOOKUP(A193,Eligibility!$A$3:$F$423,6,0),J193+K193+L193+M193+N193,VLOOKUP(A193,Eligibility!$A$3:$F$423,6,0))</f>
        <v>14118.34</v>
      </c>
      <c r="T193" s="155"/>
      <c r="U193" s="155"/>
      <c r="V193" s="39"/>
      <c r="W193" s="155"/>
      <c r="X193" s="143"/>
      <c r="Y193" s="143"/>
      <c r="Z193" s="10"/>
      <c r="AA193" s="155"/>
      <c r="AB193" s="155"/>
      <c r="AC193" s="143"/>
      <c r="AD193" s="16"/>
      <c r="AE193" s="16"/>
      <c r="AF193" s="143"/>
      <c r="AG193" s="143"/>
      <c r="AH193" s="143"/>
      <c r="AI193" s="143"/>
      <c r="AJ193" s="143"/>
      <c r="AK193" s="16"/>
      <c r="AL193" s="16"/>
      <c r="AM193" s="143"/>
      <c r="AN193" s="177">
        <f>SUM(P193:AM193)-O193</f>
        <v>244260</v>
      </c>
    </row>
    <row r="194" spans="1:40" ht="15" thickBot="1" x14ac:dyDescent="0.4">
      <c r="A194" s="40">
        <v>3171</v>
      </c>
      <c r="B194" s="79" t="s">
        <v>234</v>
      </c>
      <c r="C194" s="46">
        <v>1079443</v>
      </c>
      <c r="D194" s="97">
        <v>0</v>
      </c>
      <c r="E194" s="10">
        <f>C194+D194</f>
        <v>1079443</v>
      </c>
      <c r="F194" s="23">
        <v>823587</v>
      </c>
      <c r="G194" s="23">
        <v>0</v>
      </c>
      <c r="H194" s="16">
        <f>F194+G194</f>
        <v>823587</v>
      </c>
      <c r="I194" s="16">
        <f>E194-H194</f>
        <v>255856</v>
      </c>
      <c r="J194" s="23">
        <v>185184</v>
      </c>
      <c r="K194" s="23">
        <v>0</v>
      </c>
      <c r="L194" s="46">
        <v>0</v>
      </c>
      <c r="M194" s="46">
        <v>0</v>
      </c>
      <c r="N194" s="46">
        <v>0</v>
      </c>
      <c r="O194" s="46">
        <v>0</v>
      </c>
      <c r="P194" s="78">
        <f>I194-M194-J194-K194-N194-L194</f>
        <v>70672</v>
      </c>
      <c r="Q194" s="155"/>
      <c r="R194" s="155"/>
      <c r="S194" s="45">
        <f>IF(J194+K194+L194+M194+N194&lt;VLOOKUP(A194,Eligibility!$A$3:$F$423,6,0),J194+K194+L194+M194+N194,VLOOKUP(A194,Eligibility!$A$3:$F$423,6,0))</f>
        <v>185184</v>
      </c>
      <c r="T194" s="155"/>
      <c r="U194" s="155"/>
      <c r="V194" s="39"/>
      <c r="W194" s="155"/>
      <c r="X194" s="143"/>
      <c r="Y194" s="143"/>
      <c r="Z194" s="10"/>
      <c r="AA194" s="155"/>
      <c r="AB194" s="155"/>
      <c r="AC194" s="143"/>
      <c r="AD194" s="16"/>
      <c r="AE194" s="16"/>
      <c r="AF194" s="143"/>
      <c r="AG194" s="143"/>
      <c r="AH194" s="143"/>
      <c r="AI194" s="143"/>
      <c r="AJ194" s="143"/>
      <c r="AK194" s="16"/>
      <c r="AL194" s="16"/>
      <c r="AM194" s="143"/>
      <c r="AN194" s="177">
        <f>SUM(P194:AM194)-O194</f>
        <v>255856</v>
      </c>
    </row>
    <row r="195" spans="1:40" ht="15" thickBot="1" x14ac:dyDescent="0.4">
      <c r="A195" s="40">
        <v>3206</v>
      </c>
      <c r="B195" s="79" t="s">
        <v>235</v>
      </c>
      <c r="C195" s="46">
        <v>381451</v>
      </c>
      <c r="D195" s="97">
        <v>0</v>
      </c>
      <c r="E195" s="10">
        <f>C195+D195</f>
        <v>381451</v>
      </c>
      <c r="F195" s="23">
        <v>538115</v>
      </c>
      <c r="G195" s="23">
        <v>0</v>
      </c>
      <c r="H195" s="16">
        <f>F195+G195</f>
        <v>538115</v>
      </c>
      <c r="I195" s="16">
        <f>E195-H195</f>
        <v>-156664</v>
      </c>
      <c r="J195" s="23">
        <v>89088</v>
      </c>
      <c r="K195" s="23">
        <v>0</v>
      </c>
      <c r="L195" s="46">
        <v>0</v>
      </c>
      <c r="M195" s="46">
        <v>0</v>
      </c>
      <c r="N195" s="46">
        <v>0</v>
      </c>
      <c r="O195" s="46">
        <v>0</v>
      </c>
      <c r="P195" s="78">
        <f>I195-M195-J195-K195-N195-L195</f>
        <v>-245752</v>
      </c>
      <c r="Q195" s="155"/>
      <c r="R195" s="155"/>
      <c r="S195" s="45">
        <f>IF(-$P195&lt;VLOOKUP(A195,Eligibility!$A$3:$F$423,6,0),-P195,VLOOKUP(A195,Eligibility!$A$3:$F$423,6,0))</f>
        <v>245752</v>
      </c>
      <c r="T195" s="155"/>
      <c r="U195" s="155"/>
      <c r="V195" s="39"/>
      <c r="W195" s="155"/>
      <c r="X195" s="143"/>
      <c r="Y195" s="143"/>
      <c r="Z195" s="10"/>
      <c r="AA195" s="155"/>
      <c r="AB195" s="155"/>
      <c r="AC195" s="143"/>
      <c r="AD195" s="16"/>
      <c r="AE195" s="16"/>
      <c r="AF195" s="143"/>
      <c r="AG195" s="143"/>
      <c r="AH195" s="143"/>
      <c r="AI195" s="143"/>
      <c r="AJ195" s="143"/>
      <c r="AK195" s="16"/>
      <c r="AL195" s="16"/>
      <c r="AM195" s="143"/>
      <c r="AN195" s="177">
        <f>SUM(P195:AM195)-O195</f>
        <v>0</v>
      </c>
    </row>
    <row r="196" spans="1:40" ht="15" thickBot="1" x14ac:dyDescent="0.4">
      <c r="A196" s="40">
        <v>3213</v>
      </c>
      <c r="B196" s="79" t="s">
        <v>236</v>
      </c>
      <c r="C196" s="46">
        <v>552716</v>
      </c>
      <c r="D196" s="97">
        <v>0</v>
      </c>
      <c r="E196" s="10">
        <f>C196+D196</f>
        <v>552716</v>
      </c>
      <c r="F196" s="23">
        <v>1001589</v>
      </c>
      <c r="G196" s="23">
        <v>0</v>
      </c>
      <c r="H196" s="16">
        <f>F196+G196</f>
        <v>1001589</v>
      </c>
      <c r="I196" s="16">
        <f>E196-H196</f>
        <v>-448873</v>
      </c>
      <c r="J196" s="23">
        <v>33846</v>
      </c>
      <c r="K196" s="23">
        <v>0</v>
      </c>
      <c r="L196" s="46">
        <v>0</v>
      </c>
      <c r="M196" s="46">
        <v>0</v>
      </c>
      <c r="N196" s="46">
        <v>0</v>
      </c>
      <c r="O196" s="46">
        <v>0</v>
      </c>
      <c r="P196" s="78">
        <f>I196-M196-J196-K196-N196-L196</f>
        <v>-482719</v>
      </c>
      <c r="Q196" s="155"/>
      <c r="R196" s="155"/>
      <c r="S196" s="45">
        <f>IF(-$P196&lt;VLOOKUP(A196,Eligibility!$A$3:$F$423,6,0),-P196,VLOOKUP(A196,Eligibility!$A$3:$F$423,6,0))</f>
        <v>482719</v>
      </c>
      <c r="T196" s="155"/>
      <c r="U196" s="155"/>
      <c r="V196" s="39"/>
      <c r="W196" s="155"/>
      <c r="X196" s="143"/>
      <c r="Y196" s="143"/>
      <c r="Z196" s="10"/>
      <c r="AA196" s="155"/>
      <c r="AB196" s="155"/>
      <c r="AC196" s="143"/>
      <c r="AD196" s="16"/>
      <c r="AE196" s="16"/>
      <c r="AF196" s="143"/>
      <c r="AG196" s="143"/>
      <c r="AH196" s="143"/>
      <c r="AI196" s="143"/>
      <c r="AJ196" s="143"/>
      <c r="AK196" s="16"/>
      <c r="AL196" s="16"/>
      <c r="AM196" s="143"/>
      <c r="AN196" s="177">
        <f>SUM(P196:AM196)-O196</f>
        <v>0</v>
      </c>
    </row>
    <row r="197" spans="1:40" ht="15" thickBot="1" x14ac:dyDescent="0.4">
      <c r="A197" s="40">
        <v>3220</v>
      </c>
      <c r="B197" s="79" t="s">
        <v>237</v>
      </c>
      <c r="C197" s="46">
        <v>1673118</v>
      </c>
      <c r="D197" s="97">
        <v>0</v>
      </c>
      <c r="E197" s="10">
        <f>C197+D197</f>
        <v>1673118</v>
      </c>
      <c r="F197" s="23">
        <v>675734</v>
      </c>
      <c r="G197" s="23">
        <v>0</v>
      </c>
      <c r="H197" s="16">
        <f>F197+G197</f>
        <v>675734</v>
      </c>
      <c r="I197" s="16">
        <f>E197-H197</f>
        <v>997384</v>
      </c>
      <c r="J197" s="23">
        <v>241346</v>
      </c>
      <c r="K197" s="23">
        <v>32442.5</v>
      </c>
      <c r="L197" s="46">
        <v>0</v>
      </c>
      <c r="M197" s="46">
        <v>0</v>
      </c>
      <c r="N197" s="46">
        <v>0</v>
      </c>
      <c r="O197" s="46">
        <v>0</v>
      </c>
      <c r="P197" s="78">
        <f>I197-M197-J197-K197-N197-L197</f>
        <v>723595.5</v>
      </c>
      <c r="Q197" s="155"/>
      <c r="R197" s="155"/>
      <c r="S197" s="45">
        <f>IF(J197+K197+L197+M197+N197&lt;VLOOKUP(A197,Eligibility!$A$3:$F$423,6,0),J197+K197+L197+M197+N197,VLOOKUP(A197,Eligibility!$A$3:$F$423,6,0))</f>
        <v>273788.5</v>
      </c>
      <c r="T197" s="155"/>
      <c r="U197" s="155"/>
      <c r="V197" s="39"/>
      <c r="W197" s="155"/>
      <c r="X197" s="143"/>
      <c r="Y197" s="143"/>
      <c r="Z197" s="10"/>
      <c r="AA197" s="155"/>
      <c r="AB197" s="155"/>
      <c r="AC197" s="143"/>
      <c r="AD197" s="16"/>
      <c r="AE197" s="16"/>
      <c r="AF197" s="143"/>
      <c r="AG197" s="143"/>
      <c r="AH197" s="143"/>
      <c r="AI197" s="143"/>
      <c r="AJ197" s="143"/>
      <c r="AK197" s="16"/>
      <c r="AL197" s="16"/>
      <c r="AM197" s="143"/>
      <c r="AN197" s="177">
        <f>SUM(P197:AM197)-O197</f>
        <v>997384</v>
      </c>
    </row>
    <row r="198" spans="1:40" ht="15" thickBot="1" x14ac:dyDescent="0.4">
      <c r="A198" s="40">
        <v>3269</v>
      </c>
      <c r="B198" s="79" t="s">
        <v>238</v>
      </c>
      <c r="C198" s="46">
        <v>3994858</v>
      </c>
      <c r="D198" s="97">
        <v>0</v>
      </c>
      <c r="E198" s="10">
        <f>C198+D198</f>
        <v>3994858</v>
      </c>
      <c r="F198" s="23">
        <v>11218878</v>
      </c>
      <c r="G198" s="23">
        <v>241858</v>
      </c>
      <c r="H198" s="16">
        <f>F198+G198</f>
        <v>11460736</v>
      </c>
      <c r="I198" s="16">
        <f>E198-H198</f>
        <v>-7465878</v>
      </c>
      <c r="J198" s="23">
        <v>2287759.44</v>
      </c>
      <c r="K198" s="23">
        <v>271637.61</v>
      </c>
      <c r="L198" s="46">
        <v>2694510</v>
      </c>
      <c r="M198" s="46">
        <v>0</v>
      </c>
      <c r="N198" s="46">
        <v>0</v>
      </c>
      <c r="O198" s="46">
        <v>0</v>
      </c>
      <c r="P198" s="78">
        <f>I198-M198-J198-K198-N198-L198</f>
        <v>-12719785.050000001</v>
      </c>
      <c r="Q198" s="155"/>
      <c r="R198" s="155"/>
      <c r="S198" s="45">
        <f>IF(-$P198&lt;VLOOKUP(A198,Eligibility!$A$3:$F$423,6,0),-P198,VLOOKUP(A198,Eligibility!$A$3:$F$423,6,0))</f>
        <v>12719785.050000001</v>
      </c>
      <c r="T198" s="155"/>
      <c r="U198" s="155"/>
      <c r="V198" s="39"/>
      <c r="W198" s="155"/>
      <c r="X198" s="143"/>
      <c r="Y198" s="143"/>
      <c r="Z198" s="10"/>
      <c r="AA198" s="155"/>
      <c r="AB198" s="155"/>
      <c r="AC198" s="143"/>
      <c r="AD198" s="16"/>
      <c r="AE198" s="16"/>
      <c r="AF198" s="143"/>
      <c r="AG198" s="143"/>
      <c r="AH198" s="143"/>
      <c r="AI198" s="143"/>
      <c r="AJ198" s="143"/>
      <c r="AK198" s="16"/>
      <c r="AL198" s="16"/>
      <c r="AM198" s="143"/>
      <c r="AN198" s="177">
        <f>SUM(P198:AM198)-O198</f>
        <v>0</v>
      </c>
    </row>
    <row r="199" spans="1:40" ht="15" thickBot="1" x14ac:dyDescent="0.4">
      <c r="A199" s="40">
        <v>3276</v>
      </c>
      <c r="B199" s="79" t="s">
        <v>239</v>
      </c>
      <c r="C199" s="46">
        <v>126073</v>
      </c>
      <c r="D199" s="97">
        <v>0</v>
      </c>
      <c r="E199" s="10">
        <f>C199+D199</f>
        <v>126073</v>
      </c>
      <c r="F199" s="23">
        <v>812421</v>
      </c>
      <c r="G199" s="23">
        <v>0</v>
      </c>
      <c r="H199" s="16">
        <f>F199+G199</f>
        <v>812421</v>
      </c>
      <c r="I199" s="16">
        <f>E199-H199</f>
        <v>-686348</v>
      </c>
      <c r="J199" s="23">
        <v>52384</v>
      </c>
      <c r="K199" s="23">
        <v>0</v>
      </c>
      <c r="L199" s="46">
        <v>0</v>
      </c>
      <c r="M199" s="46">
        <v>0</v>
      </c>
      <c r="N199" s="46">
        <v>0</v>
      </c>
      <c r="O199" s="46">
        <v>0</v>
      </c>
      <c r="P199" s="78">
        <f>I199-M199-J199-K199-N199-L199</f>
        <v>-738732</v>
      </c>
      <c r="Q199" s="155"/>
      <c r="R199" s="155"/>
      <c r="S199" s="45">
        <f>IF(-$P199&lt;VLOOKUP(A199,Eligibility!$A$3:$F$423,6,0),-P199,VLOOKUP(A199,Eligibility!$A$3:$F$423,6,0))</f>
        <v>738732</v>
      </c>
      <c r="T199" s="155"/>
      <c r="U199" s="155"/>
      <c r="V199" s="39"/>
      <c r="W199" s="155"/>
      <c r="X199" s="143"/>
      <c r="Y199" s="143"/>
      <c r="Z199" s="10"/>
      <c r="AA199" s="155"/>
      <c r="AB199" s="155"/>
      <c r="AC199" s="143"/>
      <c r="AD199" s="16"/>
      <c r="AE199" s="16"/>
      <c r="AF199" s="143"/>
      <c r="AG199" s="143"/>
      <c r="AH199" s="143"/>
      <c r="AI199" s="143"/>
      <c r="AJ199" s="143"/>
      <c r="AK199" s="16"/>
      <c r="AL199" s="16"/>
      <c r="AM199" s="143"/>
      <c r="AN199" s="177">
        <f>SUM(P199:AM199)-O199</f>
        <v>0</v>
      </c>
    </row>
    <row r="200" spans="1:40" ht="15" thickBot="1" x14ac:dyDescent="0.4">
      <c r="A200" s="40">
        <v>3290</v>
      </c>
      <c r="B200" s="79" t="s">
        <v>240</v>
      </c>
      <c r="C200" s="46">
        <v>753666</v>
      </c>
      <c r="D200" s="97">
        <v>0</v>
      </c>
      <c r="E200" s="10">
        <f>C200+D200</f>
        <v>753666</v>
      </c>
      <c r="F200" s="23">
        <v>3182617</v>
      </c>
      <c r="G200" s="23">
        <v>0</v>
      </c>
      <c r="H200" s="16">
        <f>F200+G200</f>
        <v>3182617</v>
      </c>
      <c r="I200" s="16">
        <f>E200-H200</f>
        <v>-2428951</v>
      </c>
      <c r="J200" s="23">
        <v>1904518</v>
      </c>
      <c r="K200" s="23">
        <v>51908</v>
      </c>
      <c r="L200" s="46">
        <v>0</v>
      </c>
      <c r="M200" s="46">
        <v>7059.17</v>
      </c>
      <c r="N200" s="46">
        <v>0</v>
      </c>
      <c r="O200" s="46">
        <v>0</v>
      </c>
      <c r="P200" s="78">
        <f>I200-M200-J200-K200-N200-L200</f>
        <v>-4392436.17</v>
      </c>
      <c r="Q200" s="155"/>
      <c r="R200" s="155"/>
      <c r="S200" s="45">
        <f>IF(-$P200&lt;VLOOKUP(A200,Eligibility!$A$3:$F$423,6,0),-P200,VLOOKUP(A200,Eligibility!$A$3:$F$423,6,0))</f>
        <v>4392436.17</v>
      </c>
      <c r="T200" s="155"/>
      <c r="U200" s="155"/>
      <c r="V200" s="39"/>
      <c r="W200" s="155"/>
      <c r="X200" s="143"/>
      <c r="Y200" s="143"/>
      <c r="Z200" s="10"/>
      <c r="AA200" s="155"/>
      <c r="AB200" s="155"/>
      <c r="AC200" s="143"/>
      <c r="AD200" s="16"/>
      <c r="AE200" s="16"/>
      <c r="AF200" s="143"/>
      <c r="AG200" s="143"/>
      <c r="AH200" s="143"/>
      <c r="AI200" s="143"/>
      <c r="AJ200" s="143"/>
      <c r="AK200" s="16"/>
      <c r="AL200" s="16"/>
      <c r="AM200" s="143"/>
      <c r="AN200" s="177">
        <f>SUM(P200:AM200)-O200</f>
        <v>0</v>
      </c>
    </row>
    <row r="201" spans="1:40" ht="15" thickBot="1" x14ac:dyDescent="0.4">
      <c r="A201" s="40">
        <v>3297</v>
      </c>
      <c r="B201" s="79" t="s">
        <v>241</v>
      </c>
      <c r="C201" s="46">
        <v>965020</v>
      </c>
      <c r="D201" s="97">
        <v>0</v>
      </c>
      <c r="E201" s="10">
        <f>C201+D201</f>
        <v>965020</v>
      </c>
      <c r="F201" s="23">
        <v>646840</v>
      </c>
      <c r="G201" s="23">
        <v>0</v>
      </c>
      <c r="H201" s="16">
        <f>F201+G201</f>
        <v>646840</v>
      </c>
      <c r="I201" s="16">
        <f>E201-H201</f>
        <v>318180</v>
      </c>
      <c r="J201" s="23">
        <v>0</v>
      </c>
      <c r="K201" s="23">
        <v>0</v>
      </c>
      <c r="L201" s="46">
        <v>0</v>
      </c>
      <c r="M201" s="46">
        <v>0</v>
      </c>
      <c r="N201" s="46">
        <v>0</v>
      </c>
      <c r="O201" s="46">
        <v>0</v>
      </c>
      <c r="P201" s="78">
        <f>I201-M201-J201-K201-N201-L201</f>
        <v>318180</v>
      </c>
      <c r="Q201" s="155"/>
      <c r="R201" s="155"/>
      <c r="S201" s="45">
        <f>IF(J201+K201+L201+M201+N201&lt;VLOOKUP(A201,Eligibility!$A$3:$F$423,6,0),J201+K201+L201+M201+N201,VLOOKUP(A201,Eligibility!$A$3:$F$423,6,0))</f>
        <v>0</v>
      </c>
      <c r="T201" s="155"/>
      <c r="U201" s="155"/>
      <c r="V201" s="39"/>
      <c r="W201" s="155"/>
      <c r="X201" s="143"/>
      <c r="Y201" s="143"/>
      <c r="Z201" s="10"/>
      <c r="AA201" s="155"/>
      <c r="AB201" s="155"/>
      <c r="AC201" s="143"/>
      <c r="AD201" s="16"/>
      <c r="AE201" s="16"/>
      <c r="AF201" s="143"/>
      <c r="AG201" s="143"/>
      <c r="AH201" s="143"/>
      <c r="AI201" s="143"/>
      <c r="AJ201" s="143"/>
      <c r="AK201" s="16"/>
      <c r="AL201" s="16"/>
      <c r="AM201" s="143"/>
      <c r="AN201" s="177">
        <f>SUM(P201:AM201)-O201</f>
        <v>318180</v>
      </c>
    </row>
    <row r="202" spans="1:40" ht="15" thickBot="1" x14ac:dyDescent="0.4">
      <c r="A202" s="40">
        <v>1897</v>
      </c>
      <c r="B202" s="79" t="s">
        <v>242</v>
      </c>
      <c r="C202" s="46">
        <v>419324</v>
      </c>
      <c r="D202" s="97">
        <v>0</v>
      </c>
      <c r="E202" s="10">
        <f>C202+D202</f>
        <v>419324</v>
      </c>
      <c r="F202" s="23">
        <v>160654</v>
      </c>
      <c r="G202" s="23">
        <v>0</v>
      </c>
      <c r="H202" s="16">
        <f>F202+G202</f>
        <v>160654</v>
      </c>
      <c r="I202" s="16">
        <f>E202-H202</f>
        <v>258670</v>
      </c>
      <c r="J202" s="23">
        <v>24900</v>
      </c>
      <c r="K202" s="23">
        <v>0</v>
      </c>
      <c r="L202" s="46">
        <v>0</v>
      </c>
      <c r="M202" s="46">
        <v>0</v>
      </c>
      <c r="N202" s="46">
        <v>0</v>
      </c>
      <c r="O202" s="46">
        <v>0</v>
      </c>
      <c r="P202" s="78">
        <f>I202-M202-J202-K202-N202-L202</f>
        <v>233770</v>
      </c>
      <c r="Q202" s="155"/>
      <c r="R202" s="155">
        <v>3003</v>
      </c>
      <c r="S202" s="45">
        <f>IF(J202+K202+L202+M202+N202&lt;VLOOKUP(A202,Eligibility!$A$3:$F$423,6,0),J202+K202+L202+M202+N202,VLOOKUP(A202,Eligibility!$A$3:$F$423,6,0))</f>
        <v>21897</v>
      </c>
      <c r="T202" s="155"/>
      <c r="U202" s="155"/>
      <c r="V202" s="39"/>
      <c r="W202" s="155"/>
      <c r="X202" s="143"/>
      <c r="Y202" s="143"/>
      <c r="Z202" s="10"/>
      <c r="AA202" s="155"/>
      <c r="AB202" s="155"/>
      <c r="AC202" s="143"/>
      <c r="AD202" s="16"/>
      <c r="AE202" s="16"/>
      <c r="AF202" s="143"/>
      <c r="AG202" s="143"/>
      <c r="AH202" s="143"/>
      <c r="AI202" s="143"/>
      <c r="AJ202" s="143"/>
      <c r="AK202" s="16"/>
      <c r="AL202" s="16"/>
      <c r="AM202" s="143"/>
      <c r="AN202" s="177">
        <f>SUM(P202:AM202)-O202</f>
        <v>258670</v>
      </c>
    </row>
    <row r="203" spans="1:40" ht="15" thickBot="1" x14ac:dyDescent="0.4">
      <c r="A203" s="40">
        <v>3304</v>
      </c>
      <c r="B203" s="79" t="s">
        <v>243</v>
      </c>
      <c r="C203" s="46">
        <v>923790</v>
      </c>
      <c r="D203" s="97">
        <v>0</v>
      </c>
      <c r="E203" s="10">
        <f>C203+D203</f>
        <v>923790</v>
      </c>
      <c r="F203" s="23">
        <v>412229</v>
      </c>
      <c r="G203" s="23">
        <v>0</v>
      </c>
      <c r="H203" s="16">
        <f>F203+G203</f>
        <v>412229</v>
      </c>
      <c r="I203" s="16">
        <f>E203-H203</f>
        <v>511561</v>
      </c>
      <c r="J203" s="23">
        <v>63542</v>
      </c>
      <c r="K203" s="23">
        <v>0</v>
      </c>
      <c r="L203" s="46">
        <v>0</v>
      </c>
      <c r="M203" s="46">
        <v>0</v>
      </c>
      <c r="N203" s="46">
        <v>0</v>
      </c>
      <c r="O203" s="46">
        <v>0</v>
      </c>
      <c r="P203" s="78">
        <f>I203-M203-J203-K203-N203-L203</f>
        <v>448019</v>
      </c>
      <c r="Q203" s="155"/>
      <c r="R203" s="155"/>
      <c r="S203" s="45">
        <f>IF(J203+K203+L203+M203+N203&lt;VLOOKUP(A203,Eligibility!$A$3:$F$423,6,0),J203+K203+L203+M203+N203,VLOOKUP(A203,Eligibility!$A$3:$F$423,6,0))</f>
        <v>63542</v>
      </c>
      <c r="T203" s="155"/>
      <c r="U203" s="155"/>
      <c r="V203" s="39"/>
      <c r="W203" s="155"/>
      <c r="X203" s="143"/>
      <c r="Y203" s="143"/>
      <c r="Z203" s="10"/>
      <c r="AA203" s="155"/>
      <c r="AB203" s="155"/>
      <c r="AC203" s="143"/>
      <c r="AD203" s="16"/>
      <c r="AE203" s="16"/>
      <c r="AF203" s="143"/>
      <c r="AG203" s="143"/>
      <c r="AH203" s="143"/>
      <c r="AI203" s="143"/>
      <c r="AJ203" s="143"/>
      <c r="AK203" s="16"/>
      <c r="AL203" s="16"/>
      <c r="AM203" s="143"/>
      <c r="AN203" s="177">
        <f>SUM(P203:AM203)-O203</f>
        <v>511561</v>
      </c>
    </row>
    <row r="204" spans="1:40" ht="15" thickBot="1" x14ac:dyDescent="0.4">
      <c r="A204" s="40">
        <v>3311</v>
      </c>
      <c r="B204" s="79" t="s">
        <v>244</v>
      </c>
      <c r="C204" s="46">
        <v>229371</v>
      </c>
      <c r="D204" s="97">
        <v>0</v>
      </c>
      <c r="E204" s="10">
        <f>C204+D204</f>
        <v>229371</v>
      </c>
      <c r="F204" s="23">
        <v>1634346</v>
      </c>
      <c r="G204" s="23">
        <v>0</v>
      </c>
      <c r="H204" s="16">
        <f>F204+G204</f>
        <v>1634346</v>
      </c>
      <c r="I204" s="16">
        <f>E204-H204</f>
        <v>-1404975</v>
      </c>
      <c r="J204" s="23">
        <v>591659</v>
      </c>
      <c r="K204" s="23">
        <v>0</v>
      </c>
      <c r="L204" s="46">
        <v>0</v>
      </c>
      <c r="M204" s="46">
        <v>7059.17</v>
      </c>
      <c r="N204" s="46">
        <v>184683</v>
      </c>
      <c r="O204" s="46">
        <v>0</v>
      </c>
      <c r="P204" s="78">
        <f>I204-M204-J204-K204-N204-L204</f>
        <v>-2188376.17</v>
      </c>
      <c r="Q204" s="155"/>
      <c r="R204" s="155"/>
      <c r="S204" s="45">
        <f>IF(-$P204&lt;VLOOKUP(A204,Eligibility!$A$3:$F$423,6,0),-P204,VLOOKUP(A204,Eligibility!$A$3:$F$423,6,0))</f>
        <v>2188376.17</v>
      </c>
      <c r="T204" s="155"/>
      <c r="U204" s="155"/>
      <c r="V204" s="39"/>
      <c r="W204" s="155"/>
      <c r="X204" s="143"/>
      <c r="Y204" s="143"/>
      <c r="Z204" s="10"/>
      <c r="AA204" s="155"/>
      <c r="AB204" s="155"/>
      <c r="AC204" s="143"/>
      <c r="AD204" s="16"/>
      <c r="AE204" s="16"/>
      <c r="AF204" s="143"/>
      <c r="AG204" s="143"/>
      <c r="AH204" s="143"/>
      <c r="AI204" s="143"/>
      <c r="AJ204" s="143"/>
      <c r="AK204" s="16"/>
      <c r="AL204" s="16"/>
      <c r="AM204" s="143"/>
      <c r="AN204" s="177">
        <f>SUM(P204:AM204)-O204</f>
        <v>0</v>
      </c>
    </row>
    <row r="205" spans="1:40" ht="15" thickBot="1" x14ac:dyDescent="0.4">
      <c r="A205" s="40">
        <v>3318</v>
      </c>
      <c r="B205" s="79" t="s">
        <v>245</v>
      </c>
      <c r="C205" s="46">
        <v>300286</v>
      </c>
      <c r="D205" s="97">
        <v>0</v>
      </c>
      <c r="E205" s="10">
        <f>C205+D205</f>
        <v>300286</v>
      </c>
      <c r="F205" s="23">
        <v>616305</v>
      </c>
      <c r="G205" s="23">
        <v>0</v>
      </c>
      <c r="H205" s="16">
        <f>F205+G205</f>
        <v>616305</v>
      </c>
      <c r="I205" s="16">
        <f>E205-H205</f>
        <v>-316019</v>
      </c>
      <c r="J205" s="23">
        <v>104396</v>
      </c>
      <c r="K205" s="23">
        <v>0</v>
      </c>
      <c r="L205" s="46">
        <v>0</v>
      </c>
      <c r="M205" s="46">
        <v>0</v>
      </c>
      <c r="N205" s="46">
        <v>0</v>
      </c>
      <c r="O205" s="46">
        <v>0</v>
      </c>
      <c r="P205" s="78">
        <f>I205-M205-J205-K205-N205-L205</f>
        <v>-420415</v>
      </c>
      <c r="Q205" s="155"/>
      <c r="R205" s="155"/>
      <c r="S205" s="45">
        <f>IF(-$P205&lt;VLOOKUP(A205,Eligibility!$A$3:$F$423,6,0),-P205,VLOOKUP(A205,Eligibility!$A$3:$F$423,6,0))</f>
        <v>420415</v>
      </c>
      <c r="T205" s="155"/>
      <c r="U205" s="155"/>
      <c r="V205" s="39"/>
      <c r="W205" s="155"/>
      <c r="X205" s="143"/>
      <c r="Y205" s="143"/>
      <c r="Z205" s="10"/>
      <c r="AA205" s="155"/>
      <c r="AB205" s="155"/>
      <c r="AC205" s="143"/>
      <c r="AD205" s="16"/>
      <c r="AE205" s="16"/>
      <c r="AF205" s="143"/>
      <c r="AG205" s="143"/>
      <c r="AH205" s="143"/>
      <c r="AI205" s="143"/>
      <c r="AJ205" s="143"/>
      <c r="AK205" s="16"/>
      <c r="AL205" s="16"/>
      <c r="AM205" s="143"/>
      <c r="AN205" s="177">
        <f>SUM(P205:AM205)-O205</f>
        <v>0</v>
      </c>
    </row>
    <row r="206" spans="1:40" ht="15" thickBot="1" x14ac:dyDescent="0.4">
      <c r="A206" s="40">
        <v>3325</v>
      </c>
      <c r="B206" s="79" t="s">
        <v>246</v>
      </c>
      <c r="C206" s="46">
        <v>345954</v>
      </c>
      <c r="D206" s="97">
        <v>0</v>
      </c>
      <c r="E206" s="10">
        <f>C206+D206</f>
        <v>345954</v>
      </c>
      <c r="F206" s="23">
        <v>567109</v>
      </c>
      <c r="G206" s="23">
        <v>0</v>
      </c>
      <c r="H206" s="16">
        <f>F206+G206</f>
        <v>567109</v>
      </c>
      <c r="I206" s="16">
        <f>E206-H206</f>
        <v>-221155</v>
      </c>
      <c r="J206" s="23">
        <v>0</v>
      </c>
      <c r="K206" s="23">
        <v>12977</v>
      </c>
      <c r="L206" s="46">
        <v>0</v>
      </c>
      <c r="M206" s="46">
        <v>0</v>
      </c>
      <c r="N206" s="46">
        <v>10000</v>
      </c>
      <c r="O206" s="46">
        <v>0</v>
      </c>
      <c r="P206" s="78">
        <f>I206-M206-J206-K206-N206-L206</f>
        <v>-244132</v>
      </c>
      <c r="Q206" s="155"/>
      <c r="R206" s="155"/>
      <c r="S206" s="45">
        <f>IF(-$P206&lt;VLOOKUP(A206,Eligibility!$A$3:$F$423,6,0),-P206,VLOOKUP(A206,Eligibility!$A$3:$F$423,6,0))</f>
        <v>244132</v>
      </c>
      <c r="T206" s="155"/>
      <c r="U206" s="155"/>
      <c r="V206" s="39"/>
      <c r="W206" s="155"/>
      <c r="X206" s="143"/>
      <c r="Y206" s="143"/>
      <c r="Z206" s="10"/>
      <c r="AA206" s="155"/>
      <c r="AB206" s="155"/>
      <c r="AC206" s="143"/>
      <c r="AD206" s="16"/>
      <c r="AE206" s="16"/>
      <c r="AF206" s="143"/>
      <c r="AG206" s="143"/>
      <c r="AH206" s="143"/>
      <c r="AI206" s="143"/>
      <c r="AJ206" s="143"/>
      <c r="AK206" s="16"/>
      <c r="AL206" s="16"/>
      <c r="AM206" s="143"/>
      <c r="AN206" s="177">
        <f>SUM(P206:AM206)-O206</f>
        <v>0</v>
      </c>
    </row>
    <row r="207" spans="1:40" ht="15" thickBot="1" x14ac:dyDescent="0.4">
      <c r="A207" s="40">
        <v>3332</v>
      </c>
      <c r="B207" s="79" t="s">
        <v>247</v>
      </c>
      <c r="C207" s="46">
        <v>962408</v>
      </c>
      <c r="D207" s="97">
        <v>0</v>
      </c>
      <c r="E207" s="10">
        <f>C207+D207</f>
        <v>962408</v>
      </c>
      <c r="F207" s="23">
        <v>823218</v>
      </c>
      <c r="G207" s="23">
        <v>0</v>
      </c>
      <c r="H207" s="16">
        <f>F207+G207</f>
        <v>823218</v>
      </c>
      <c r="I207" s="16">
        <f>E207-H207</f>
        <v>139190</v>
      </c>
      <c r="J207" s="23">
        <v>52384</v>
      </c>
      <c r="K207" s="23">
        <v>0</v>
      </c>
      <c r="L207" s="46">
        <v>0</v>
      </c>
      <c r="M207" s="46">
        <v>0</v>
      </c>
      <c r="N207" s="46">
        <v>10821</v>
      </c>
      <c r="O207" s="46">
        <v>0</v>
      </c>
      <c r="P207" s="78">
        <f>I207-M207-J207-K207-N207-L207</f>
        <v>75985</v>
      </c>
      <c r="Q207" s="155"/>
      <c r="R207" s="155"/>
      <c r="S207" s="45">
        <f>IF(J207+K207+L207+M207+N207&lt;VLOOKUP(A207,Eligibility!$A$3:$F$423,6,0),J207+K207+L207+M207+N207,VLOOKUP(A207,Eligibility!$A$3:$F$423,6,0))</f>
        <v>63205</v>
      </c>
      <c r="T207" s="155"/>
      <c r="U207" s="155"/>
      <c r="V207" s="39"/>
      <c r="W207" s="155"/>
      <c r="X207" s="143"/>
      <c r="Y207" s="143"/>
      <c r="Z207" s="10"/>
      <c r="AA207" s="155"/>
      <c r="AB207" s="155"/>
      <c r="AC207" s="143"/>
      <c r="AD207" s="16"/>
      <c r="AE207" s="16"/>
      <c r="AF207" s="143"/>
      <c r="AG207" s="143"/>
      <c r="AH207" s="143"/>
      <c r="AI207" s="143"/>
      <c r="AJ207" s="143"/>
      <c r="AK207" s="16"/>
      <c r="AL207" s="16"/>
      <c r="AM207" s="143"/>
      <c r="AN207" s="177">
        <f>SUM(P207:AM207)-O207</f>
        <v>139190</v>
      </c>
    </row>
    <row r="208" spans="1:40" ht="15" thickBot="1" x14ac:dyDescent="0.4">
      <c r="A208" s="40">
        <v>3339</v>
      </c>
      <c r="B208" s="79" t="s">
        <v>248</v>
      </c>
      <c r="C208" s="46">
        <v>2681453</v>
      </c>
      <c r="D208" s="97">
        <v>12977</v>
      </c>
      <c r="E208" s="10">
        <f>C208+D208</f>
        <v>2694430</v>
      </c>
      <c r="F208" s="23">
        <v>1272887</v>
      </c>
      <c r="G208" s="23">
        <v>0</v>
      </c>
      <c r="H208" s="16">
        <f>F208+G208</f>
        <v>1272887</v>
      </c>
      <c r="I208" s="16">
        <f>E208-H208</f>
        <v>1421543</v>
      </c>
      <c r="J208" s="23">
        <v>888893</v>
      </c>
      <c r="K208" s="23">
        <v>0</v>
      </c>
      <c r="L208" s="46">
        <v>0</v>
      </c>
      <c r="M208" s="46">
        <v>0</v>
      </c>
      <c r="N208" s="46">
        <v>0</v>
      </c>
      <c r="O208" s="46">
        <v>0</v>
      </c>
      <c r="P208" s="78">
        <f>I208-M208-J208-K208-N208-L208</f>
        <v>532650</v>
      </c>
      <c r="Q208" s="155"/>
      <c r="R208" s="155"/>
      <c r="S208" s="45">
        <f>IF(J208+K208+L208+M208+N208&lt;VLOOKUP(A208,Eligibility!$A$3:$F$423,6,0),J208+K208+L208+M208+N208,VLOOKUP(A208,Eligibility!$A$3:$F$423,6,0))</f>
        <v>888893</v>
      </c>
      <c r="T208" s="155"/>
      <c r="U208" s="155"/>
      <c r="V208" s="39"/>
      <c r="W208" s="155"/>
      <c r="X208" s="143"/>
      <c r="Y208" s="143"/>
      <c r="Z208" s="10"/>
      <c r="AA208" s="155"/>
      <c r="AB208" s="155"/>
      <c r="AC208" s="143"/>
      <c r="AD208" s="16"/>
      <c r="AE208" s="16"/>
      <c r="AF208" s="143"/>
      <c r="AG208" s="143"/>
      <c r="AH208" s="143"/>
      <c r="AI208" s="143"/>
      <c r="AJ208" s="143"/>
      <c r="AK208" s="16"/>
      <c r="AL208" s="16"/>
      <c r="AM208" s="143"/>
      <c r="AN208" s="177">
        <f>SUM(P208:AM208)-O208</f>
        <v>1421543</v>
      </c>
    </row>
    <row r="209" spans="1:40" ht="15" thickBot="1" x14ac:dyDescent="0.4">
      <c r="A209" s="40">
        <v>3360</v>
      </c>
      <c r="B209" s="79" t="s">
        <v>249</v>
      </c>
      <c r="C209" s="46">
        <v>1366040</v>
      </c>
      <c r="D209" s="97">
        <v>0</v>
      </c>
      <c r="E209" s="10">
        <f>C209+D209</f>
        <v>1366040</v>
      </c>
      <c r="F209" s="23">
        <v>1157799</v>
      </c>
      <c r="G209" s="23">
        <v>0</v>
      </c>
      <c r="H209" s="16">
        <f>F209+G209</f>
        <v>1157799</v>
      </c>
      <c r="I209" s="16">
        <f>E209-H209</f>
        <v>208241</v>
      </c>
      <c r="J209" s="23">
        <v>17892</v>
      </c>
      <c r="K209" s="23">
        <v>0</v>
      </c>
      <c r="L209" s="46">
        <v>0</v>
      </c>
      <c r="M209" s="46">
        <v>7059.17</v>
      </c>
      <c r="N209" s="46">
        <v>0</v>
      </c>
      <c r="O209" s="46">
        <v>0</v>
      </c>
      <c r="P209" s="78">
        <f>I209-M209-J209-K209-N209-L209</f>
        <v>183289.83</v>
      </c>
      <c r="Q209" s="155"/>
      <c r="R209" s="155"/>
      <c r="S209" s="45">
        <f>IF(J209+K209+L209+M209+N209&lt;VLOOKUP(A209,Eligibility!$A$3:$F$423,6,0),J209+K209+L209+M209+N209,VLOOKUP(A209,Eligibility!$A$3:$F$423,6,0))</f>
        <v>24951.17</v>
      </c>
      <c r="T209" s="155"/>
      <c r="U209" s="155"/>
      <c r="V209" s="39"/>
      <c r="W209" s="155"/>
      <c r="X209" s="143"/>
      <c r="Y209" s="143"/>
      <c r="Z209" s="10"/>
      <c r="AA209" s="155"/>
      <c r="AB209" s="155"/>
      <c r="AC209" s="143"/>
      <c r="AD209" s="16"/>
      <c r="AE209" s="16"/>
      <c r="AF209" s="143"/>
      <c r="AG209" s="143"/>
      <c r="AH209" s="143"/>
      <c r="AI209" s="143"/>
      <c r="AJ209" s="143"/>
      <c r="AK209" s="16"/>
      <c r="AL209" s="16"/>
      <c r="AM209" s="143"/>
      <c r="AN209" s="177">
        <f>SUM(P209:AM209)-O209</f>
        <v>208241</v>
      </c>
    </row>
    <row r="210" spans="1:40" ht="15" thickBot="1" x14ac:dyDescent="0.4">
      <c r="A210" s="40">
        <v>3367</v>
      </c>
      <c r="B210" s="79" t="s">
        <v>250</v>
      </c>
      <c r="C210" s="46">
        <v>905312</v>
      </c>
      <c r="D210" s="97">
        <v>0</v>
      </c>
      <c r="E210" s="10">
        <f>C210+D210</f>
        <v>905312</v>
      </c>
      <c r="F210" s="23">
        <v>944018</v>
      </c>
      <c r="G210" s="23">
        <v>0</v>
      </c>
      <c r="H210" s="16">
        <f>F210+G210</f>
        <v>944018</v>
      </c>
      <c r="I210" s="16">
        <f>E210-H210</f>
        <v>-38706</v>
      </c>
      <c r="J210" s="23">
        <v>189657</v>
      </c>
      <c r="K210" s="23">
        <v>0</v>
      </c>
      <c r="L210" s="46">
        <v>0</v>
      </c>
      <c r="M210" s="46">
        <v>0</v>
      </c>
      <c r="N210" s="46">
        <v>0</v>
      </c>
      <c r="O210" s="46">
        <v>0</v>
      </c>
      <c r="P210" s="78">
        <f>I210-M210-J210-K210-N210-L210</f>
        <v>-228363</v>
      </c>
      <c r="Q210" s="155"/>
      <c r="R210" s="155"/>
      <c r="S210" s="45">
        <f>IF(-$P210&lt;VLOOKUP(A210,Eligibility!$A$3:$F$423,6,0),-P210,VLOOKUP(A210,Eligibility!$A$3:$F$423,6,0))</f>
        <v>228363</v>
      </c>
      <c r="T210" s="155"/>
      <c r="U210" s="155"/>
      <c r="V210" s="39"/>
      <c r="W210" s="155"/>
      <c r="X210" s="143"/>
      <c r="Y210" s="143"/>
      <c r="Z210" s="10"/>
      <c r="AA210" s="155"/>
      <c r="AB210" s="155"/>
      <c r="AC210" s="143"/>
      <c r="AD210" s="16"/>
      <c r="AE210" s="16"/>
      <c r="AF210" s="143"/>
      <c r="AG210" s="143"/>
      <c r="AH210" s="143"/>
      <c r="AI210" s="143"/>
      <c r="AJ210" s="143"/>
      <c r="AK210" s="16"/>
      <c r="AL210" s="16"/>
      <c r="AM210" s="143"/>
      <c r="AN210" s="177">
        <f>SUM(P210:AM210)-O210</f>
        <v>0</v>
      </c>
    </row>
    <row r="211" spans="1:40" ht="15" thickBot="1" x14ac:dyDescent="0.4">
      <c r="A211" s="40">
        <v>3381</v>
      </c>
      <c r="B211" s="79" t="s">
        <v>251</v>
      </c>
      <c r="C211" s="46">
        <v>36445819</v>
      </c>
      <c r="D211" s="97">
        <v>0</v>
      </c>
      <c r="E211" s="10">
        <f>C211+D211</f>
        <v>36445819</v>
      </c>
      <c r="F211" s="23">
        <v>257189</v>
      </c>
      <c r="G211" s="23">
        <v>0</v>
      </c>
      <c r="H211" s="16">
        <f>F211+G211</f>
        <v>257189</v>
      </c>
      <c r="I211" s="16">
        <f>E211-H211</f>
        <v>36188630</v>
      </c>
      <c r="J211" s="23">
        <v>112050</v>
      </c>
      <c r="K211" s="23">
        <v>0</v>
      </c>
      <c r="L211" s="46">
        <v>27495</v>
      </c>
      <c r="M211" s="46">
        <v>0</v>
      </c>
      <c r="N211" s="46">
        <v>0</v>
      </c>
      <c r="O211" s="46">
        <v>0</v>
      </c>
      <c r="P211" s="78">
        <f>I211-M211-J211-K211-N211-L211</f>
        <v>36049085</v>
      </c>
      <c r="Q211" s="155"/>
      <c r="R211" s="155"/>
      <c r="S211" s="45">
        <f>IF(J211+K211+L211+M211+N211&lt;VLOOKUP(A211,Eligibility!$A$3:$F$423,6,0),J211+K211+L211+M211+N211,VLOOKUP(A211,Eligibility!$A$3:$F$423,6,0))</f>
        <v>139545</v>
      </c>
      <c r="T211" s="155"/>
      <c r="U211" s="155"/>
      <c r="V211" s="39"/>
      <c r="W211" s="155"/>
      <c r="X211" s="143"/>
      <c r="Y211" s="143"/>
      <c r="Z211" s="10"/>
      <c r="AA211" s="155"/>
      <c r="AB211" s="155"/>
      <c r="AC211" s="143"/>
      <c r="AD211" s="16"/>
      <c r="AE211" s="16"/>
      <c r="AF211" s="143"/>
      <c r="AG211" s="143"/>
      <c r="AH211" s="143"/>
      <c r="AI211" s="143"/>
      <c r="AJ211" s="143"/>
      <c r="AK211" s="16"/>
      <c r="AL211" s="16"/>
      <c r="AM211" s="143"/>
      <c r="AN211" s="177">
        <f>SUM(P211:AM211)-O211</f>
        <v>36188630</v>
      </c>
    </row>
    <row r="212" spans="1:40" ht="15" thickBot="1" x14ac:dyDescent="0.4">
      <c r="A212" s="40">
        <v>3409</v>
      </c>
      <c r="B212" s="79" t="s">
        <v>252</v>
      </c>
      <c r="C212" s="46">
        <v>7766055</v>
      </c>
      <c r="D212" s="97">
        <v>0</v>
      </c>
      <c r="E212" s="10">
        <f>C212+D212</f>
        <v>7766055</v>
      </c>
      <c r="F212" s="23">
        <v>393101</v>
      </c>
      <c r="G212" s="23">
        <v>0</v>
      </c>
      <c r="H212" s="16">
        <f>F212+G212</f>
        <v>393101</v>
      </c>
      <c r="I212" s="16">
        <f>E212-H212</f>
        <v>7372954</v>
      </c>
      <c r="J212" s="23">
        <v>202430</v>
      </c>
      <c r="K212" s="23">
        <v>64885</v>
      </c>
      <c r="L212" s="46">
        <v>0</v>
      </c>
      <c r="M212" s="46">
        <v>0</v>
      </c>
      <c r="N212" s="46">
        <v>0</v>
      </c>
      <c r="O212" s="46">
        <v>0</v>
      </c>
      <c r="P212" s="78">
        <f>I212-M212-J212-K212-N212-L212</f>
        <v>7105639</v>
      </c>
      <c r="Q212" s="155"/>
      <c r="R212" s="155"/>
      <c r="S212" s="45">
        <f>IF(J212+K212+L212+M212+N212&lt;VLOOKUP(A212,Eligibility!$A$3:$F$423,6,0),J212+K212+L212+M212+N212,VLOOKUP(A212,Eligibility!$A$3:$F$423,6,0))</f>
        <v>267315</v>
      </c>
      <c r="T212" s="155"/>
      <c r="U212" s="155"/>
      <c r="V212" s="39"/>
      <c r="W212" s="155"/>
      <c r="X212" s="143"/>
      <c r="Y212" s="143"/>
      <c r="Z212" s="10"/>
      <c r="AA212" s="155"/>
      <c r="AB212" s="155"/>
      <c r="AC212" s="143"/>
      <c r="AD212" s="16"/>
      <c r="AE212" s="16"/>
      <c r="AF212" s="143"/>
      <c r="AG212" s="143"/>
      <c r="AH212" s="143"/>
      <c r="AI212" s="143"/>
      <c r="AJ212" s="143"/>
      <c r="AK212" s="16"/>
      <c r="AL212" s="16"/>
      <c r="AM212" s="143"/>
      <c r="AN212" s="177">
        <f>SUM(P212:AM212)-O212</f>
        <v>7372954</v>
      </c>
    </row>
    <row r="213" spans="1:40" ht="15" thickBot="1" x14ac:dyDescent="0.4">
      <c r="A213" s="40">
        <v>3427</v>
      </c>
      <c r="B213" s="79" t="s">
        <v>253</v>
      </c>
      <c r="C213" s="46">
        <v>228263</v>
      </c>
      <c r="D213" s="97">
        <v>0</v>
      </c>
      <c r="E213" s="10">
        <f>C213+D213</f>
        <v>228263</v>
      </c>
      <c r="F213" s="23">
        <v>206690</v>
      </c>
      <c r="G213" s="23">
        <v>0</v>
      </c>
      <c r="H213" s="16">
        <f>F213+G213</f>
        <v>206690</v>
      </c>
      <c r="I213" s="16">
        <f>E213-H213</f>
        <v>21573</v>
      </c>
      <c r="J213" s="23">
        <v>0</v>
      </c>
      <c r="K213" s="23">
        <v>0</v>
      </c>
      <c r="L213" s="46">
        <v>0</v>
      </c>
      <c r="M213" s="46">
        <v>0</v>
      </c>
      <c r="N213" s="46">
        <v>0</v>
      </c>
      <c r="O213" s="46">
        <v>0</v>
      </c>
      <c r="P213" s="78">
        <f>I213-M213-J213-K213-N213-L213</f>
        <v>21573</v>
      </c>
      <c r="Q213" s="155"/>
      <c r="R213" s="155"/>
      <c r="S213" s="45">
        <f>IF(J213+K213+L213+M213+N213&lt;VLOOKUP(A213,Eligibility!$A$3:$F$423,6,0),J213+K213+L213+M213+N213,VLOOKUP(A213,Eligibility!$A$3:$F$423,6,0))</f>
        <v>0</v>
      </c>
      <c r="T213" s="155"/>
      <c r="U213" s="155"/>
      <c r="V213" s="39"/>
      <c r="W213" s="155"/>
      <c r="X213" s="143"/>
      <c r="Y213" s="143"/>
      <c r="Z213" s="10"/>
      <c r="AA213" s="155"/>
      <c r="AB213" s="155"/>
      <c r="AC213" s="143"/>
      <c r="AD213" s="16"/>
      <c r="AE213" s="16"/>
      <c r="AF213" s="143"/>
      <c r="AG213" s="143"/>
      <c r="AH213" s="143"/>
      <c r="AI213" s="143"/>
      <c r="AJ213" s="143"/>
      <c r="AK213" s="16"/>
      <c r="AL213" s="16"/>
      <c r="AM213" s="143"/>
      <c r="AN213" s="177">
        <f>SUM(P213:AM213)-O213</f>
        <v>21573</v>
      </c>
    </row>
    <row r="214" spans="1:40" ht="15" thickBot="1" x14ac:dyDescent="0.4">
      <c r="A214" s="40">
        <v>3428</v>
      </c>
      <c r="B214" s="79" t="s">
        <v>254</v>
      </c>
      <c r="C214" s="46">
        <v>706172</v>
      </c>
      <c r="D214" s="97">
        <v>0</v>
      </c>
      <c r="E214" s="10">
        <f>C214+D214</f>
        <v>706172</v>
      </c>
      <c r="F214" s="23">
        <v>561254</v>
      </c>
      <c r="G214" s="23">
        <v>0</v>
      </c>
      <c r="H214" s="16">
        <f>F214+G214</f>
        <v>561254</v>
      </c>
      <c r="I214" s="16">
        <f>E214-H214</f>
        <v>144918</v>
      </c>
      <c r="J214" s="23">
        <v>0</v>
      </c>
      <c r="K214" s="23">
        <v>25954</v>
      </c>
      <c r="L214" s="46">
        <v>0</v>
      </c>
      <c r="M214" s="46">
        <v>0</v>
      </c>
      <c r="N214" s="46">
        <v>0</v>
      </c>
      <c r="O214" s="46">
        <v>0</v>
      </c>
      <c r="P214" s="78">
        <f>I214-M214-J214-K214-N214-L214</f>
        <v>118964</v>
      </c>
      <c r="Q214" s="155"/>
      <c r="R214" s="155"/>
      <c r="S214" s="45">
        <f>IF(J214+K214+L214+M214+N214&lt;VLOOKUP(A214,Eligibility!$A$3:$F$423,6,0),J214+K214+L214+M214+N214,VLOOKUP(A214,Eligibility!$A$3:$F$423,6,0))</f>
        <v>25954</v>
      </c>
      <c r="T214" s="155"/>
      <c r="U214" s="155"/>
      <c r="V214" s="39"/>
      <c r="W214" s="155"/>
      <c r="X214" s="143"/>
      <c r="Y214" s="143"/>
      <c r="Z214" s="10"/>
      <c r="AA214" s="155"/>
      <c r="AB214" s="155"/>
      <c r="AC214" s="143"/>
      <c r="AD214" s="16"/>
      <c r="AE214" s="16"/>
      <c r="AF214" s="143"/>
      <c r="AG214" s="143"/>
      <c r="AH214" s="143"/>
      <c r="AI214" s="143"/>
      <c r="AJ214" s="143"/>
      <c r="AK214" s="16"/>
      <c r="AL214" s="16"/>
      <c r="AM214" s="143"/>
      <c r="AN214" s="177">
        <f>SUM(P214:AM214)-O214</f>
        <v>144918</v>
      </c>
    </row>
    <row r="215" spans="1:40" ht="15" thickBot="1" x14ac:dyDescent="0.4">
      <c r="A215" s="40">
        <v>3430</v>
      </c>
      <c r="B215" s="79" t="s">
        <v>255</v>
      </c>
      <c r="C215" s="46">
        <v>2192014</v>
      </c>
      <c r="D215" s="97">
        <v>51908</v>
      </c>
      <c r="E215" s="10">
        <f>C215+D215</f>
        <v>2243922</v>
      </c>
      <c r="F215" s="23">
        <v>4544153</v>
      </c>
      <c r="G215" s="23">
        <v>0</v>
      </c>
      <c r="H215" s="16">
        <f>F215+G215</f>
        <v>4544153</v>
      </c>
      <c r="I215" s="16">
        <f>E215-H215</f>
        <v>-2300231</v>
      </c>
      <c r="J215" s="23">
        <v>834620</v>
      </c>
      <c r="K215" s="23">
        <v>0</v>
      </c>
      <c r="L215" s="46">
        <v>0</v>
      </c>
      <c r="M215" s="46">
        <v>7059.17</v>
      </c>
      <c r="N215" s="46">
        <v>0</v>
      </c>
      <c r="O215" s="46">
        <v>0</v>
      </c>
      <c r="P215" s="78">
        <f>I215-M215-J215-K215-N215-L215</f>
        <v>-3141910.17</v>
      </c>
      <c r="Q215" s="155"/>
      <c r="R215" s="155"/>
      <c r="S215" s="45">
        <f>IF(-$P215&lt;VLOOKUP(A215,Eligibility!$A$3:$F$423,6,0),-P215,VLOOKUP(A215,Eligibility!$A$3:$F$423,6,0))</f>
        <v>3141910.17</v>
      </c>
      <c r="T215" s="155"/>
      <c r="U215" s="155"/>
      <c r="V215" s="39"/>
      <c r="W215" s="155"/>
      <c r="X215" s="143"/>
      <c r="Y215" s="143"/>
      <c r="Z215" s="10"/>
      <c r="AA215" s="155"/>
      <c r="AB215" s="155"/>
      <c r="AC215" s="143"/>
      <c r="AD215" s="16"/>
      <c r="AE215" s="16"/>
      <c r="AF215" s="143"/>
      <c r="AG215" s="143"/>
      <c r="AH215" s="143"/>
      <c r="AI215" s="143"/>
      <c r="AJ215" s="143"/>
      <c r="AK215" s="16"/>
      <c r="AL215" s="16"/>
      <c r="AM215" s="143"/>
      <c r="AN215" s="177">
        <f>SUM(P215:AM215)-O215</f>
        <v>0</v>
      </c>
    </row>
    <row r="216" spans="1:40" ht="15" thickBot="1" x14ac:dyDescent="0.4">
      <c r="A216" s="40">
        <v>3434</v>
      </c>
      <c r="B216" s="79" t="s">
        <v>256</v>
      </c>
      <c r="C216" s="46">
        <v>754392</v>
      </c>
      <c r="D216" s="97">
        <v>0</v>
      </c>
      <c r="E216" s="10">
        <f>C216+D216</f>
        <v>754392</v>
      </c>
      <c r="F216" s="23">
        <v>1076526</v>
      </c>
      <c r="G216" s="23">
        <v>0</v>
      </c>
      <c r="H216" s="16">
        <f>F216+G216</f>
        <v>1076526</v>
      </c>
      <c r="I216" s="16">
        <f>E216-H216</f>
        <v>-322134</v>
      </c>
      <c r="J216" s="23">
        <v>8300</v>
      </c>
      <c r="K216" s="23">
        <v>0</v>
      </c>
      <c r="L216" s="46">
        <v>0</v>
      </c>
      <c r="M216" s="46">
        <v>7059.17</v>
      </c>
      <c r="N216" s="46">
        <v>0</v>
      </c>
      <c r="O216" s="46">
        <v>0</v>
      </c>
      <c r="P216" s="78">
        <f>I216-M216-J216-K216-N216-L216</f>
        <v>-337493.17</v>
      </c>
      <c r="Q216" s="155"/>
      <c r="R216" s="155"/>
      <c r="S216" s="45">
        <f>IF(-$P216&lt;VLOOKUP(A216,Eligibility!$A$3:$F$423,6,0),-P216,VLOOKUP(A216,Eligibility!$A$3:$F$423,6,0))</f>
        <v>337493.17</v>
      </c>
      <c r="T216" s="155"/>
      <c r="U216" s="155"/>
      <c r="V216" s="39"/>
      <c r="W216" s="155"/>
      <c r="X216" s="143"/>
      <c r="Y216" s="143"/>
      <c r="Z216" s="10"/>
      <c r="AA216" s="155"/>
      <c r="AB216" s="155"/>
      <c r="AC216" s="143"/>
      <c r="AD216" s="16"/>
      <c r="AE216" s="16"/>
      <c r="AF216" s="143"/>
      <c r="AG216" s="143"/>
      <c r="AH216" s="143"/>
      <c r="AI216" s="143"/>
      <c r="AJ216" s="143"/>
      <c r="AK216" s="16"/>
      <c r="AL216" s="16"/>
      <c r="AM216" s="143"/>
      <c r="AN216" s="177">
        <f>SUM(P216:AM216)-O216</f>
        <v>0</v>
      </c>
    </row>
    <row r="217" spans="1:40" ht="15" thickBot="1" x14ac:dyDescent="0.4">
      <c r="A217" s="40">
        <v>3437</v>
      </c>
      <c r="B217" s="79" t="s">
        <v>257</v>
      </c>
      <c r="C217" s="46">
        <v>1758599</v>
      </c>
      <c r="D217" s="97">
        <v>0</v>
      </c>
      <c r="E217" s="10">
        <f>C217+D217</f>
        <v>1758599</v>
      </c>
      <c r="F217" s="23">
        <v>929410</v>
      </c>
      <c r="G217" s="23">
        <v>12977</v>
      </c>
      <c r="H217" s="16">
        <f>F217+G217</f>
        <v>942387</v>
      </c>
      <c r="I217" s="16">
        <f>E217-H217</f>
        <v>816212</v>
      </c>
      <c r="J217" s="23">
        <v>706197</v>
      </c>
      <c r="K217" s="23">
        <v>188166.5</v>
      </c>
      <c r="L217" s="46">
        <v>0</v>
      </c>
      <c r="M217" s="46">
        <v>7059.17</v>
      </c>
      <c r="N217" s="46">
        <v>0</v>
      </c>
      <c r="O217" s="46">
        <v>0</v>
      </c>
      <c r="P217" s="78">
        <f>I217-M217-J217-K217-N217-L217</f>
        <v>-85210.67</v>
      </c>
      <c r="Q217" s="155"/>
      <c r="R217" s="155"/>
      <c r="S217" s="45">
        <f>IF(J217+K217+L217+M217+N217&lt;VLOOKUP(A217,Eligibility!$A$3:$F$423,6,0),J217+K217+L217+M217+N217,VLOOKUP(A217,Eligibility!$A$3:$F$423,6,0))</f>
        <v>901422.67</v>
      </c>
      <c r="T217" s="155"/>
      <c r="U217" s="155"/>
      <c r="V217" s="39"/>
      <c r="W217" s="155"/>
      <c r="X217" s="143"/>
      <c r="Y217" s="143"/>
      <c r="Z217" s="10"/>
      <c r="AA217" s="155"/>
      <c r="AB217" s="155"/>
      <c r="AC217" s="143"/>
      <c r="AD217" s="16"/>
      <c r="AE217" s="16"/>
      <c r="AF217" s="143"/>
      <c r="AG217" s="143"/>
      <c r="AH217" s="143"/>
      <c r="AI217" s="143"/>
      <c r="AJ217" s="143"/>
      <c r="AK217" s="16"/>
      <c r="AL217" s="16"/>
      <c r="AM217" s="143"/>
      <c r="AN217" s="177">
        <f>SUM(P217:AM217)-O217</f>
        <v>816212</v>
      </c>
    </row>
    <row r="218" spans="1:40" ht="15" thickBot="1" x14ac:dyDescent="0.4">
      <c r="A218" s="40">
        <v>3444</v>
      </c>
      <c r="B218" s="79" t="s">
        <v>258</v>
      </c>
      <c r="C218" s="46">
        <v>571376</v>
      </c>
      <c r="D218" s="97">
        <v>0</v>
      </c>
      <c r="E218" s="10">
        <f>C218+D218</f>
        <v>571376</v>
      </c>
      <c r="F218" s="23">
        <v>1503316</v>
      </c>
      <c r="G218" s="23">
        <v>0</v>
      </c>
      <c r="H218" s="16">
        <f>F218+G218</f>
        <v>1503316</v>
      </c>
      <c r="I218" s="16">
        <f>E218-H218</f>
        <v>-931940</v>
      </c>
      <c r="J218" s="23">
        <v>182600</v>
      </c>
      <c r="K218" s="23">
        <v>0</v>
      </c>
      <c r="L218" s="46">
        <v>0</v>
      </c>
      <c r="M218" s="46">
        <v>0</v>
      </c>
      <c r="N218" s="46">
        <v>0</v>
      </c>
      <c r="O218" s="46">
        <v>0</v>
      </c>
      <c r="P218" s="78">
        <f>I218-M218-J218-K218-N218-L218</f>
        <v>-1114540</v>
      </c>
      <c r="Q218" s="155"/>
      <c r="R218" s="155"/>
      <c r="S218" s="45">
        <f>IF(-$P218&lt;VLOOKUP(A218,Eligibility!$A$3:$F$423,6,0),-P218,VLOOKUP(A218,Eligibility!$A$3:$F$423,6,0))</f>
        <v>1114540</v>
      </c>
      <c r="T218" s="155"/>
      <c r="U218" s="155"/>
      <c r="V218" s="39"/>
      <c r="W218" s="155"/>
      <c r="X218" s="143"/>
      <c r="Y218" s="143"/>
      <c r="Z218" s="10"/>
      <c r="AA218" s="155"/>
      <c r="AB218" s="155"/>
      <c r="AC218" s="143"/>
      <c r="AD218" s="16"/>
      <c r="AE218" s="16"/>
      <c r="AF218" s="143"/>
      <c r="AG218" s="143"/>
      <c r="AH218" s="143"/>
      <c r="AI218" s="143"/>
      <c r="AJ218" s="143"/>
      <c r="AK218" s="16"/>
      <c r="AL218" s="16"/>
      <c r="AM218" s="143"/>
      <c r="AN218" s="177">
        <f>SUM(P218:AM218)-O218</f>
        <v>0</v>
      </c>
    </row>
    <row r="219" spans="1:40" ht="15" thickBot="1" x14ac:dyDescent="0.4">
      <c r="A219" s="40">
        <v>3479</v>
      </c>
      <c r="B219" s="79" t="s">
        <v>259</v>
      </c>
      <c r="C219" s="46">
        <v>731476</v>
      </c>
      <c r="D219" s="97">
        <v>0</v>
      </c>
      <c r="E219" s="10">
        <f>C219+D219</f>
        <v>731476</v>
      </c>
      <c r="F219" s="23">
        <v>641238</v>
      </c>
      <c r="G219" s="23">
        <v>32500</v>
      </c>
      <c r="H219" s="16">
        <f>F219+G219</f>
        <v>673738</v>
      </c>
      <c r="I219" s="16">
        <f>E219-H219</f>
        <v>57738</v>
      </c>
      <c r="J219" s="23">
        <v>413483</v>
      </c>
      <c r="K219" s="23">
        <v>168701</v>
      </c>
      <c r="L219" s="46">
        <v>0</v>
      </c>
      <c r="M219" s="46">
        <v>0</v>
      </c>
      <c r="N219" s="46">
        <v>0</v>
      </c>
      <c r="O219" s="46">
        <v>0</v>
      </c>
      <c r="P219" s="78">
        <f>I219-M219-J219-K219-N219-L219</f>
        <v>-524446</v>
      </c>
      <c r="Q219" s="155">
        <v>98545</v>
      </c>
      <c r="R219" s="155">
        <f>206756-29379</f>
        <v>177377</v>
      </c>
      <c r="S219" s="45">
        <f>IF(J219+K219+L219+M219+N219&lt;VLOOKUP(A219,Eligibility!$A$3:$F$423,6,0),J219+K219+L219+M219+N219,VLOOKUP(A219,Eligibility!$A$3:$F$423,6,0))</f>
        <v>289458</v>
      </c>
      <c r="T219" s="155"/>
      <c r="U219" s="155"/>
      <c r="V219" s="39">
        <v>7279</v>
      </c>
      <c r="W219" s="155"/>
      <c r="X219" s="143"/>
      <c r="Y219" s="143"/>
      <c r="Z219" s="10"/>
      <c r="AA219" s="155"/>
      <c r="AB219" s="155"/>
      <c r="AC219" s="143"/>
      <c r="AD219" s="16">
        <v>6491</v>
      </c>
      <c r="AE219" s="16"/>
      <c r="AF219" s="143"/>
      <c r="AG219" s="143"/>
      <c r="AH219" s="143"/>
      <c r="AI219" s="143"/>
      <c r="AJ219" s="143"/>
      <c r="AK219" s="16">
        <f>3029.16+4.84</f>
        <v>3034</v>
      </c>
      <c r="AL219" s="16"/>
      <c r="AM219" s="143"/>
      <c r="AN219" s="177">
        <f>SUM(P219:AM219)-O219</f>
        <v>57738</v>
      </c>
    </row>
    <row r="220" spans="1:40" ht="15" thickBot="1" x14ac:dyDescent="0.4">
      <c r="A220" s="40">
        <v>3484</v>
      </c>
      <c r="B220" s="79" t="s">
        <v>9</v>
      </c>
      <c r="C220" s="46">
        <v>139704</v>
      </c>
      <c r="D220" s="97">
        <v>0</v>
      </c>
      <c r="E220" s="10">
        <f>C220+D220</f>
        <v>139704</v>
      </c>
      <c r="F220" s="23">
        <v>311813</v>
      </c>
      <c r="G220" s="23">
        <v>0</v>
      </c>
      <c r="H220" s="16">
        <f>F220+G220</f>
        <v>311813</v>
      </c>
      <c r="I220" s="16">
        <f>E220-H220</f>
        <v>-172109</v>
      </c>
      <c r="J220" s="23">
        <v>0</v>
      </c>
      <c r="K220" s="23">
        <v>0</v>
      </c>
      <c r="L220" s="46">
        <v>0</v>
      </c>
      <c r="M220" s="46">
        <v>0</v>
      </c>
      <c r="N220" s="46">
        <v>0</v>
      </c>
      <c r="O220" s="46">
        <v>0</v>
      </c>
      <c r="P220" s="78">
        <f>I220-M220-J220-K220-N220-L220</f>
        <v>-172109</v>
      </c>
      <c r="Q220" s="155"/>
      <c r="R220" s="155"/>
      <c r="S220" s="45">
        <f>IF(-$P220&lt;VLOOKUP(A220,Eligibility!$A$3:$F$423,6,0),-P220,VLOOKUP(A220,Eligibility!$A$3:$F$423,6,0))</f>
        <v>0</v>
      </c>
      <c r="T220" s="155"/>
      <c r="U220" s="155"/>
      <c r="V220" s="39"/>
      <c r="W220" s="155">
        <v>9587</v>
      </c>
      <c r="X220" s="143">
        <v>21242</v>
      </c>
      <c r="Y220" s="143">
        <v>20694</v>
      </c>
      <c r="Z220" s="10">
        <v>20969.330000000002</v>
      </c>
      <c r="AA220" s="155">
        <v>99616.67</v>
      </c>
      <c r="AB220" s="155"/>
      <c r="AC220" s="143"/>
      <c r="AD220" s="16"/>
      <c r="AE220" s="10"/>
      <c r="AF220" s="143"/>
      <c r="AG220" s="143"/>
      <c r="AH220" s="143"/>
      <c r="AI220" s="143"/>
      <c r="AJ220" s="143"/>
      <c r="AK220" s="16"/>
      <c r="AL220" s="16"/>
      <c r="AM220" s="143"/>
      <c r="AN220" s="177">
        <f>SUM(P220:AM220)-O220</f>
        <v>0</v>
      </c>
    </row>
    <row r="221" spans="1:40" ht="15" thickBot="1" x14ac:dyDescent="0.4">
      <c r="A221" s="40">
        <v>3500</v>
      </c>
      <c r="B221" s="79" t="s">
        <v>260</v>
      </c>
      <c r="C221" s="46">
        <v>7305899</v>
      </c>
      <c r="D221" s="97">
        <v>0</v>
      </c>
      <c r="E221" s="10">
        <f>C221+D221</f>
        <v>7305899</v>
      </c>
      <c r="F221" s="23">
        <v>1006362</v>
      </c>
      <c r="G221" s="23">
        <v>0</v>
      </c>
      <c r="H221" s="16">
        <f>F221+G221</f>
        <v>1006362</v>
      </c>
      <c r="I221" s="16">
        <f>E221-H221</f>
        <v>6299537</v>
      </c>
      <c r="J221" s="23">
        <v>368430</v>
      </c>
      <c r="K221" s="23">
        <v>0</v>
      </c>
      <c r="L221" s="46">
        <v>0</v>
      </c>
      <c r="M221" s="46">
        <v>7059.17</v>
      </c>
      <c r="N221" s="46">
        <v>0</v>
      </c>
      <c r="O221" s="46">
        <v>0</v>
      </c>
      <c r="P221" s="78">
        <f>I221-M221-J221-K221-N221-L221</f>
        <v>5924047.8300000001</v>
      </c>
      <c r="Q221" s="155"/>
      <c r="R221" s="155"/>
      <c r="S221" s="45">
        <f>IF(J221+K221+L221+M221+N221&lt;VLOOKUP(A221,Eligibility!$A$3:$F$423,6,0),J221+K221+L221+M221+N221,VLOOKUP(A221,Eligibility!$A$3:$F$423,6,0))</f>
        <v>375489.17</v>
      </c>
      <c r="T221" s="155"/>
      <c r="U221" s="155"/>
      <c r="V221" s="39"/>
      <c r="W221" s="155"/>
      <c r="X221" s="143"/>
      <c r="Y221" s="143"/>
      <c r="Z221" s="10"/>
      <c r="AA221" s="155"/>
      <c r="AB221" s="155"/>
      <c r="AC221" s="143"/>
      <c r="AD221" s="16"/>
      <c r="AE221" s="16"/>
      <c r="AF221" s="143"/>
      <c r="AG221" s="143"/>
      <c r="AH221" s="143"/>
      <c r="AI221" s="143"/>
      <c r="AJ221" s="143"/>
      <c r="AK221" s="16"/>
      <c r="AL221" s="16"/>
      <c r="AM221" s="143"/>
      <c r="AN221" s="177">
        <f>SUM(P221:AM221)-O221</f>
        <v>6299537</v>
      </c>
    </row>
    <row r="222" spans="1:40" ht="15" thickBot="1" x14ac:dyDescent="0.4">
      <c r="A222" s="40">
        <v>3528</v>
      </c>
      <c r="B222" s="79" t="s">
        <v>261</v>
      </c>
      <c r="C222" s="46">
        <v>920781</v>
      </c>
      <c r="D222" s="97">
        <v>0</v>
      </c>
      <c r="E222" s="10">
        <f>C222+D222</f>
        <v>920781</v>
      </c>
      <c r="F222" s="23">
        <v>619236</v>
      </c>
      <c r="G222" s="23">
        <v>0</v>
      </c>
      <c r="H222" s="16">
        <f>F222+G222</f>
        <v>619236</v>
      </c>
      <c r="I222" s="16">
        <f>E222-H222</f>
        <v>301545</v>
      </c>
      <c r="J222" s="23">
        <v>58100</v>
      </c>
      <c r="K222" s="23">
        <v>6488.5</v>
      </c>
      <c r="L222" s="46">
        <v>0</v>
      </c>
      <c r="M222" s="46">
        <v>0</v>
      </c>
      <c r="N222" s="46">
        <v>0</v>
      </c>
      <c r="O222" s="46">
        <v>0</v>
      </c>
      <c r="P222" s="78">
        <f>I222-M222-J222-K222-N222-L222</f>
        <v>236956.5</v>
      </c>
      <c r="Q222" s="155"/>
      <c r="R222" s="155"/>
      <c r="S222" s="45">
        <f>IF(J222+K222+L222+M222+N222&lt;VLOOKUP(A222,Eligibility!$A$3:$F$423,6,0),J222+K222+L222+M222+N222,VLOOKUP(A222,Eligibility!$A$3:$F$423,6,0))</f>
        <v>64588.5</v>
      </c>
      <c r="T222" s="155"/>
      <c r="U222" s="155"/>
      <c r="V222" s="39"/>
      <c r="W222" s="155"/>
      <c r="X222" s="143"/>
      <c r="Y222" s="143"/>
      <c r="Z222" s="10"/>
      <c r="AA222" s="155"/>
      <c r="AB222" s="155"/>
      <c r="AC222" s="143"/>
      <c r="AD222" s="16"/>
      <c r="AE222" s="16"/>
      <c r="AF222" s="143"/>
      <c r="AG222" s="143"/>
      <c r="AH222" s="143"/>
      <c r="AI222" s="143"/>
      <c r="AJ222" s="143"/>
      <c r="AK222" s="16"/>
      <c r="AL222" s="16"/>
      <c r="AM222" s="143"/>
      <c r="AN222" s="177">
        <f>SUM(P222:AM222)-O222</f>
        <v>301545</v>
      </c>
    </row>
    <row r="223" spans="1:40" ht="15" thickBot="1" x14ac:dyDescent="0.4">
      <c r="A223" s="40">
        <v>3549</v>
      </c>
      <c r="B223" s="79" t="s">
        <v>262</v>
      </c>
      <c r="C223" s="46">
        <v>304032</v>
      </c>
      <c r="D223" s="97">
        <v>141814</v>
      </c>
      <c r="E223" s="10">
        <f>C223+D223</f>
        <v>445846</v>
      </c>
      <c r="F223" s="23">
        <v>1360011</v>
      </c>
      <c r="G223" s="23">
        <v>8125</v>
      </c>
      <c r="H223" s="16">
        <f>F223+G223</f>
        <v>1368136</v>
      </c>
      <c r="I223" s="16">
        <f>E223-H223</f>
        <v>-922290</v>
      </c>
      <c r="J223" s="23">
        <v>392513.28000000003</v>
      </c>
      <c r="K223" s="23">
        <v>169010.7</v>
      </c>
      <c r="L223" s="46">
        <v>88900.5</v>
      </c>
      <c r="M223" s="46">
        <v>0</v>
      </c>
      <c r="N223" s="46">
        <v>11418</v>
      </c>
      <c r="O223" s="46">
        <v>0</v>
      </c>
      <c r="P223" s="78">
        <f>I223-M223-J223-K223-N223-L223</f>
        <v>-1584132.48</v>
      </c>
      <c r="Q223" s="155"/>
      <c r="R223" s="155"/>
      <c r="S223" s="45">
        <f>IF(-$P223&lt;VLOOKUP(A223,Eligibility!$A$3:$F$423,6,0),-P223,VLOOKUP(A223,Eligibility!$A$3:$F$423,6,0))</f>
        <v>1584132.48</v>
      </c>
      <c r="T223" s="155"/>
      <c r="U223" s="155"/>
      <c r="V223" s="39"/>
      <c r="W223" s="155"/>
      <c r="X223" s="143"/>
      <c r="Y223" s="143"/>
      <c r="Z223" s="10"/>
      <c r="AA223" s="155"/>
      <c r="AB223" s="155"/>
      <c r="AC223" s="143"/>
      <c r="AD223" s="16"/>
      <c r="AE223" s="16"/>
      <c r="AF223" s="143"/>
      <c r="AG223" s="143"/>
      <c r="AH223" s="143"/>
      <c r="AI223" s="143"/>
      <c r="AJ223" s="143"/>
      <c r="AK223" s="16"/>
      <c r="AL223" s="16"/>
      <c r="AM223" s="143"/>
      <c r="AN223" s="177">
        <f>SUM(P223:AM223)-O223</f>
        <v>0</v>
      </c>
    </row>
    <row r="224" spans="1:40" x14ac:dyDescent="0.35">
      <c r="A224" s="112">
        <v>3612</v>
      </c>
      <c r="B224" s="113" t="s">
        <v>263</v>
      </c>
      <c r="C224" s="46">
        <v>2685557</v>
      </c>
      <c r="D224" s="97">
        <v>0</v>
      </c>
      <c r="E224" s="114">
        <f>C224+D224</f>
        <v>2685557</v>
      </c>
      <c r="F224" s="23">
        <v>3123179</v>
      </c>
      <c r="G224" s="23">
        <v>0</v>
      </c>
      <c r="H224" s="115">
        <f>F224+G224</f>
        <v>3123179</v>
      </c>
      <c r="I224" s="115">
        <f>E224-H224</f>
        <v>-437622</v>
      </c>
      <c r="J224" s="23">
        <v>60038</v>
      </c>
      <c r="K224" s="23">
        <v>0</v>
      </c>
      <c r="L224" s="46">
        <v>0</v>
      </c>
      <c r="M224" s="46">
        <v>21177.51</v>
      </c>
      <c r="N224" s="46">
        <v>0</v>
      </c>
      <c r="O224" s="46">
        <v>0</v>
      </c>
      <c r="P224" s="116">
        <f>I224-M224-J224-K224-N224-L224</f>
        <v>-518837.51</v>
      </c>
      <c r="Q224" s="155"/>
      <c r="R224" s="155"/>
      <c r="S224" s="45">
        <f>IF(-$P224&lt;VLOOKUP(A224,Eligibility!$A$3:$F$423,6,0),-P224,VLOOKUP(A224,Eligibility!$A$3:$F$423,6,0))</f>
        <v>518837.51</v>
      </c>
      <c r="T224" s="155"/>
      <c r="U224" s="155"/>
      <c r="V224" s="132"/>
      <c r="W224" s="155"/>
      <c r="X224" s="145"/>
      <c r="Y224" s="143"/>
      <c r="Z224" s="114"/>
      <c r="AA224" s="155"/>
      <c r="AB224" s="155"/>
      <c r="AC224" s="143"/>
      <c r="AD224" s="115"/>
      <c r="AE224" s="115"/>
      <c r="AF224" s="145"/>
      <c r="AG224" s="143"/>
      <c r="AH224" s="143"/>
      <c r="AI224" s="143"/>
      <c r="AJ224" s="143"/>
      <c r="AK224" s="115"/>
      <c r="AL224" s="115"/>
      <c r="AM224" s="143"/>
      <c r="AN224" s="177">
        <f>SUM(P224:AM224)-O224</f>
        <v>0</v>
      </c>
    </row>
    <row r="225" spans="1:40" x14ac:dyDescent="0.35">
      <c r="A225" s="230">
        <v>3619</v>
      </c>
      <c r="B225" s="117" t="s">
        <v>264</v>
      </c>
      <c r="C225" s="46">
        <v>19036012</v>
      </c>
      <c r="D225" s="97">
        <v>0</v>
      </c>
      <c r="E225" s="10">
        <f>C225+D225</f>
        <v>19036012</v>
      </c>
      <c r="F225" s="23">
        <v>44124963</v>
      </c>
      <c r="G225" s="23">
        <v>645684</v>
      </c>
      <c r="H225" s="16">
        <f>F225+G225</f>
        <v>44770647</v>
      </c>
      <c r="I225" s="115">
        <f>E225-H225</f>
        <v>-25734635</v>
      </c>
      <c r="J225" s="23">
        <v>0</v>
      </c>
      <c r="K225" s="23">
        <v>6998751.0499999998</v>
      </c>
      <c r="L225" s="46">
        <v>0</v>
      </c>
      <c r="M225" s="46">
        <v>169420.08</v>
      </c>
      <c r="N225" s="46">
        <v>0</v>
      </c>
      <c r="O225" s="46">
        <v>0</v>
      </c>
      <c r="P225" s="16">
        <f>I225-M225-J225-K225-N225-L225</f>
        <v>-32902806.129999999</v>
      </c>
      <c r="Q225" s="155"/>
      <c r="R225" s="155"/>
      <c r="S225" s="45">
        <f>IF(-$P225&lt;VLOOKUP(A225,Eligibility!$A$3:$F$423,6,0),-P225,VLOOKUP(A225,Eligibility!$A$3:$F$423,6,0))</f>
        <v>32902806.129999999</v>
      </c>
      <c r="T225" s="155"/>
      <c r="U225" s="155"/>
      <c r="V225" s="10"/>
      <c r="W225" s="155"/>
      <c r="X225" s="143"/>
      <c r="Y225" s="143"/>
      <c r="Z225" s="10"/>
      <c r="AA225" s="155"/>
      <c r="AB225" s="155"/>
      <c r="AC225" s="143"/>
      <c r="AD225" s="16"/>
      <c r="AE225" s="16"/>
      <c r="AF225" s="143"/>
      <c r="AG225" s="143"/>
      <c r="AH225" s="143"/>
      <c r="AI225" s="143"/>
      <c r="AJ225" s="143"/>
      <c r="AK225" s="16"/>
      <c r="AL225" s="16"/>
      <c r="AM225" s="143"/>
      <c r="AN225" s="177">
        <f>SUM(P225:AM225)-O225</f>
        <v>0</v>
      </c>
    </row>
    <row r="226" spans="1:40" x14ac:dyDescent="0.35">
      <c r="A226" s="230">
        <v>3633</v>
      </c>
      <c r="B226" s="117" t="s">
        <v>265</v>
      </c>
      <c r="C226" s="46">
        <v>827458</v>
      </c>
      <c r="D226" s="97">
        <v>0</v>
      </c>
      <c r="E226" s="10">
        <f>C226+D226</f>
        <v>827458</v>
      </c>
      <c r="F226" s="23">
        <v>427781</v>
      </c>
      <c r="G226" s="23">
        <v>0</v>
      </c>
      <c r="H226" s="16">
        <f>F226+G226</f>
        <v>427781</v>
      </c>
      <c r="I226" s="115">
        <f>E226-H226</f>
        <v>399677</v>
      </c>
      <c r="J226" s="23">
        <v>74700</v>
      </c>
      <c r="K226" s="23">
        <v>0</v>
      </c>
      <c r="L226" s="46">
        <v>0</v>
      </c>
      <c r="M226" s="46">
        <v>0</v>
      </c>
      <c r="N226" s="46">
        <v>1</v>
      </c>
      <c r="O226" s="46">
        <v>0</v>
      </c>
      <c r="P226" s="16">
        <f>I226-M226-J226-K226-N226-L226</f>
        <v>324976</v>
      </c>
      <c r="Q226" s="155"/>
      <c r="R226" s="155"/>
      <c r="S226" s="45">
        <f>IF(J226+K226+L226+M226+N226&lt;VLOOKUP(A226,Eligibility!$A$3:$F$423,6,0),J226+K226+L226+M226+N226,VLOOKUP(A226,Eligibility!$A$3:$F$423,6,0))</f>
        <v>74701</v>
      </c>
      <c r="T226" s="155"/>
      <c r="U226" s="155"/>
      <c r="V226" s="10"/>
      <c r="W226" s="155"/>
      <c r="X226" s="143"/>
      <c r="Y226" s="143"/>
      <c r="Z226" s="10"/>
      <c r="AA226" s="155"/>
      <c r="AB226" s="155"/>
      <c r="AC226" s="143"/>
      <c r="AD226" s="16"/>
      <c r="AE226" s="16"/>
      <c r="AF226" s="143"/>
      <c r="AG226" s="143"/>
      <c r="AH226" s="143"/>
      <c r="AI226" s="143"/>
      <c r="AJ226" s="143"/>
      <c r="AK226" s="16"/>
      <c r="AL226" s="16"/>
      <c r="AM226" s="143"/>
      <c r="AN226" s="177">
        <f>SUM(P226:AM226)-O226</f>
        <v>399677</v>
      </c>
    </row>
    <row r="227" spans="1:40" x14ac:dyDescent="0.35">
      <c r="A227" s="230">
        <v>3640</v>
      </c>
      <c r="B227" s="117" t="s">
        <v>266</v>
      </c>
      <c r="C227" s="46">
        <v>850830</v>
      </c>
      <c r="D227" s="97">
        <v>0</v>
      </c>
      <c r="E227" s="10">
        <f>C227+D227</f>
        <v>850830</v>
      </c>
      <c r="F227" s="23">
        <v>989500</v>
      </c>
      <c r="G227" s="23">
        <v>0</v>
      </c>
      <c r="H227" s="16">
        <f>F227+G227</f>
        <v>989500</v>
      </c>
      <c r="I227" s="16">
        <f>E227-H227</f>
        <v>-138670</v>
      </c>
      <c r="J227" s="23">
        <v>0</v>
      </c>
      <c r="K227" s="23">
        <v>0</v>
      </c>
      <c r="L227" s="46">
        <v>0</v>
      </c>
      <c r="M227" s="46">
        <v>0</v>
      </c>
      <c r="N227" s="46">
        <v>0</v>
      </c>
      <c r="O227" s="46">
        <v>0</v>
      </c>
      <c r="P227" s="16">
        <f>I227-M227-J227-K227-N227-L227</f>
        <v>-138670</v>
      </c>
      <c r="Q227" s="155"/>
      <c r="R227" s="155"/>
      <c r="S227" s="45">
        <f>IF(-$P227&lt;VLOOKUP(A227,Eligibility!$A$3:$F$423,6,0),-P227,VLOOKUP(A227,Eligibility!$A$3:$F$423,6,0))</f>
        <v>0</v>
      </c>
      <c r="T227" s="155">
        <v>550</v>
      </c>
      <c r="U227" s="155">
        <v>344</v>
      </c>
      <c r="V227" s="10">
        <v>481</v>
      </c>
      <c r="W227" s="155"/>
      <c r="X227" s="143"/>
      <c r="Y227" s="143">
        <v>20584.11</v>
      </c>
      <c r="Z227" s="10">
        <v>76884.89</v>
      </c>
      <c r="AA227" s="155"/>
      <c r="AB227" s="155"/>
      <c r="AC227" s="143"/>
      <c r="AD227" s="16">
        <v>4770</v>
      </c>
      <c r="AE227" s="16">
        <f>35052.23+3.77</f>
        <v>35056</v>
      </c>
      <c r="AF227" s="143"/>
      <c r="AG227" s="143"/>
      <c r="AH227" s="143"/>
      <c r="AI227" s="143"/>
      <c r="AJ227" s="143"/>
      <c r="AK227" s="16"/>
      <c r="AL227" s="16"/>
      <c r="AM227" s="143"/>
      <c r="AN227" s="177">
        <f>SUM(P227:AM227)-O227</f>
        <v>0</v>
      </c>
    </row>
    <row r="228" spans="1:40" x14ac:dyDescent="0.35">
      <c r="A228" s="40">
        <v>3661</v>
      </c>
      <c r="B228" s="79" t="s">
        <v>267</v>
      </c>
      <c r="C228" s="46">
        <v>1274319</v>
      </c>
      <c r="D228" s="97">
        <v>12977</v>
      </c>
      <c r="E228" s="39">
        <f>C228+D228</f>
        <v>1287296</v>
      </c>
      <c r="F228" s="23">
        <v>767969</v>
      </c>
      <c r="G228" s="23">
        <v>0</v>
      </c>
      <c r="H228" s="38">
        <f>F228+G228</f>
        <v>767969</v>
      </c>
      <c r="I228" s="38">
        <f>E228-H228</f>
        <v>519327</v>
      </c>
      <c r="J228" s="23">
        <v>162868</v>
      </c>
      <c r="K228" s="23">
        <v>0</v>
      </c>
      <c r="L228" s="46">
        <v>0</v>
      </c>
      <c r="M228" s="46">
        <v>7059.17</v>
      </c>
      <c r="N228" s="46">
        <v>0</v>
      </c>
      <c r="O228" s="46">
        <v>0</v>
      </c>
      <c r="P228" s="38">
        <f>I228-M228-J228-K228-N228-L228</f>
        <v>349399.83</v>
      </c>
      <c r="Q228" s="155"/>
      <c r="R228" s="155"/>
      <c r="S228" s="45">
        <f>IF(J228+K228+L228+M228+N228&lt;VLOOKUP(A228,Eligibility!$A$3:$F$423,6,0),J228+K228+L228+M228+N228,VLOOKUP(A228,Eligibility!$A$3:$F$423,6,0))</f>
        <v>169927.17</v>
      </c>
      <c r="T228" s="155"/>
      <c r="U228" s="155"/>
      <c r="V228" s="39"/>
      <c r="W228" s="155"/>
      <c r="X228" s="144"/>
      <c r="Y228" s="143"/>
      <c r="Z228" s="39"/>
      <c r="AA228" s="155"/>
      <c r="AB228" s="155"/>
      <c r="AC228" s="143"/>
      <c r="AD228" s="38"/>
      <c r="AE228" s="38"/>
      <c r="AF228" s="144"/>
      <c r="AG228" s="143"/>
      <c r="AH228" s="143"/>
      <c r="AI228" s="143"/>
      <c r="AJ228" s="143"/>
      <c r="AK228" s="38"/>
      <c r="AL228" s="38"/>
      <c r="AM228" s="143"/>
      <c r="AN228" s="177">
        <f>SUM(P228:AM228)-O228</f>
        <v>519327</v>
      </c>
    </row>
    <row r="229" spans="1:40" ht="15" thickBot="1" x14ac:dyDescent="0.4">
      <c r="A229" s="40">
        <v>3668</v>
      </c>
      <c r="B229" s="79" t="s">
        <v>268</v>
      </c>
      <c r="C229" s="46">
        <v>656901</v>
      </c>
      <c r="D229" s="97">
        <v>0</v>
      </c>
      <c r="E229" s="39">
        <f>C229+D229</f>
        <v>656901</v>
      </c>
      <c r="F229" s="23">
        <v>568899</v>
      </c>
      <c r="G229" s="23">
        <v>0</v>
      </c>
      <c r="H229" s="38">
        <f>F229+G229</f>
        <v>568899</v>
      </c>
      <c r="I229" s="38">
        <f>E229-H229</f>
        <v>88002</v>
      </c>
      <c r="J229" s="23">
        <v>17246</v>
      </c>
      <c r="K229" s="23">
        <v>0</v>
      </c>
      <c r="L229" s="46">
        <v>0</v>
      </c>
      <c r="M229" s="46">
        <v>0</v>
      </c>
      <c r="N229" s="46">
        <v>0</v>
      </c>
      <c r="O229" s="46">
        <v>0</v>
      </c>
      <c r="P229" s="38">
        <f>I229-M229-J229-K229-N229-L229</f>
        <v>70756</v>
      </c>
      <c r="Q229" s="155"/>
      <c r="R229" s="155"/>
      <c r="S229" s="45">
        <f>IF(J229+K229+L229+M229+N229&lt;VLOOKUP(A229,Eligibility!$A$3:$F$423,6,0),J229+K229+L229+M229+N229,VLOOKUP(A229,Eligibility!$A$3:$F$423,6,0))</f>
        <v>17246</v>
      </c>
      <c r="T229" s="155"/>
      <c r="U229" s="155"/>
      <c r="V229" s="39"/>
      <c r="W229" s="155"/>
      <c r="X229" s="144"/>
      <c r="Y229" s="143"/>
      <c r="Z229" s="39"/>
      <c r="AA229" s="155"/>
      <c r="AB229" s="155"/>
      <c r="AC229" s="143"/>
      <c r="AD229" s="38"/>
      <c r="AE229" s="38"/>
      <c r="AF229" s="144"/>
      <c r="AG229" s="143"/>
      <c r="AH229" s="143"/>
      <c r="AI229" s="143"/>
      <c r="AJ229" s="143"/>
      <c r="AK229" s="38"/>
      <c r="AL229" s="38"/>
      <c r="AM229" s="143"/>
      <c r="AN229" s="177">
        <f>SUM(P229:AM229)-O229</f>
        <v>88002</v>
      </c>
    </row>
    <row r="230" spans="1:40" ht="15" thickBot="1" x14ac:dyDescent="0.4">
      <c r="A230" s="40">
        <v>3675</v>
      </c>
      <c r="B230" s="79" t="s">
        <v>269</v>
      </c>
      <c r="C230" s="46">
        <v>3425955</v>
      </c>
      <c r="D230" s="97">
        <v>903</v>
      </c>
      <c r="E230" s="10">
        <f>C230+D230</f>
        <v>3426858</v>
      </c>
      <c r="F230" s="23">
        <v>905881</v>
      </c>
      <c r="G230" s="23">
        <v>8125</v>
      </c>
      <c r="H230" s="16">
        <f>F230+G230</f>
        <v>914006</v>
      </c>
      <c r="I230" s="16">
        <f>E230-H230</f>
        <v>2512852</v>
      </c>
      <c r="J230" s="23">
        <v>101050.6</v>
      </c>
      <c r="K230" s="23">
        <v>90839</v>
      </c>
      <c r="L230" s="46">
        <v>116395.5</v>
      </c>
      <c r="M230" s="46">
        <v>7059.17</v>
      </c>
      <c r="N230" s="46">
        <v>0</v>
      </c>
      <c r="O230" s="46">
        <v>0</v>
      </c>
      <c r="P230" s="78">
        <f>I230-M230-J230-K230-N230-L230</f>
        <v>2197507.73</v>
      </c>
      <c r="Q230" s="155"/>
      <c r="R230" s="155"/>
      <c r="S230" s="45">
        <f>IF(J230+K230+L230+M230+N230&lt;VLOOKUP(A230,Eligibility!$A$3:$F$423,6,0),J230+K230+L230+M230+N230,VLOOKUP(A230,Eligibility!$A$3:$F$423,6,0))</f>
        <v>315344.27</v>
      </c>
      <c r="T230" s="155"/>
      <c r="U230" s="155"/>
      <c r="V230" s="39"/>
      <c r="W230" s="155"/>
      <c r="X230" s="143"/>
      <c r="Y230" s="143"/>
      <c r="Z230" s="10"/>
      <c r="AA230" s="155"/>
      <c r="AB230" s="155"/>
      <c r="AC230" s="143"/>
      <c r="AD230" s="16"/>
      <c r="AE230" s="16"/>
      <c r="AF230" s="143"/>
      <c r="AG230" s="143"/>
      <c r="AH230" s="143"/>
      <c r="AI230" s="143"/>
      <c r="AJ230" s="143"/>
      <c r="AK230" s="16"/>
      <c r="AL230" s="16"/>
      <c r="AM230" s="143"/>
      <c r="AN230" s="177">
        <f>SUM(P230:AM230)-O230</f>
        <v>2512852</v>
      </c>
    </row>
    <row r="231" spans="1:40" ht="15" thickBot="1" x14ac:dyDescent="0.4">
      <c r="A231" s="40">
        <v>3682</v>
      </c>
      <c r="B231" s="79" t="s">
        <v>270</v>
      </c>
      <c r="C231" s="46">
        <v>1025626</v>
      </c>
      <c r="D231" s="97">
        <v>0</v>
      </c>
      <c r="E231" s="10">
        <f>C231+D231</f>
        <v>1025626</v>
      </c>
      <c r="F231" s="23">
        <v>1529177</v>
      </c>
      <c r="G231" s="23">
        <v>0</v>
      </c>
      <c r="H231" s="16">
        <f>F231+G231</f>
        <v>1529177</v>
      </c>
      <c r="I231" s="16">
        <f>E231-H231</f>
        <v>-503551</v>
      </c>
      <c r="J231" s="23">
        <v>0</v>
      </c>
      <c r="K231" s="23">
        <v>0</v>
      </c>
      <c r="L231" s="46">
        <v>0</v>
      </c>
      <c r="M231" s="46">
        <v>0</v>
      </c>
      <c r="N231" s="46">
        <v>0</v>
      </c>
      <c r="O231" s="46">
        <v>0</v>
      </c>
      <c r="P231" s="78">
        <f>I231-M231-J231-K231-N231-L231</f>
        <v>-503551</v>
      </c>
      <c r="Q231" s="155"/>
      <c r="R231" s="155"/>
      <c r="S231" s="45">
        <f>IF(-$P231&lt;VLOOKUP(A231,Eligibility!$A$3:$F$423,6,0),-P231,VLOOKUP(A231,Eligibility!$A$3:$F$423,6,0))</f>
        <v>503551</v>
      </c>
      <c r="T231" s="155"/>
      <c r="U231" s="155"/>
      <c r="V231" s="39"/>
      <c r="W231" s="155"/>
      <c r="X231" s="143"/>
      <c r="Y231" s="143"/>
      <c r="Z231" s="10"/>
      <c r="AA231" s="155"/>
      <c r="AB231" s="155"/>
      <c r="AC231" s="143"/>
      <c r="AD231" s="16"/>
      <c r="AE231" s="16"/>
      <c r="AF231" s="143"/>
      <c r="AG231" s="143"/>
      <c r="AH231" s="143"/>
      <c r="AI231" s="143"/>
      <c r="AJ231" s="143"/>
      <c r="AK231" s="16"/>
      <c r="AL231" s="16"/>
      <c r="AM231" s="143"/>
      <c r="AN231" s="177">
        <f>SUM(P231:AM231)-O231</f>
        <v>0</v>
      </c>
    </row>
    <row r="232" spans="1:40" ht="15.5" customHeight="1" x14ac:dyDescent="0.35">
      <c r="A232" s="40">
        <v>3689</v>
      </c>
      <c r="B232" s="79" t="s">
        <v>271</v>
      </c>
      <c r="C232" s="46">
        <v>535512</v>
      </c>
      <c r="D232" s="97">
        <v>0</v>
      </c>
      <c r="E232" s="10">
        <f>C232+D232</f>
        <v>535512</v>
      </c>
      <c r="F232" s="23">
        <v>1141556</v>
      </c>
      <c r="G232" s="23">
        <v>0</v>
      </c>
      <c r="H232" s="16">
        <f>F232+G232</f>
        <v>1141556</v>
      </c>
      <c r="I232" s="16">
        <f>E232-H232</f>
        <v>-606044</v>
      </c>
      <c r="J232" s="23">
        <v>47588</v>
      </c>
      <c r="K232" s="23">
        <v>0</v>
      </c>
      <c r="L232" s="46">
        <v>0</v>
      </c>
      <c r="M232" s="46">
        <v>0</v>
      </c>
      <c r="N232" s="46">
        <v>0</v>
      </c>
      <c r="O232" s="46">
        <v>0</v>
      </c>
      <c r="P232" s="78">
        <f>I232-M232-J232-K232-N232-L232</f>
        <v>-653632</v>
      </c>
      <c r="Q232" s="155"/>
      <c r="R232" s="155"/>
      <c r="S232" s="45">
        <f>IF(-$P232&lt;VLOOKUP(A232,Eligibility!$A$3:$F$423,6,0),-P232,VLOOKUP(A232,Eligibility!$A$3:$F$423,6,0))</f>
        <v>653632</v>
      </c>
      <c r="T232" s="155"/>
      <c r="U232" s="155"/>
      <c r="V232" s="39"/>
      <c r="W232" s="155"/>
      <c r="X232" s="143"/>
      <c r="Y232" s="143"/>
      <c r="Z232" s="10"/>
      <c r="AA232" s="155"/>
      <c r="AB232" s="155"/>
      <c r="AC232" s="143"/>
      <c r="AD232" s="16"/>
      <c r="AE232" s="16"/>
      <c r="AF232" s="143"/>
      <c r="AG232" s="143"/>
      <c r="AH232" s="143"/>
      <c r="AI232" s="143"/>
      <c r="AJ232" s="143"/>
      <c r="AK232" s="16"/>
      <c r="AL232" s="16"/>
      <c r="AM232" s="143"/>
      <c r="AN232" s="177">
        <f>SUM(P232:AM232)-O232</f>
        <v>0</v>
      </c>
    </row>
    <row r="233" spans="1:40" x14ac:dyDescent="0.35">
      <c r="A233" s="40">
        <v>3696</v>
      </c>
      <c r="B233" s="79" t="s">
        <v>272</v>
      </c>
      <c r="C233" s="46">
        <v>291377</v>
      </c>
      <c r="D233" s="97">
        <v>0</v>
      </c>
      <c r="E233" s="39">
        <f>C233+D233</f>
        <v>291377</v>
      </c>
      <c r="F233" s="23">
        <v>557045</v>
      </c>
      <c r="G233" s="23">
        <v>0</v>
      </c>
      <c r="H233" s="38">
        <f>F233+G233</f>
        <v>557045</v>
      </c>
      <c r="I233" s="38">
        <f>E233-H233</f>
        <v>-265668</v>
      </c>
      <c r="J233" s="23">
        <v>8946</v>
      </c>
      <c r="K233" s="23">
        <v>0</v>
      </c>
      <c r="L233" s="46">
        <v>0</v>
      </c>
      <c r="M233" s="46">
        <v>0</v>
      </c>
      <c r="N233" s="46">
        <v>0</v>
      </c>
      <c r="O233" s="46">
        <v>0</v>
      </c>
      <c r="P233" s="38">
        <f>I233-M233-J233-K233-N233-L233</f>
        <v>-274614</v>
      </c>
      <c r="Q233" s="155"/>
      <c r="R233" s="155"/>
      <c r="S233" s="45">
        <f>IF(-$P233&lt;VLOOKUP(A233,Eligibility!$A$3:$F$423,6,0),-P233,VLOOKUP(A233,Eligibility!$A$3:$F$423,6,0))</f>
        <v>274614</v>
      </c>
      <c r="T233" s="155"/>
      <c r="U233" s="155"/>
      <c r="V233" s="39"/>
      <c r="W233" s="155"/>
      <c r="X233" s="144"/>
      <c r="Y233" s="143"/>
      <c r="Z233" s="39"/>
      <c r="AA233" s="155"/>
      <c r="AB233" s="155"/>
      <c r="AC233" s="143"/>
      <c r="AD233" s="38"/>
      <c r="AE233" s="38"/>
      <c r="AF233" s="144"/>
      <c r="AG233" s="143"/>
      <c r="AH233" s="143"/>
      <c r="AI233" s="143"/>
      <c r="AJ233" s="143"/>
      <c r="AK233" s="38"/>
      <c r="AL233" s="38"/>
      <c r="AM233" s="143"/>
      <c r="AN233" s="177">
        <f>SUM(P233:AM233)-O233</f>
        <v>0</v>
      </c>
    </row>
    <row r="234" spans="1:40" x14ac:dyDescent="0.35">
      <c r="A234" s="40">
        <v>3787</v>
      </c>
      <c r="B234" s="79" t="s">
        <v>273</v>
      </c>
      <c r="C234" s="46">
        <v>1525052</v>
      </c>
      <c r="D234" s="97">
        <v>0</v>
      </c>
      <c r="E234" s="39">
        <f>C234+D234</f>
        <v>1525052</v>
      </c>
      <c r="F234" s="23">
        <v>1550901</v>
      </c>
      <c r="G234" s="23">
        <v>0</v>
      </c>
      <c r="H234" s="38">
        <f>F234+G234</f>
        <v>1550901</v>
      </c>
      <c r="I234" s="38">
        <f>E234-H234</f>
        <v>-25849</v>
      </c>
      <c r="J234" s="23">
        <v>129942</v>
      </c>
      <c r="K234" s="23">
        <v>12977</v>
      </c>
      <c r="L234" s="46">
        <v>0</v>
      </c>
      <c r="M234" s="46">
        <v>0</v>
      </c>
      <c r="N234" s="46">
        <v>0</v>
      </c>
      <c r="O234" s="46">
        <v>0</v>
      </c>
      <c r="P234" s="38">
        <f>I234-M234-J234-K234-N234-L234</f>
        <v>-168768</v>
      </c>
      <c r="Q234" s="155"/>
      <c r="R234" s="155"/>
      <c r="S234" s="45">
        <f>IF(-$P234&lt;VLOOKUP(A234,Eligibility!$A$3:$F$423,6,0),-P234,VLOOKUP(A234,Eligibility!$A$3:$F$423,6,0))</f>
        <v>168768</v>
      </c>
      <c r="T234" s="155"/>
      <c r="U234" s="155"/>
      <c r="V234" s="39"/>
      <c r="W234" s="155"/>
      <c r="X234" s="144"/>
      <c r="Y234" s="143"/>
      <c r="Z234" s="39"/>
      <c r="AA234" s="155"/>
      <c r="AB234" s="155"/>
      <c r="AC234" s="143"/>
      <c r="AD234" s="38"/>
      <c r="AE234" s="38"/>
      <c r="AF234" s="144"/>
      <c r="AG234" s="143"/>
      <c r="AH234" s="143"/>
      <c r="AI234" s="143"/>
      <c r="AJ234" s="143"/>
      <c r="AK234" s="38"/>
      <c r="AL234" s="38"/>
      <c r="AM234" s="143"/>
      <c r="AN234" s="177">
        <f>SUM(P234:AM234)-O234</f>
        <v>0</v>
      </c>
    </row>
    <row r="235" spans="1:40" x14ac:dyDescent="0.35">
      <c r="A235" s="40">
        <v>3794</v>
      </c>
      <c r="B235" s="79" t="s">
        <v>274</v>
      </c>
      <c r="C235" s="46">
        <v>846523</v>
      </c>
      <c r="D235" s="97">
        <v>0</v>
      </c>
      <c r="E235" s="39">
        <f>C235+D235</f>
        <v>846523</v>
      </c>
      <c r="F235" s="23">
        <v>583924</v>
      </c>
      <c r="G235" s="23">
        <v>8125</v>
      </c>
      <c r="H235" s="38">
        <f>F235+G235</f>
        <v>592049</v>
      </c>
      <c r="I235" s="38">
        <f>E235-H235</f>
        <v>254474</v>
      </c>
      <c r="J235" s="23">
        <v>135290</v>
      </c>
      <c r="K235" s="23">
        <v>25954</v>
      </c>
      <c r="L235" s="46">
        <v>18330</v>
      </c>
      <c r="M235" s="46">
        <v>14118.34</v>
      </c>
      <c r="N235" s="46">
        <v>0</v>
      </c>
      <c r="O235" s="46">
        <v>0</v>
      </c>
      <c r="P235" s="38">
        <f>I235-M235-J235-K235-N235-L235</f>
        <v>60781.66</v>
      </c>
      <c r="Q235" s="155"/>
      <c r="R235" s="155"/>
      <c r="S235" s="45">
        <f>IF(J235+K235+L235+M235+N235&lt;VLOOKUP(A235,Eligibility!$A$3:$F$423,6,0),J235+K235+L235+M235+N235,VLOOKUP(A235,Eligibility!$A$3:$F$423,6,0))</f>
        <v>193692.34</v>
      </c>
      <c r="T235" s="155"/>
      <c r="U235" s="155"/>
      <c r="V235" s="39"/>
      <c r="W235" s="155"/>
      <c r="X235" s="144"/>
      <c r="Y235" s="143"/>
      <c r="Z235" s="39"/>
      <c r="AA235" s="155"/>
      <c r="AB235" s="155"/>
      <c r="AC235" s="143"/>
      <c r="AD235" s="38"/>
      <c r="AE235" s="38"/>
      <c r="AF235" s="144"/>
      <c r="AG235" s="143"/>
      <c r="AH235" s="143"/>
      <c r="AI235" s="143"/>
      <c r="AJ235" s="143"/>
      <c r="AK235" s="38"/>
      <c r="AL235" s="38"/>
      <c r="AM235" s="143"/>
      <c r="AN235" s="177">
        <f>SUM(P235:AM235)-O235</f>
        <v>254474</v>
      </c>
    </row>
    <row r="236" spans="1:40" x14ac:dyDescent="0.35">
      <c r="A236" s="40">
        <v>3822</v>
      </c>
      <c r="B236" s="79" t="s">
        <v>275</v>
      </c>
      <c r="C236" s="46">
        <v>4872023</v>
      </c>
      <c r="D236" s="97">
        <v>0</v>
      </c>
      <c r="E236" s="39">
        <f>C236+D236</f>
        <v>4872023</v>
      </c>
      <c r="F236" s="23">
        <v>2067047</v>
      </c>
      <c r="G236" s="23">
        <v>0</v>
      </c>
      <c r="H236" s="38">
        <f>F236+G236</f>
        <v>2067047</v>
      </c>
      <c r="I236" s="38">
        <f>E236-H236</f>
        <v>2804976</v>
      </c>
      <c r="J236" s="23">
        <v>435026.9</v>
      </c>
      <c r="K236" s="23">
        <v>25954</v>
      </c>
      <c r="L236" s="46">
        <v>0</v>
      </c>
      <c r="M236" s="46">
        <v>0</v>
      </c>
      <c r="N236" s="46">
        <v>10000</v>
      </c>
      <c r="O236" s="46">
        <v>0</v>
      </c>
      <c r="P236" s="38">
        <f>I236-M236-J236-K236-N236-L236</f>
        <v>2333995.1</v>
      </c>
      <c r="Q236" s="155"/>
      <c r="R236" s="155"/>
      <c r="S236" s="45">
        <f>IF(J236+K236+L236+M236+N236&lt;VLOOKUP(A236,Eligibility!$A$3:$F$423,6,0),J236+K236+L236+M236+N236,VLOOKUP(A236,Eligibility!$A$3:$F$423,6,0))</f>
        <v>470980.9</v>
      </c>
      <c r="T236" s="155"/>
      <c r="U236" s="155"/>
      <c r="V236" s="39"/>
      <c r="W236" s="155"/>
      <c r="X236" s="144"/>
      <c r="Y236" s="143"/>
      <c r="Z236" s="39"/>
      <c r="AA236" s="155"/>
      <c r="AB236" s="155"/>
      <c r="AC236" s="143"/>
      <c r="AD236" s="38"/>
      <c r="AE236" s="38"/>
      <c r="AF236" s="144"/>
      <c r="AG236" s="143"/>
      <c r="AH236" s="143"/>
      <c r="AI236" s="143"/>
      <c r="AJ236" s="143"/>
      <c r="AK236" s="38"/>
      <c r="AL236" s="38"/>
      <c r="AM236" s="143"/>
      <c r="AN236" s="177">
        <f>SUM(P236:AM236)-O236</f>
        <v>2804976</v>
      </c>
    </row>
    <row r="237" spans="1:40" x14ac:dyDescent="0.35">
      <c r="A237" s="40">
        <v>3857</v>
      </c>
      <c r="B237" s="79" t="s">
        <v>276</v>
      </c>
      <c r="C237" s="46">
        <v>1180822</v>
      </c>
      <c r="D237" s="97">
        <v>0</v>
      </c>
      <c r="E237" s="39">
        <f>C237+D237</f>
        <v>1180822</v>
      </c>
      <c r="F237" s="23">
        <v>1255735</v>
      </c>
      <c r="G237" s="23">
        <v>21102</v>
      </c>
      <c r="H237" s="38">
        <f>F237+G237</f>
        <v>1276837</v>
      </c>
      <c r="I237" s="38">
        <f>E237-H237</f>
        <v>-96015</v>
      </c>
      <c r="J237" s="23">
        <v>356414.6</v>
      </c>
      <c r="K237" s="23">
        <v>0</v>
      </c>
      <c r="L237" s="46">
        <v>0</v>
      </c>
      <c r="M237" s="46">
        <v>7059.17</v>
      </c>
      <c r="N237" s="46">
        <v>10439</v>
      </c>
      <c r="O237" s="46">
        <v>0</v>
      </c>
      <c r="P237" s="38">
        <f>I237-M237-J237-K237-N237-L237</f>
        <v>-469927.77</v>
      </c>
      <c r="Q237" s="155"/>
      <c r="R237" s="155"/>
      <c r="S237" s="45">
        <f>IF(-$P237&lt;VLOOKUP(A237,Eligibility!$A$3:$F$423,6,0),-P237,VLOOKUP(A237,Eligibility!$A$3:$F$423,6,0))</f>
        <v>469927.77</v>
      </c>
      <c r="T237" s="155"/>
      <c r="U237" s="155"/>
      <c r="V237" s="39"/>
      <c r="W237" s="155"/>
      <c r="X237" s="144"/>
      <c r="Y237" s="143"/>
      <c r="Z237" s="39"/>
      <c r="AA237" s="155"/>
      <c r="AB237" s="155"/>
      <c r="AC237" s="143"/>
      <c r="AD237" s="38"/>
      <c r="AE237" s="38"/>
      <c r="AF237" s="144"/>
      <c r="AG237" s="143"/>
      <c r="AH237" s="143"/>
      <c r="AI237" s="143"/>
      <c r="AJ237" s="143"/>
      <c r="AK237" s="38"/>
      <c r="AL237" s="38"/>
      <c r="AM237" s="143"/>
      <c r="AN237" s="177">
        <f>SUM(P237:AM237)-O237</f>
        <v>0</v>
      </c>
    </row>
    <row r="238" spans="1:40" x14ac:dyDescent="0.35">
      <c r="A238" s="176">
        <v>3871</v>
      </c>
      <c r="B238" s="117" t="s">
        <v>277</v>
      </c>
      <c r="C238" s="23">
        <v>500995</v>
      </c>
      <c r="D238" s="97">
        <v>0</v>
      </c>
      <c r="E238" s="10">
        <f>C238+D238</f>
        <v>500995</v>
      </c>
      <c r="F238" s="23">
        <v>633478</v>
      </c>
      <c r="G238" s="23">
        <v>0</v>
      </c>
      <c r="H238" s="16">
        <f>F238+G238</f>
        <v>633478</v>
      </c>
      <c r="I238" s="16">
        <f>E238-H238</f>
        <v>-132483</v>
      </c>
      <c r="J238" s="23">
        <v>0</v>
      </c>
      <c r="K238" s="23">
        <v>0</v>
      </c>
      <c r="L238" s="23">
        <v>0</v>
      </c>
      <c r="M238" s="23">
        <v>0</v>
      </c>
      <c r="N238" s="23">
        <v>0</v>
      </c>
      <c r="O238" s="23">
        <v>0</v>
      </c>
      <c r="P238" s="16">
        <f>I238-M238-J238-K238-N238-L238</f>
        <v>-132483</v>
      </c>
      <c r="Q238" s="155"/>
      <c r="R238" s="155"/>
      <c r="S238" s="45">
        <f>IF(-$P238&lt;VLOOKUP(A238,Eligibility!$A$3:$F$423,6,0),-P238,VLOOKUP(A238,Eligibility!$A$3:$F$423,6,0))</f>
        <v>132483</v>
      </c>
      <c r="T238" s="155"/>
      <c r="U238" s="155"/>
      <c r="V238" s="10"/>
      <c r="W238" s="155"/>
      <c r="X238" s="143"/>
      <c r="Y238" s="143"/>
      <c r="Z238" s="10"/>
      <c r="AA238" s="155"/>
      <c r="AB238" s="155"/>
      <c r="AC238" s="143"/>
      <c r="AD238" s="16"/>
      <c r="AE238" s="16"/>
      <c r="AF238" s="143"/>
      <c r="AG238" s="143"/>
      <c r="AH238" s="143"/>
      <c r="AI238" s="143"/>
      <c r="AJ238" s="143"/>
      <c r="AK238" s="16"/>
      <c r="AL238" s="16"/>
      <c r="AM238" s="143"/>
      <c r="AN238" s="177">
        <f>SUM(P238:AM238)-O238</f>
        <v>0</v>
      </c>
    </row>
    <row r="239" spans="1:40" x14ac:dyDescent="0.35">
      <c r="A239" s="176">
        <v>3892</v>
      </c>
      <c r="B239" s="117" t="s">
        <v>278</v>
      </c>
      <c r="C239" s="23">
        <v>1345702</v>
      </c>
      <c r="D239" s="97">
        <v>0</v>
      </c>
      <c r="E239" s="10">
        <f>C239+D239</f>
        <v>1345702</v>
      </c>
      <c r="F239" s="23">
        <v>4176559</v>
      </c>
      <c r="G239" s="23">
        <v>0</v>
      </c>
      <c r="H239" s="16">
        <f>F239+G239</f>
        <v>4176559</v>
      </c>
      <c r="I239" s="16">
        <f>E239-H239</f>
        <v>-2830857</v>
      </c>
      <c r="J239" s="23">
        <v>1504258</v>
      </c>
      <c r="K239" s="23">
        <v>12977</v>
      </c>
      <c r="L239" s="23">
        <v>0</v>
      </c>
      <c r="M239" s="23">
        <v>0</v>
      </c>
      <c r="N239" s="23">
        <v>0</v>
      </c>
      <c r="O239" s="23">
        <v>0</v>
      </c>
      <c r="P239" s="16">
        <f>I239-M239-J239-K239-N239-L239</f>
        <v>-4348092</v>
      </c>
      <c r="Q239" s="155"/>
      <c r="R239" s="155"/>
      <c r="S239" s="222">
        <f>IF(-$P239&lt;VLOOKUP(A239,Eligibility!$A$3:$F$423,6,0),-P239,VLOOKUP(A239,Eligibility!$A$3:$F$423,6,0))</f>
        <v>4348092</v>
      </c>
      <c r="T239" s="155"/>
      <c r="U239" s="155"/>
      <c r="V239" s="10"/>
      <c r="W239" s="155"/>
      <c r="X239" s="143"/>
      <c r="Y239" s="143"/>
      <c r="Z239" s="10"/>
      <c r="AA239" s="155"/>
      <c r="AB239" s="155"/>
      <c r="AC239" s="143"/>
      <c r="AD239" s="16"/>
      <c r="AE239" s="16"/>
      <c r="AF239" s="143"/>
      <c r="AG239" s="143"/>
      <c r="AH239" s="143"/>
      <c r="AI239" s="143"/>
      <c r="AJ239" s="143"/>
      <c r="AK239" s="16"/>
      <c r="AL239" s="16"/>
      <c r="AM239" s="143"/>
      <c r="AN239" s="177">
        <f>SUM(P239:AM239)-O239</f>
        <v>0</v>
      </c>
    </row>
    <row r="240" spans="1:40" ht="15" thickBot="1" x14ac:dyDescent="0.4">
      <c r="A240" s="40">
        <v>3899</v>
      </c>
      <c r="B240" s="79" t="s">
        <v>279</v>
      </c>
      <c r="C240" s="46">
        <v>396948</v>
      </c>
      <c r="D240" s="175">
        <v>0</v>
      </c>
      <c r="E240" s="39">
        <f>C240+D240</f>
        <v>396948</v>
      </c>
      <c r="F240" s="46">
        <v>498386</v>
      </c>
      <c r="G240" s="46">
        <v>0</v>
      </c>
      <c r="H240" s="38">
        <f>F240+G240</f>
        <v>498386</v>
      </c>
      <c r="I240" s="38">
        <f>E240-H240</f>
        <v>-101438</v>
      </c>
      <c r="J240" s="46">
        <v>12450</v>
      </c>
      <c r="K240" s="46">
        <v>0</v>
      </c>
      <c r="L240" s="46">
        <v>0</v>
      </c>
      <c r="M240" s="46">
        <v>0</v>
      </c>
      <c r="N240" s="46">
        <v>0</v>
      </c>
      <c r="O240" s="46">
        <v>0</v>
      </c>
      <c r="P240" s="38">
        <f>I240-M240-J240-K240-N240-L240</f>
        <v>-113888</v>
      </c>
      <c r="Q240" s="158"/>
      <c r="R240" s="158"/>
      <c r="S240" s="45">
        <f>IF(-$P240&lt;VLOOKUP(A240,Eligibility!$A$3:$F$423,6,0),-P240,VLOOKUP(A240,Eligibility!$A$3:$F$423,6,0))</f>
        <v>113888</v>
      </c>
      <c r="T240" s="158"/>
      <c r="U240" s="158"/>
      <c r="V240" s="39"/>
      <c r="W240" s="158"/>
      <c r="X240" s="144"/>
      <c r="Y240" s="144"/>
      <c r="Z240" s="39"/>
      <c r="AA240" s="158"/>
      <c r="AB240" s="158"/>
      <c r="AC240" s="144"/>
      <c r="AD240" s="38"/>
      <c r="AE240" s="38"/>
      <c r="AF240" s="144"/>
      <c r="AG240" s="144"/>
      <c r="AH240" s="144"/>
      <c r="AI240" s="144"/>
      <c r="AJ240" s="144"/>
      <c r="AK240" s="38"/>
      <c r="AL240" s="38"/>
      <c r="AM240" s="144"/>
      <c r="AN240" s="177">
        <f>SUM(P240:AM240)-O240</f>
        <v>0</v>
      </c>
    </row>
    <row r="241" spans="1:40" x14ac:dyDescent="0.35">
      <c r="A241" s="40">
        <v>3906</v>
      </c>
      <c r="B241" s="79" t="s">
        <v>280</v>
      </c>
      <c r="C241" s="46">
        <v>1699266</v>
      </c>
      <c r="D241" s="97">
        <v>0</v>
      </c>
      <c r="E241" s="10">
        <f>C241+D241</f>
        <v>1699266</v>
      </c>
      <c r="F241" s="23">
        <v>1146600</v>
      </c>
      <c r="G241" s="23">
        <v>0</v>
      </c>
      <c r="H241" s="16">
        <f>F241+G241</f>
        <v>1146600</v>
      </c>
      <c r="I241" s="16">
        <f>E241-H241</f>
        <v>552666</v>
      </c>
      <c r="J241" s="23">
        <v>211376</v>
      </c>
      <c r="K241" s="23">
        <v>38931</v>
      </c>
      <c r="L241" s="46">
        <v>0</v>
      </c>
      <c r="M241" s="46">
        <v>0</v>
      </c>
      <c r="N241" s="46">
        <v>0</v>
      </c>
      <c r="O241" s="46">
        <v>0</v>
      </c>
      <c r="P241" s="78">
        <f>I241-M241-J241-K241-N241-L241</f>
        <v>302359</v>
      </c>
      <c r="Q241" s="155"/>
      <c r="R241" s="155"/>
      <c r="S241" s="45">
        <f>IF(J241+K241+L241+M241+N241&lt;VLOOKUP(A241,Eligibility!$A$3:$F$423,6,0),J241+K241+L241+M241+N241,VLOOKUP(A241,Eligibility!$A$3:$F$423,6,0))</f>
        <v>250307</v>
      </c>
      <c r="T241" s="155"/>
      <c r="U241" s="155"/>
      <c r="V241" s="39"/>
      <c r="W241" s="155"/>
      <c r="X241" s="143"/>
      <c r="Y241" s="143"/>
      <c r="Z241" s="10"/>
      <c r="AA241" s="155"/>
      <c r="AB241" s="155"/>
      <c r="AC241" s="143"/>
      <c r="AD241" s="16"/>
      <c r="AE241" s="16"/>
      <c r="AF241" s="143"/>
      <c r="AG241" s="143"/>
      <c r="AH241" s="143"/>
      <c r="AI241" s="143"/>
      <c r="AJ241" s="143"/>
      <c r="AK241" s="16"/>
      <c r="AL241" s="16"/>
      <c r="AM241" s="143"/>
      <c r="AN241" s="177">
        <f>SUM(P241:AM241)-O241</f>
        <v>552666</v>
      </c>
    </row>
    <row r="242" spans="1:40" x14ac:dyDescent="0.35">
      <c r="A242" s="40">
        <v>3920</v>
      </c>
      <c r="B242" s="79" t="s">
        <v>281</v>
      </c>
      <c r="C242" s="46">
        <v>662476</v>
      </c>
      <c r="D242" s="97">
        <v>0</v>
      </c>
      <c r="E242" s="39">
        <f>C242+D242</f>
        <v>662476</v>
      </c>
      <c r="F242" s="23">
        <v>398984</v>
      </c>
      <c r="G242" s="23">
        <v>0</v>
      </c>
      <c r="H242" s="38">
        <f>F242+G242</f>
        <v>398984</v>
      </c>
      <c r="I242" s="16">
        <f>E242-H242</f>
        <v>263492</v>
      </c>
      <c r="J242" s="23">
        <v>0</v>
      </c>
      <c r="K242" s="23">
        <v>0</v>
      </c>
      <c r="L242" s="46">
        <v>0</v>
      </c>
      <c r="M242" s="46">
        <v>7059.17</v>
      </c>
      <c r="N242" s="46">
        <v>0</v>
      </c>
      <c r="O242" s="46">
        <v>0</v>
      </c>
      <c r="P242" s="38">
        <f>I242-M242-J242-K242-N242-L242</f>
        <v>256432.83</v>
      </c>
      <c r="Q242" s="158"/>
      <c r="R242" s="155"/>
      <c r="S242" s="45">
        <f>IF(J242+K242+L242+M242+N242&lt;VLOOKUP(A242,Eligibility!$A$3:$F$423,6,0),J242+K242+L242+M242+N242,VLOOKUP(A242,Eligibility!$A$3:$F$423,6,0))</f>
        <v>7059.17</v>
      </c>
      <c r="T242" s="158"/>
      <c r="U242" s="155"/>
      <c r="V242" s="39"/>
      <c r="W242" s="155"/>
      <c r="X242" s="144"/>
      <c r="Y242" s="143"/>
      <c r="Z242" s="39"/>
      <c r="AA242" s="155"/>
      <c r="AB242" s="155"/>
      <c r="AC242" s="144"/>
      <c r="AD242" s="38"/>
      <c r="AE242" s="38"/>
      <c r="AF242" s="144"/>
      <c r="AG242" s="144"/>
      <c r="AH242" s="144"/>
      <c r="AI242" s="143"/>
      <c r="AJ242" s="143"/>
      <c r="AK242" s="38"/>
      <c r="AL242" s="38"/>
      <c r="AM242" s="143"/>
      <c r="AN242" s="177">
        <f>SUM(P242:AM242)-O242</f>
        <v>263492</v>
      </c>
    </row>
    <row r="243" spans="1:40" ht="15" thickBot="1" x14ac:dyDescent="0.4">
      <c r="A243" s="40">
        <v>3925</v>
      </c>
      <c r="B243" s="79" t="s">
        <v>282</v>
      </c>
      <c r="C243" s="46">
        <v>194595</v>
      </c>
      <c r="D243" s="97">
        <v>120181</v>
      </c>
      <c r="E243" s="39">
        <f>C243+D243</f>
        <v>314776</v>
      </c>
      <c r="F243" s="23">
        <v>1154676</v>
      </c>
      <c r="G243" s="23">
        <v>32500</v>
      </c>
      <c r="H243" s="38">
        <f>F243+G243</f>
        <v>1187176</v>
      </c>
      <c r="I243" s="16">
        <f>E243-H243</f>
        <v>-872400</v>
      </c>
      <c r="J243" s="23">
        <v>870355</v>
      </c>
      <c r="K243" s="23">
        <v>84350.5</v>
      </c>
      <c r="L243" s="46">
        <v>0</v>
      </c>
      <c r="M243" s="46">
        <v>0</v>
      </c>
      <c r="N243" s="46">
        <v>0</v>
      </c>
      <c r="O243" s="46">
        <v>0</v>
      </c>
      <c r="P243" s="38">
        <f>I243-M243-J243-K243-N243-L243</f>
        <v>-1827105.5</v>
      </c>
      <c r="Q243" s="158"/>
      <c r="R243" s="155"/>
      <c r="S243" s="45">
        <f>IF(-$P243&lt;VLOOKUP(A243,Eligibility!$A$3:$F$423,6,0),-P243,VLOOKUP(A243,Eligibility!$A$3:$F$423,6,0))</f>
        <v>1827105.5</v>
      </c>
      <c r="T243" s="158"/>
      <c r="U243" s="155"/>
      <c r="V243" s="39"/>
      <c r="W243" s="155"/>
      <c r="X243" s="144"/>
      <c r="Y243" s="143"/>
      <c r="Z243" s="39"/>
      <c r="AA243" s="155"/>
      <c r="AB243" s="155"/>
      <c r="AC243" s="143"/>
      <c r="AD243" s="38"/>
      <c r="AE243" s="38"/>
      <c r="AF243" s="144"/>
      <c r="AG243" s="143"/>
      <c r="AH243" s="143"/>
      <c r="AI243" s="143"/>
      <c r="AJ243" s="143"/>
      <c r="AK243" s="38"/>
      <c r="AL243" s="38"/>
      <c r="AM243" s="143"/>
      <c r="AN243" s="177">
        <f>SUM(P243:AM243)-O243</f>
        <v>0</v>
      </c>
    </row>
    <row r="244" spans="1:40" ht="15" thickBot="1" x14ac:dyDescent="0.4">
      <c r="A244" s="40">
        <v>3934</v>
      </c>
      <c r="B244" s="79" t="s">
        <v>283</v>
      </c>
      <c r="C244" s="46">
        <v>1018502</v>
      </c>
      <c r="D244" s="97">
        <v>29227</v>
      </c>
      <c r="E244" s="10">
        <f>C244+D244</f>
        <v>1047729</v>
      </c>
      <c r="F244" s="23">
        <v>269419</v>
      </c>
      <c r="G244" s="23">
        <v>0</v>
      </c>
      <c r="H244" s="16">
        <f>F244+G244</f>
        <v>269419</v>
      </c>
      <c r="I244" s="16">
        <f>E244-H244</f>
        <v>778310</v>
      </c>
      <c r="J244" s="23">
        <v>0</v>
      </c>
      <c r="K244" s="23">
        <v>0</v>
      </c>
      <c r="L244" s="46">
        <v>0</v>
      </c>
      <c r="M244" s="46">
        <v>0</v>
      </c>
      <c r="N244" s="46">
        <v>0</v>
      </c>
      <c r="O244" s="46">
        <v>0</v>
      </c>
      <c r="P244" s="78">
        <f>I244-M244-J244-K244-N244-L244</f>
        <v>778310</v>
      </c>
      <c r="Q244" s="155"/>
      <c r="R244" s="155"/>
      <c r="S244" s="45">
        <f>IF(J244+K244+L244+M244+N244&lt;VLOOKUP(A244,Eligibility!$A$3:$F$423,6,0),J244+K244+L244+M244+N244,VLOOKUP(A244,Eligibility!$A$3:$F$423,6,0))</f>
        <v>0</v>
      </c>
      <c r="T244" s="155"/>
      <c r="U244" s="155"/>
      <c r="V244" s="39"/>
      <c r="W244" s="155"/>
      <c r="X244" s="143"/>
      <c r="Y244" s="143"/>
      <c r="Z244" s="10"/>
      <c r="AA244" s="155"/>
      <c r="AB244" s="155"/>
      <c r="AC244" s="143"/>
      <c r="AD244" s="16"/>
      <c r="AE244" s="16"/>
      <c r="AF244" s="143"/>
      <c r="AG244" s="143"/>
      <c r="AH244" s="143"/>
      <c r="AI244" s="143"/>
      <c r="AJ244" s="143"/>
      <c r="AK244" s="16"/>
      <c r="AL244" s="16"/>
      <c r="AM244" s="143"/>
      <c r="AN244" s="177">
        <f>SUM(P244:AM244)-O244</f>
        <v>778310</v>
      </c>
    </row>
    <row r="245" spans="1:40" ht="15" thickBot="1" x14ac:dyDescent="0.4">
      <c r="A245" s="40">
        <v>3941</v>
      </c>
      <c r="B245" s="79" t="s">
        <v>284</v>
      </c>
      <c r="C245" s="46">
        <v>567895</v>
      </c>
      <c r="D245" s="97">
        <v>0</v>
      </c>
      <c r="E245" s="10">
        <f>C245+D245</f>
        <v>567895</v>
      </c>
      <c r="F245" s="23">
        <v>1441820</v>
      </c>
      <c r="G245" s="23">
        <v>0</v>
      </c>
      <c r="H245" s="16">
        <f>F245+G245</f>
        <v>1441820</v>
      </c>
      <c r="I245" s="16">
        <f>E245-H245</f>
        <v>-873925</v>
      </c>
      <c r="J245" s="23">
        <v>194130</v>
      </c>
      <c r="K245" s="23">
        <v>60208</v>
      </c>
      <c r="L245" s="46">
        <v>0</v>
      </c>
      <c r="M245" s="46">
        <v>0</v>
      </c>
      <c r="N245" s="46">
        <v>0</v>
      </c>
      <c r="O245" s="46">
        <v>0</v>
      </c>
      <c r="P245" s="78">
        <f>I245-M245-J245-K245-N245-L245</f>
        <v>-1128263</v>
      </c>
      <c r="Q245" s="155"/>
      <c r="R245" s="155"/>
      <c r="S245" s="45">
        <f>IF(-$P245&lt;VLOOKUP(A245,Eligibility!$A$3:$F$423,6,0),-P245,VLOOKUP(A245,Eligibility!$A$3:$F$423,6,0))</f>
        <v>1128263</v>
      </c>
      <c r="T245" s="155"/>
      <c r="U245" s="155"/>
      <c r="V245" s="39"/>
      <c r="W245" s="155"/>
      <c r="X245" s="143"/>
      <c r="Y245" s="143"/>
      <c r="Z245" s="10"/>
      <c r="AA245" s="155"/>
      <c r="AB245" s="155"/>
      <c r="AC245" s="143"/>
      <c r="AD245" s="16"/>
      <c r="AE245" s="16"/>
      <c r="AF245" s="143"/>
      <c r="AG245" s="143"/>
      <c r="AH245" s="143"/>
      <c r="AI245" s="143"/>
      <c r="AJ245" s="143"/>
      <c r="AK245" s="16"/>
      <c r="AL245" s="16"/>
      <c r="AM245" s="143"/>
      <c r="AN245" s="177">
        <f>SUM(P245:AM245)-O245</f>
        <v>0</v>
      </c>
    </row>
    <row r="246" spans="1:40" ht="15" thickBot="1" x14ac:dyDescent="0.4">
      <c r="A246" s="40">
        <v>3948</v>
      </c>
      <c r="B246" s="79" t="s">
        <v>285</v>
      </c>
      <c r="C246" s="46">
        <v>892005</v>
      </c>
      <c r="D246" s="97">
        <v>0</v>
      </c>
      <c r="E246" s="10">
        <f>C246+D246</f>
        <v>892005</v>
      </c>
      <c r="F246" s="23">
        <v>860031</v>
      </c>
      <c r="G246" s="23">
        <v>0</v>
      </c>
      <c r="H246" s="16">
        <f>F246+G246</f>
        <v>860031</v>
      </c>
      <c r="I246" s="16">
        <f>E246-H246</f>
        <v>31974</v>
      </c>
      <c r="J246" s="23">
        <v>0</v>
      </c>
      <c r="K246" s="23">
        <v>0</v>
      </c>
      <c r="L246" s="46">
        <v>0</v>
      </c>
      <c r="M246" s="46">
        <v>0</v>
      </c>
      <c r="N246" s="46">
        <v>0</v>
      </c>
      <c r="O246" s="46">
        <v>0</v>
      </c>
      <c r="P246" s="78">
        <f>I246-M246-J246-K246-N246-L246</f>
        <v>31974</v>
      </c>
      <c r="Q246" s="155"/>
      <c r="R246" s="155"/>
      <c r="S246" s="45">
        <f>IF(J246+K246+L246+M246+N246&lt;VLOOKUP(A246,Eligibility!$A$3:$F$423,6,0),J246+K246+L246+M246+N246,VLOOKUP(A246,Eligibility!$A$3:$F$423,6,0))</f>
        <v>0</v>
      </c>
      <c r="T246" s="155"/>
      <c r="U246" s="155"/>
      <c r="V246" s="39"/>
      <c r="W246" s="155"/>
      <c r="X246" s="143"/>
      <c r="Y246" s="143"/>
      <c r="Z246" s="10"/>
      <c r="AA246" s="155"/>
      <c r="AB246" s="155"/>
      <c r="AC246" s="143"/>
      <c r="AD246" s="16"/>
      <c r="AE246" s="16"/>
      <c r="AF246" s="143"/>
      <c r="AG246" s="143"/>
      <c r="AH246" s="143"/>
      <c r="AI246" s="143"/>
      <c r="AJ246" s="143"/>
      <c r="AK246" s="16"/>
      <c r="AL246" s="16"/>
      <c r="AM246" s="143"/>
      <c r="AN246" s="177">
        <f>SUM(P246:AM246)-O246</f>
        <v>31974</v>
      </c>
    </row>
    <row r="247" spans="1:40" ht="15" thickBot="1" x14ac:dyDescent="0.4">
      <c r="A247" s="40">
        <v>3955</v>
      </c>
      <c r="B247" s="79" t="s">
        <v>286</v>
      </c>
      <c r="C247" s="46">
        <v>1039030</v>
      </c>
      <c r="D247" s="97">
        <v>0</v>
      </c>
      <c r="E247" s="10">
        <f>C247+D247</f>
        <v>1039030</v>
      </c>
      <c r="F247" s="23">
        <v>1784706</v>
      </c>
      <c r="G247" s="23">
        <v>0</v>
      </c>
      <c r="H247" s="16">
        <f>F247+G247</f>
        <v>1784706</v>
      </c>
      <c r="I247" s="16">
        <f>E247-H247</f>
        <v>-745676</v>
      </c>
      <c r="J247" s="23">
        <v>662532</v>
      </c>
      <c r="K247" s="23">
        <v>12977</v>
      </c>
      <c r="L247" s="46">
        <v>0</v>
      </c>
      <c r="M247" s="46">
        <v>0</v>
      </c>
      <c r="N247" s="46">
        <v>0</v>
      </c>
      <c r="O247" s="46">
        <v>0</v>
      </c>
      <c r="P247" s="78">
        <f>I247-M247-J247-K247-N247-L247</f>
        <v>-1421185</v>
      </c>
      <c r="Q247" s="155"/>
      <c r="R247" s="155"/>
      <c r="S247" s="45">
        <f>IF(-$P247&lt;VLOOKUP(A247,Eligibility!$A$3:$F$423,6,0),-P247,VLOOKUP(A247,Eligibility!$A$3:$F$423,6,0))</f>
        <v>1421185</v>
      </c>
      <c r="T247" s="155"/>
      <c r="U247" s="155"/>
      <c r="V247" s="39"/>
      <c r="W247" s="155"/>
      <c r="X247" s="143"/>
      <c r="Y247" s="143"/>
      <c r="Z247" s="10"/>
      <c r="AA247" s="155"/>
      <c r="AB247" s="155"/>
      <c r="AC247" s="143"/>
      <c r="AD247" s="16"/>
      <c r="AE247" s="16"/>
      <c r="AF247" s="143"/>
      <c r="AG247" s="143"/>
      <c r="AH247" s="143"/>
      <c r="AI247" s="143"/>
      <c r="AJ247" s="143"/>
      <c r="AK247" s="16"/>
      <c r="AL247" s="16"/>
      <c r="AM247" s="143"/>
      <c r="AN247" s="177">
        <f>SUM(P247:AM247)-O247</f>
        <v>0</v>
      </c>
    </row>
    <row r="248" spans="1:40" ht="15" thickBot="1" x14ac:dyDescent="0.4">
      <c r="A248" s="40">
        <v>3962</v>
      </c>
      <c r="B248" s="79" t="s">
        <v>287</v>
      </c>
      <c r="C248" s="46">
        <v>1382424</v>
      </c>
      <c r="D248" s="97">
        <v>0</v>
      </c>
      <c r="E248" s="10">
        <f>C248+D248</f>
        <v>1382424</v>
      </c>
      <c r="F248" s="23">
        <v>2439578</v>
      </c>
      <c r="G248" s="23">
        <v>0</v>
      </c>
      <c r="H248" s="16">
        <f>F248+G248</f>
        <v>2439578</v>
      </c>
      <c r="I248" s="16">
        <f>E248-H248</f>
        <v>-1057154</v>
      </c>
      <c r="J248" s="23">
        <v>17246</v>
      </c>
      <c r="K248" s="23">
        <v>0</v>
      </c>
      <c r="L248" s="46">
        <v>0</v>
      </c>
      <c r="M248" s="46">
        <v>0</v>
      </c>
      <c r="N248" s="46">
        <v>20000</v>
      </c>
      <c r="O248" s="46">
        <v>0</v>
      </c>
      <c r="P248" s="78">
        <f>I248-M248-J248-K248-N248-L248</f>
        <v>-1094400</v>
      </c>
      <c r="Q248" s="155"/>
      <c r="R248" s="155"/>
      <c r="S248" s="45">
        <f>IF(-$P248&lt;VLOOKUP(A248,Eligibility!$A$3:$F$423,6,0),-P248,VLOOKUP(A248,Eligibility!$A$3:$F$423,6,0))</f>
        <v>1094400</v>
      </c>
      <c r="T248" s="155"/>
      <c r="U248" s="155"/>
      <c r="V248" s="39"/>
      <c r="W248" s="155"/>
      <c r="X248" s="143"/>
      <c r="Y248" s="143"/>
      <c r="Z248" s="10"/>
      <c r="AA248" s="155"/>
      <c r="AB248" s="155"/>
      <c r="AC248" s="143"/>
      <c r="AD248" s="16"/>
      <c r="AE248" s="16"/>
      <c r="AF248" s="143"/>
      <c r="AG248" s="143"/>
      <c r="AH248" s="143"/>
      <c r="AI248" s="143"/>
      <c r="AJ248" s="143"/>
      <c r="AK248" s="16"/>
      <c r="AL248" s="16"/>
      <c r="AM248" s="143"/>
      <c r="AN248" s="177">
        <f>SUM(P248:AM248)-O248</f>
        <v>0</v>
      </c>
    </row>
    <row r="249" spans="1:40" ht="15" thickBot="1" x14ac:dyDescent="0.4">
      <c r="A249" s="40">
        <v>3969</v>
      </c>
      <c r="B249" s="79" t="s">
        <v>288</v>
      </c>
      <c r="C249" s="46">
        <v>847614</v>
      </c>
      <c r="D249" s="97">
        <v>0</v>
      </c>
      <c r="E249" s="10">
        <f>C249+D249</f>
        <v>847614</v>
      </c>
      <c r="F249" s="23">
        <v>22089</v>
      </c>
      <c r="G249" s="23">
        <v>0</v>
      </c>
      <c r="H249" s="16">
        <f>F249+G249</f>
        <v>22089</v>
      </c>
      <c r="I249" s="16">
        <f>E249-H249</f>
        <v>825525</v>
      </c>
      <c r="J249" s="23">
        <v>38180</v>
      </c>
      <c r="K249" s="23">
        <v>0</v>
      </c>
      <c r="L249" s="46">
        <v>0</v>
      </c>
      <c r="M249" s="46">
        <v>0</v>
      </c>
      <c r="N249" s="46">
        <v>0</v>
      </c>
      <c r="O249" s="46">
        <v>0</v>
      </c>
      <c r="P249" s="78">
        <f>I249-M249-J249-K249-N249-L249</f>
        <v>787345</v>
      </c>
      <c r="Q249" s="155"/>
      <c r="R249" s="155"/>
      <c r="S249" s="45">
        <f>IF(J249+K249+L249+M249+N249&lt;VLOOKUP(A249,Eligibility!$A$3:$F$423,6,0),J249+K249+L249+M249+N249,VLOOKUP(A249,Eligibility!$A$3:$F$423,6,0))</f>
        <v>38180</v>
      </c>
      <c r="T249" s="155"/>
      <c r="U249" s="155"/>
      <c r="V249" s="39"/>
      <c r="W249" s="155"/>
      <c r="X249" s="143"/>
      <c r="Y249" s="143"/>
      <c r="Z249" s="10"/>
      <c r="AA249" s="155"/>
      <c r="AB249" s="155"/>
      <c r="AC249" s="143"/>
      <c r="AD249" s="16"/>
      <c r="AE249" s="16"/>
      <c r="AF249" s="143"/>
      <c r="AG249" s="143"/>
      <c r="AH249" s="143"/>
      <c r="AI249" s="143"/>
      <c r="AJ249" s="143"/>
      <c r="AK249" s="16"/>
      <c r="AL249" s="16"/>
      <c r="AM249" s="143"/>
      <c r="AN249" s="177">
        <f>SUM(P249:AM249)-O249</f>
        <v>825525</v>
      </c>
    </row>
    <row r="250" spans="1:40" ht="15" thickBot="1" x14ac:dyDescent="0.4">
      <c r="A250" s="40">
        <v>2177</v>
      </c>
      <c r="B250" s="79" t="s">
        <v>289</v>
      </c>
      <c r="C250" s="46">
        <v>121875</v>
      </c>
      <c r="D250" s="97">
        <v>48863</v>
      </c>
      <c r="E250" s="10">
        <f>C250+D250</f>
        <v>170738</v>
      </c>
      <c r="F250" s="23">
        <v>237961</v>
      </c>
      <c r="G250" s="23">
        <v>0</v>
      </c>
      <c r="H250" s="16">
        <f>F250+G250</f>
        <v>237961</v>
      </c>
      <c r="I250" s="16">
        <f>E250-H250</f>
        <v>-67223</v>
      </c>
      <c r="J250" s="23">
        <v>145656.68</v>
      </c>
      <c r="K250" s="23">
        <v>0</v>
      </c>
      <c r="L250" s="46">
        <v>0</v>
      </c>
      <c r="M250" s="46">
        <v>0</v>
      </c>
      <c r="N250" s="46">
        <v>0</v>
      </c>
      <c r="O250" s="46">
        <v>0</v>
      </c>
      <c r="P250" s="78">
        <f>I250-M250-J250-K250-N250-L250</f>
        <v>-212879.68</v>
      </c>
      <c r="Q250" s="155">
        <v>49159.68</v>
      </c>
      <c r="R250" s="155">
        <f>71657-112-8126</f>
        <v>63419</v>
      </c>
      <c r="S250" s="45">
        <f>IF(-$P250&lt;VLOOKUP(A250,Eligibility!$A$3:$F$423,6,0),-P250,VLOOKUP(A250,Eligibility!$A$3:$F$423,6,0))-17</f>
        <v>100301</v>
      </c>
      <c r="T250" s="155"/>
      <c r="U250" s="155"/>
      <c r="V250" s="39"/>
      <c r="W250" s="155"/>
      <c r="X250" s="143"/>
      <c r="Y250" s="143"/>
      <c r="Z250" s="10"/>
      <c r="AA250" s="155"/>
      <c r="AB250" s="155"/>
      <c r="AC250" s="143"/>
      <c r="AD250" s="16"/>
      <c r="AE250" s="16"/>
      <c r="AF250" s="143"/>
      <c r="AG250" s="143"/>
      <c r="AH250" s="143"/>
      <c r="AI250" s="143"/>
      <c r="AJ250" s="143"/>
      <c r="AK250" s="16"/>
      <c r="AL250" s="16"/>
      <c r="AM250" s="143"/>
      <c r="AN250" s="177">
        <f>SUM(P250:AM250)-O250</f>
        <v>0</v>
      </c>
    </row>
    <row r="251" spans="1:40" ht="15" thickBot="1" x14ac:dyDescent="0.4">
      <c r="A251" s="40">
        <v>3976</v>
      </c>
      <c r="B251" s="79" t="s">
        <v>290</v>
      </c>
      <c r="C251" s="46">
        <v>181947</v>
      </c>
      <c r="D251" s="97">
        <v>0</v>
      </c>
      <c r="E251" s="10">
        <f>C251+D251</f>
        <v>181947</v>
      </c>
      <c r="F251" s="23">
        <v>16250</v>
      </c>
      <c r="G251" s="23">
        <v>0</v>
      </c>
      <c r="H251" s="16">
        <f>F251+G251</f>
        <v>16250</v>
      </c>
      <c r="I251" s="16">
        <f>E251-H251</f>
        <v>165697</v>
      </c>
      <c r="J251" s="23">
        <v>0</v>
      </c>
      <c r="K251" s="23">
        <v>0</v>
      </c>
      <c r="L251" s="46">
        <v>0</v>
      </c>
      <c r="M251" s="46">
        <v>0</v>
      </c>
      <c r="N251" s="46">
        <v>0</v>
      </c>
      <c r="O251" s="46">
        <v>0</v>
      </c>
      <c r="P251" s="78">
        <f>I251-M251-J251-K251-N251-L251</f>
        <v>165697</v>
      </c>
      <c r="Q251" s="155"/>
      <c r="R251" s="155"/>
      <c r="S251" s="45">
        <f>IF(J251+K251+L251+M251+N251&lt;VLOOKUP(A251,Eligibility!$A$3:$F$423,6,0),J251+K251+L251+M251+N251,VLOOKUP(A251,Eligibility!$A$3:$F$423,6,0))</f>
        <v>0</v>
      </c>
      <c r="T251" s="155"/>
      <c r="U251" s="155"/>
      <c r="V251" s="39"/>
      <c r="W251" s="155"/>
      <c r="X251" s="143"/>
      <c r="Y251" s="143"/>
      <c r="Z251" s="10"/>
      <c r="AA251" s="155"/>
      <c r="AB251" s="155"/>
      <c r="AC251" s="143"/>
      <c r="AD251" s="16"/>
      <c r="AE251" s="16"/>
      <c r="AF251" s="143"/>
      <c r="AG251" s="143"/>
      <c r="AH251" s="143"/>
      <c r="AI251" s="143"/>
      <c r="AJ251" s="143"/>
      <c r="AK251" s="10"/>
      <c r="AL251" s="16"/>
      <c r="AM251" s="143"/>
      <c r="AN251" s="177">
        <f>SUM(P251:AM251)-O251</f>
        <v>165697</v>
      </c>
    </row>
    <row r="252" spans="1:40" ht="15" thickBot="1" x14ac:dyDescent="0.4">
      <c r="A252" s="40">
        <v>4690</v>
      </c>
      <c r="B252" s="79" t="s">
        <v>291</v>
      </c>
      <c r="C252" s="46">
        <v>388311</v>
      </c>
      <c r="D252" s="97">
        <v>0</v>
      </c>
      <c r="E252" s="10">
        <f>C252+D252</f>
        <v>388311</v>
      </c>
      <c r="F252" s="23">
        <v>412298</v>
      </c>
      <c r="G252" s="23">
        <v>12977</v>
      </c>
      <c r="H252" s="16">
        <f>F252+G252</f>
        <v>425275</v>
      </c>
      <c r="I252" s="16">
        <f>E252-H252</f>
        <v>-36964</v>
      </c>
      <c r="J252" s="23">
        <v>8300</v>
      </c>
      <c r="K252" s="23">
        <v>0</v>
      </c>
      <c r="L252" s="46">
        <v>0</v>
      </c>
      <c r="M252" s="46">
        <v>0</v>
      </c>
      <c r="N252" s="46">
        <v>0</v>
      </c>
      <c r="O252" s="46">
        <v>0</v>
      </c>
      <c r="P252" s="78">
        <f>I252-M252-J252-K252-N252-L252</f>
        <v>-45264</v>
      </c>
      <c r="Q252" s="155"/>
      <c r="R252" s="155"/>
      <c r="S252" s="45">
        <f>IF(-$P252&lt;VLOOKUP(A252,Eligibility!$A$3:$F$423,6,0),-P252,VLOOKUP(A252,Eligibility!$A$3:$F$423,6,0))</f>
        <v>45264</v>
      </c>
      <c r="T252" s="155"/>
      <c r="U252" s="155"/>
      <c r="V252" s="39"/>
      <c r="W252" s="155"/>
      <c r="X252" s="143"/>
      <c r="Y252" s="143"/>
      <c r="Z252" s="10"/>
      <c r="AA252" s="155"/>
      <c r="AB252" s="155"/>
      <c r="AC252" s="143"/>
      <c r="AD252" s="16"/>
      <c r="AE252" s="16"/>
      <c r="AF252" s="143"/>
      <c r="AG252" s="143"/>
      <c r="AH252" s="143"/>
      <c r="AI252" s="143"/>
      <c r="AJ252" s="143"/>
      <c r="AK252" s="16"/>
      <c r="AL252" s="16"/>
      <c r="AM252" s="143"/>
      <c r="AN252" s="177">
        <f>SUM(P252:AM252)-O252</f>
        <v>0</v>
      </c>
    </row>
    <row r="253" spans="1:40" ht="15" thickBot="1" x14ac:dyDescent="0.4">
      <c r="A253" s="40">
        <v>2016</v>
      </c>
      <c r="B253" s="79" t="s">
        <v>292</v>
      </c>
      <c r="C253" s="46">
        <v>225196</v>
      </c>
      <c r="D253" s="97">
        <v>0</v>
      </c>
      <c r="E253" s="10">
        <f>C253+D253</f>
        <v>225196</v>
      </c>
      <c r="F253" s="23">
        <v>486254</v>
      </c>
      <c r="G253" s="23">
        <v>0</v>
      </c>
      <c r="H253" s="16">
        <f>F253+G253</f>
        <v>486254</v>
      </c>
      <c r="I253" s="16">
        <f>E253-H253</f>
        <v>-261058</v>
      </c>
      <c r="J253" s="23">
        <v>0</v>
      </c>
      <c r="K253" s="23">
        <v>0</v>
      </c>
      <c r="L253" s="46">
        <v>0</v>
      </c>
      <c r="M253" s="46">
        <v>0</v>
      </c>
      <c r="N253" s="46">
        <v>0</v>
      </c>
      <c r="O253" s="46">
        <v>0</v>
      </c>
      <c r="P253" s="78">
        <f>I253-M253-J253-K253-N253-L253</f>
        <v>-261058</v>
      </c>
      <c r="Q253" s="155"/>
      <c r="R253" s="155"/>
      <c r="S253" s="45">
        <f>IF(-$P253&lt;VLOOKUP(A253,Eligibility!$A$3:$F$423,6,0),-P253,VLOOKUP(A253,Eligibility!$A$3:$F$423,6,0))</f>
        <v>261058</v>
      </c>
      <c r="T253" s="155"/>
      <c r="U253" s="155"/>
      <c r="V253" s="39"/>
      <c r="W253" s="155"/>
      <c r="X253" s="143"/>
      <c r="Y253" s="143"/>
      <c r="Z253" s="10"/>
      <c r="AA253" s="155"/>
      <c r="AB253" s="155"/>
      <c r="AC253" s="143"/>
      <c r="AD253" s="16"/>
      <c r="AE253" s="16"/>
      <c r="AF253" s="143"/>
      <c r="AG253" s="143"/>
      <c r="AH253" s="143"/>
      <c r="AI253" s="143"/>
      <c r="AJ253" s="143"/>
      <c r="AK253" s="16"/>
      <c r="AL253" s="16"/>
      <c r="AM253" s="143"/>
      <c r="AN253" s="177">
        <f>SUM(P253:AM253)-O253</f>
        <v>0</v>
      </c>
    </row>
    <row r="254" spans="1:40" ht="15" thickBot="1" x14ac:dyDescent="0.4">
      <c r="A254" s="40">
        <v>3983</v>
      </c>
      <c r="B254" s="79" t="s">
        <v>293</v>
      </c>
      <c r="C254" s="46">
        <v>2616086</v>
      </c>
      <c r="D254" s="97">
        <v>0</v>
      </c>
      <c r="E254" s="10">
        <f>C254+D254</f>
        <v>2616086</v>
      </c>
      <c r="F254" s="23">
        <v>1389604</v>
      </c>
      <c r="G254" s="23">
        <v>0</v>
      </c>
      <c r="H254" s="16">
        <f>F254+G254</f>
        <v>1389604</v>
      </c>
      <c r="I254" s="16">
        <f>E254-H254</f>
        <v>1226482</v>
      </c>
      <c r="J254" s="23">
        <v>199572</v>
      </c>
      <c r="K254" s="23">
        <v>38931</v>
      </c>
      <c r="L254" s="46">
        <v>0</v>
      </c>
      <c r="M254" s="46">
        <v>0</v>
      </c>
      <c r="N254" s="46">
        <v>10148</v>
      </c>
      <c r="O254" s="46">
        <v>0</v>
      </c>
      <c r="P254" s="78">
        <f>I254-M254-J254-K254-N254-L254</f>
        <v>977831</v>
      </c>
      <c r="Q254" s="155"/>
      <c r="R254" s="155"/>
      <c r="S254" s="45">
        <f>IF(J254+K254+L254+M254+N254&lt;VLOOKUP(A254,Eligibility!$A$3:$F$423,6,0),J254+K254+L254+M254+N254,VLOOKUP(A254,Eligibility!$A$3:$F$423,6,0))</f>
        <v>248651</v>
      </c>
      <c r="T254" s="155"/>
      <c r="U254" s="155"/>
      <c r="V254" s="39"/>
      <c r="W254" s="155"/>
      <c r="X254" s="143"/>
      <c r="Y254" s="143"/>
      <c r="Z254" s="10"/>
      <c r="AA254" s="155"/>
      <c r="AB254" s="155"/>
      <c r="AC254" s="143"/>
      <c r="AD254" s="16"/>
      <c r="AE254" s="16"/>
      <c r="AF254" s="143"/>
      <c r="AG254" s="143"/>
      <c r="AH254" s="143"/>
      <c r="AI254" s="143"/>
      <c r="AJ254" s="143"/>
      <c r="AK254" s="16"/>
      <c r="AL254" s="16"/>
      <c r="AM254" s="143"/>
      <c r="AN254" s="177">
        <f>SUM(P254:AM254)-O254</f>
        <v>1226482</v>
      </c>
    </row>
    <row r="255" spans="1:40" ht="15" thickBot="1" x14ac:dyDescent="0.4">
      <c r="A255" s="40">
        <v>3514</v>
      </c>
      <c r="B255" s="79" t="s">
        <v>294</v>
      </c>
      <c r="C255" s="46">
        <v>838889</v>
      </c>
      <c r="D255" s="97">
        <v>0</v>
      </c>
      <c r="E255" s="10">
        <f>C255+D255</f>
        <v>838889</v>
      </c>
      <c r="F255" s="23">
        <v>336124</v>
      </c>
      <c r="G255" s="23">
        <v>0</v>
      </c>
      <c r="H255" s="16">
        <f>F255+G255</f>
        <v>336124</v>
      </c>
      <c r="I255" s="16">
        <f>E255-H255</f>
        <v>502765</v>
      </c>
      <c r="J255" s="23">
        <v>0</v>
      </c>
      <c r="K255" s="23">
        <v>8300</v>
      </c>
      <c r="L255" s="46">
        <v>0</v>
      </c>
      <c r="M255" s="46">
        <v>0</v>
      </c>
      <c r="N255" s="46">
        <v>0</v>
      </c>
      <c r="O255" s="46">
        <v>0</v>
      </c>
      <c r="P255" s="78">
        <f>I255-M255-J255-K255-N255-L255</f>
        <v>494465</v>
      </c>
      <c r="Q255" s="155"/>
      <c r="R255" s="155"/>
      <c r="S255" s="45">
        <f>IF(J255+K255+L255+M255+N255&lt;VLOOKUP(A255,Eligibility!$A$3:$F$423,6,0),J255+K255+L255+M255+N255,VLOOKUP(A255,Eligibility!$A$3:$F$423,6,0))</f>
        <v>8300</v>
      </c>
      <c r="T255" s="155"/>
      <c r="U255" s="155"/>
      <c r="V255" s="39"/>
      <c r="W255" s="155"/>
      <c r="X255" s="143"/>
      <c r="Y255" s="143"/>
      <c r="Z255" s="10"/>
      <c r="AA255" s="155"/>
      <c r="AB255" s="155"/>
      <c r="AC255" s="143"/>
      <c r="AD255" s="16"/>
      <c r="AE255" s="16"/>
      <c r="AF255" s="143"/>
      <c r="AG255" s="143"/>
      <c r="AH255" s="143"/>
      <c r="AI255" s="143"/>
      <c r="AJ255" s="143"/>
      <c r="AK255" s="16"/>
      <c r="AL255" s="16"/>
      <c r="AM255" s="143"/>
      <c r="AN255" s="177">
        <f>SUM(P255:AM255)-O255</f>
        <v>502765</v>
      </c>
    </row>
    <row r="256" spans="1:40" ht="15" thickBot="1" x14ac:dyDescent="0.4">
      <c r="A256" s="40">
        <v>616</v>
      </c>
      <c r="B256" s="79" t="s">
        <v>295</v>
      </c>
      <c r="C256" s="46">
        <v>310121</v>
      </c>
      <c r="D256" s="97">
        <v>0</v>
      </c>
      <c r="E256" s="10">
        <f>C256+D256</f>
        <v>310121</v>
      </c>
      <c r="F256" s="23">
        <v>65000</v>
      </c>
      <c r="G256" s="23">
        <v>0</v>
      </c>
      <c r="H256" s="16">
        <f>F256+G256</f>
        <v>65000</v>
      </c>
      <c r="I256" s="16">
        <f>E256-H256</f>
        <v>245121</v>
      </c>
      <c r="J256" s="23">
        <v>0</v>
      </c>
      <c r="K256" s="23">
        <v>0</v>
      </c>
      <c r="L256" s="46">
        <v>0</v>
      </c>
      <c r="M256" s="46">
        <v>0</v>
      </c>
      <c r="N256" s="46">
        <v>0</v>
      </c>
      <c r="O256" s="46">
        <v>0</v>
      </c>
      <c r="P256" s="78">
        <f>I256-M256-J256-K256-N256-L256</f>
        <v>245121</v>
      </c>
      <c r="Q256" s="155"/>
      <c r="R256" s="155"/>
      <c r="S256" s="45">
        <f>IF(J256+K256+L256+M256+N256&lt;VLOOKUP(A256,Eligibility!$A$3:$F$423,6,0),J256+K256+L256+M256+N256,VLOOKUP(A256,Eligibility!$A$3:$F$423,6,0))</f>
        <v>0</v>
      </c>
      <c r="T256" s="155"/>
      <c r="U256" s="155"/>
      <c r="V256" s="39"/>
      <c r="W256" s="155"/>
      <c r="X256" s="143"/>
      <c r="Y256" s="143"/>
      <c r="Z256" s="10"/>
      <c r="AA256" s="155"/>
      <c r="AB256" s="155"/>
      <c r="AC256" s="143"/>
      <c r="AD256" s="16"/>
      <c r="AE256" s="16"/>
      <c r="AF256" s="143"/>
      <c r="AG256" s="143"/>
      <c r="AH256" s="143"/>
      <c r="AI256" s="143"/>
      <c r="AJ256" s="143"/>
      <c r="AK256" s="16"/>
      <c r="AL256" s="16"/>
      <c r="AM256" s="143"/>
      <c r="AN256" s="177">
        <f>SUM(P256:AM256)-O256</f>
        <v>245121</v>
      </c>
    </row>
    <row r="257" spans="1:40" ht="15" thickBot="1" x14ac:dyDescent="0.4">
      <c r="A257" s="40">
        <v>1945</v>
      </c>
      <c r="B257" s="79" t="s">
        <v>296</v>
      </c>
      <c r="C257" s="46">
        <v>4855651</v>
      </c>
      <c r="D257" s="97">
        <v>0</v>
      </c>
      <c r="E257" s="10">
        <f>C257+D257</f>
        <v>4855651</v>
      </c>
      <c r="F257" s="23">
        <v>1175136</v>
      </c>
      <c r="G257" s="23">
        <v>0</v>
      </c>
      <c r="H257" s="16">
        <f>F257+G257</f>
        <v>1175136</v>
      </c>
      <c r="I257" s="16">
        <f>E257-H257</f>
        <v>3680515</v>
      </c>
      <c r="J257" s="23">
        <v>104396</v>
      </c>
      <c r="K257" s="23">
        <v>0</v>
      </c>
      <c r="L257" s="46">
        <v>0</v>
      </c>
      <c r="M257" s="46">
        <v>0</v>
      </c>
      <c r="N257" s="46">
        <v>0</v>
      </c>
      <c r="O257" s="46">
        <v>0</v>
      </c>
      <c r="P257" s="78">
        <f>I257-M257-J257-K257-N257-L257</f>
        <v>3576119</v>
      </c>
      <c r="Q257" s="155"/>
      <c r="R257" s="155"/>
      <c r="S257" s="45">
        <f>IF(J257+K257+L257+M257+N257&lt;VLOOKUP(A257,Eligibility!$A$3:$F$423,6,0),J257+K257+L257+M257+N257,VLOOKUP(A257,Eligibility!$A$3:$F$423,6,0))</f>
        <v>104396</v>
      </c>
      <c r="T257" s="155"/>
      <c r="U257" s="155"/>
      <c r="V257" s="39"/>
      <c r="W257" s="155"/>
      <c r="X257" s="143"/>
      <c r="Y257" s="143"/>
      <c r="Z257" s="10"/>
      <c r="AA257" s="155"/>
      <c r="AB257" s="155"/>
      <c r="AC257" s="143"/>
      <c r="AD257" s="16"/>
      <c r="AE257" s="16"/>
      <c r="AF257" s="143"/>
      <c r="AG257" s="143"/>
      <c r="AH257" s="143"/>
      <c r="AI257" s="143"/>
      <c r="AJ257" s="143"/>
      <c r="AK257" s="16"/>
      <c r="AL257" s="16"/>
      <c r="AM257" s="143"/>
      <c r="AN257" s="177">
        <f>SUM(P257:AM257)-O257</f>
        <v>3680515</v>
      </c>
    </row>
    <row r="258" spans="1:40" ht="15" thickBot="1" x14ac:dyDescent="0.4">
      <c r="A258" s="40">
        <v>1526</v>
      </c>
      <c r="B258" s="79" t="s">
        <v>448</v>
      </c>
      <c r="C258" s="46">
        <v>853606</v>
      </c>
      <c r="D258" s="97">
        <v>0</v>
      </c>
      <c r="E258" s="10">
        <f>C258+D258</f>
        <v>853606</v>
      </c>
      <c r="F258" s="23">
        <v>651593</v>
      </c>
      <c r="G258" s="23">
        <v>0</v>
      </c>
      <c r="H258" s="16">
        <f>F258+G258</f>
        <v>651593</v>
      </c>
      <c r="I258" s="16">
        <f>E258-H258</f>
        <v>202013</v>
      </c>
      <c r="J258" s="23">
        <v>8946</v>
      </c>
      <c r="K258" s="23">
        <v>0</v>
      </c>
      <c r="L258" s="46">
        <v>0</v>
      </c>
      <c r="M258" s="46">
        <v>0</v>
      </c>
      <c r="N258" s="46">
        <v>0</v>
      </c>
      <c r="O258" s="46">
        <v>0</v>
      </c>
      <c r="P258" s="78">
        <f>I258-M258-J258-K258-N258-L258</f>
        <v>193067</v>
      </c>
      <c r="Q258" s="155"/>
      <c r="R258" s="155"/>
      <c r="S258" s="45">
        <f>IF(J258+K258+L258+M258+N258&lt;VLOOKUP(A258,Eligibility!$A$3:$F$423,6,0),J258+K258+L258+M258+N258,VLOOKUP(A258,Eligibility!$A$3:$F$423,6,0))</f>
        <v>0</v>
      </c>
      <c r="T258" s="155"/>
      <c r="U258" s="155">
        <v>212</v>
      </c>
      <c r="V258" s="39">
        <v>8734</v>
      </c>
      <c r="W258" s="155"/>
      <c r="X258" s="143"/>
      <c r="Y258" s="143"/>
      <c r="Z258" s="10"/>
      <c r="AA258" s="155"/>
      <c r="AB258" s="155"/>
      <c r="AC258" s="143"/>
      <c r="AD258" s="16"/>
      <c r="AE258" s="16"/>
      <c r="AF258" s="143"/>
      <c r="AG258" s="143"/>
      <c r="AH258" s="143"/>
      <c r="AI258" s="143"/>
      <c r="AJ258" s="143"/>
      <c r="AK258" s="16"/>
      <c r="AL258" s="16"/>
      <c r="AM258" s="143"/>
      <c r="AN258" s="177">
        <f>SUM(P258:AM258)-O258</f>
        <v>202013</v>
      </c>
    </row>
    <row r="259" spans="1:40" ht="15" thickBot="1" x14ac:dyDescent="0.4">
      <c r="A259" s="40">
        <v>3654</v>
      </c>
      <c r="B259" s="79" t="s">
        <v>10</v>
      </c>
      <c r="C259" s="46">
        <v>216056</v>
      </c>
      <c r="D259" s="97">
        <v>0</v>
      </c>
      <c r="E259" s="10">
        <f>C259+D259</f>
        <v>216056</v>
      </c>
      <c r="F259" s="23">
        <v>286223</v>
      </c>
      <c r="G259" s="23">
        <v>0</v>
      </c>
      <c r="H259" s="16">
        <f>F259+G259</f>
        <v>286223</v>
      </c>
      <c r="I259" s="16">
        <f>E259-H259</f>
        <v>-70167</v>
      </c>
      <c r="J259" s="23">
        <v>8946</v>
      </c>
      <c r="K259" s="23">
        <v>0</v>
      </c>
      <c r="L259" s="46">
        <v>0</v>
      </c>
      <c r="M259" s="46">
        <v>0</v>
      </c>
      <c r="N259" s="46">
        <v>0</v>
      </c>
      <c r="O259" s="46">
        <v>0</v>
      </c>
      <c r="P259" s="78">
        <f>I259-M259-J259-K259-N259-L259</f>
        <v>-79113</v>
      </c>
      <c r="Q259" s="155"/>
      <c r="R259" s="155"/>
      <c r="S259" s="45">
        <f>IF(-$P259&lt;VLOOKUP(A259,Eligibility!$A$3:$F$423,6,0),-P259,VLOOKUP(A259,Eligibility!$A$3:$F$423,6,0))</f>
        <v>0</v>
      </c>
      <c r="T259" s="155">
        <v>519</v>
      </c>
      <c r="U259" s="155">
        <v>324</v>
      </c>
      <c r="V259" s="39">
        <v>454</v>
      </c>
      <c r="W259" s="155">
        <v>21753</v>
      </c>
      <c r="X259" s="143"/>
      <c r="Y259" s="143">
        <v>21306.5</v>
      </c>
      <c r="Z259" s="10">
        <v>34756.5</v>
      </c>
      <c r="AA259" s="155"/>
      <c r="AB259" s="155"/>
      <c r="AC259" s="143"/>
      <c r="AD259" s="16"/>
      <c r="AE259" s="16"/>
      <c r="AF259" s="143"/>
      <c r="AG259" s="143"/>
      <c r="AH259" s="143"/>
      <c r="AI259" s="143"/>
      <c r="AJ259" s="143"/>
      <c r="AK259" s="16"/>
      <c r="AL259" s="16"/>
      <c r="AM259" s="143"/>
      <c r="AN259" s="177">
        <f>SUM(P259:AM259)-O259</f>
        <v>0</v>
      </c>
    </row>
    <row r="260" spans="1:40" ht="15" thickBot="1" x14ac:dyDescent="0.4">
      <c r="A260" s="40">
        <v>3990</v>
      </c>
      <c r="B260" s="79" t="s">
        <v>297</v>
      </c>
      <c r="C260" s="46">
        <v>435419</v>
      </c>
      <c r="D260" s="97">
        <v>0</v>
      </c>
      <c r="E260" s="10">
        <f>C260+D260</f>
        <v>435419</v>
      </c>
      <c r="F260" s="23">
        <v>579751</v>
      </c>
      <c r="G260" s="23">
        <v>0</v>
      </c>
      <c r="H260" s="16">
        <f>F260+G260</f>
        <v>579751</v>
      </c>
      <c r="I260" s="16">
        <f>E260-H260</f>
        <v>-144332</v>
      </c>
      <c r="J260" s="23">
        <v>0</v>
      </c>
      <c r="K260" s="23">
        <v>0</v>
      </c>
      <c r="L260" s="46">
        <v>0</v>
      </c>
      <c r="M260" s="46">
        <v>7059.17</v>
      </c>
      <c r="N260" s="46">
        <v>0</v>
      </c>
      <c r="O260" s="46">
        <v>0</v>
      </c>
      <c r="P260" s="78">
        <f>I260-M260-J260-K260-N260-L260</f>
        <v>-151391.17000000001</v>
      </c>
      <c r="Q260" s="155"/>
      <c r="R260" s="155"/>
      <c r="S260" s="45">
        <f>IF(-$P260&lt;VLOOKUP(A260,Eligibility!$A$3:$F$423,6,0),-P260,VLOOKUP(A260,Eligibility!$A$3:$F$423,6,0))</f>
        <v>151391.17000000001</v>
      </c>
      <c r="T260" s="155"/>
      <c r="U260" s="155"/>
      <c r="V260" s="39"/>
      <c r="W260" s="155"/>
      <c r="X260" s="143"/>
      <c r="Y260" s="143"/>
      <c r="Z260" s="10"/>
      <c r="AA260" s="155"/>
      <c r="AB260" s="155"/>
      <c r="AC260" s="143"/>
      <c r="AD260" s="16"/>
      <c r="AE260" s="16"/>
      <c r="AF260" s="143"/>
      <c r="AG260" s="143"/>
      <c r="AH260" s="143"/>
      <c r="AI260" s="143"/>
      <c r="AJ260" s="143"/>
      <c r="AK260" s="16"/>
      <c r="AL260" s="16"/>
      <c r="AM260" s="143"/>
      <c r="AN260" s="177">
        <f>SUM(P260:AM260)-O260</f>
        <v>0</v>
      </c>
    </row>
    <row r="261" spans="1:40" ht="15" thickBot="1" x14ac:dyDescent="0.4">
      <c r="A261" s="40">
        <v>4011</v>
      </c>
      <c r="B261" s="79" t="s">
        <v>298</v>
      </c>
      <c r="C261" s="46">
        <v>157919</v>
      </c>
      <c r="D261" s="97">
        <v>0</v>
      </c>
      <c r="E261" s="10">
        <f>C261+D261</f>
        <v>157919</v>
      </c>
      <c r="F261" s="23">
        <v>139705</v>
      </c>
      <c r="G261" s="23">
        <v>0</v>
      </c>
      <c r="H261" s="16">
        <f>F261+G261</f>
        <v>139705</v>
      </c>
      <c r="I261" s="16">
        <f>E261-H261</f>
        <v>18214</v>
      </c>
      <c r="J261" s="23">
        <v>0</v>
      </c>
      <c r="K261" s="23">
        <v>0</v>
      </c>
      <c r="L261" s="46">
        <v>0</v>
      </c>
      <c r="M261" s="46">
        <v>0</v>
      </c>
      <c r="N261" s="46">
        <v>0</v>
      </c>
      <c r="O261" s="46">
        <v>0</v>
      </c>
      <c r="P261" s="78">
        <f>I261-M261-J261-K261-N261-L261</f>
        <v>18214</v>
      </c>
      <c r="Q261" s="155"/>
      <c r="R261" s="155"/>
      <c r="S261" s="45">
        <f>IF(J261+K261+L261+M261+N261&lt;VLOOKUP(A261,Eligibility!$A$3:$F$423,6,0),J261+K261+L261+M261+N261,VLOOKUP(A261,Eligibility!$A$3:$F$423,6,0))</f>
        <v>0</v>
      </c>
      <c r="T261" s="155"/>
      <c r="U261" s="155"/>
      <c r="V261" s="39"/>
      <c r="W261" s="155"/>
      <c r="X261" s="143"/>
      <c r="Y261" s="143"/>
      <c r="Z261" s="10"/>
      <c r="AA261" s="155"/>
      <c r="AB261" s="155"/>
      <c r="AC261" s="143"/>
      <c r="AD261" s="16"/>
      <c r="AE261" s="16"/>
      <c r="AF261" s="143"/>
      <c r="AG261" s="143"/>
      <c r="AH261" s="143"/>
      <c r="AI261" s="143"/>
      <c r="AJ261" s="143"/>
      <c r="AK261" s="16"/>
      <c r="AL261" s="16"/>
      <c r="AM261" s="143"/>
      <c r="AN261" s="177">
        <f>SUM(P261:AM261)-O261</f>
        <v>18214</v>
      </c>
    </row>
    <row r="262" spans="1:40" ht="15" thickBot="1" x14ac:dyDescent="0.4">
      <c r="A262" s="40">
        <v>4018</v>
      </c>
      <c r="B262" s="79" t="s">
        <v>299</v>
      </c>
      <c r="C262" s="46">
        <v>5567390</v>
      </c>
      <c r="D262" s="97">
        <v>0</v>
      </c>
      <c r="E262" s="10">
        <f>C262+D262</f>
        <v>5567390</v>
      </c>
      <c r="F262" s="23">
        <v>3962250</v>
      </c>
      <c r="G262" s="23">
        <v>8125</v>
      </c>
      <c r="H262" s="16">
        <f>F262+G262</f>
        <v>3970375</v>
      </c>
      <c r="I262" s="16">
        <f>E262-H262</f>
        <v>1597015</v>
      </c>
      <c r="J262" s="23">
        <v>458262.32</v>
      </c>
      <c r="K262" s="23">
        <v>25954</v>
      </c>
      <c r="L262" s="46">
        <v>0</v>
      </c>
      <c r="M262" s="46">
        <v>7059.17</v>
      </c>
      <c r="N262" s="46">
        <v>0</v>
      </c>
      <c r="O262" s="46">
        <v>0</v>
      </c>
      <c r="P262" s="78">
        <f>I262-M262-J262-K262-N262-L262</f>
        <v>1105739.51</v>
      </c>
      <c r="Q262" s="155"/>
      <c r="R262" s="155"/>
      <c r="S262" s="45">
        <f>IF(J262+K262+L262+M262+N262&lt;VLOOKUP(A262,Eligibility!$A$3:$F$423,6,0),J262+K262+L262+M262+N262,VLOOKUP(A262,Eligibility!$A$3:$F$423,6,0))</f>
        <v>491275.49</v>
      </c>
      <c r="T262" s="155"/>
      <c r="U262" s="155"/>
      <c r="V262" s="39"/>
      <c r="W262" s="155"/>
      <c r="X262" s="143"/>
      <c r="Y262" s="143"/>
      <c r="Z262" s="10"/>
      <c r="AA262" s="155"/>
      <c r="AB262" s="155"/>
      <c r="AC262" s="143"/>
      <c r="AD262" s="16"/>
      <c r="AE262" s="16"/>
      <c r="AF262" s="143"/>
      <c r="AG262" s="143"/>
      <c r="AH262" s="143"/>
      <c r="AI262" s="143"/>
      <c r="AJ262" s="143"/>
      <c r="AK262" s="16"/>
      <c r="AL262" s="16"/>
      <c r="AM262" s="143"/>
      <c r="AN262" s="177">
        <f>SUM(P262:AM262)-O262</f>
        <v>1597015</v>
      </c>
    </row>
    <row r="263" spans="1:40" ht="15" thickBot="1" x14ac:dyDescent="0.4">
      <c r="A263" s="40">
        <v>4025</v>
      </c>
      <c r="B263" s="79" t="s">
        <v>300</v>
      </c>
      <c r="C263" s="46">
        <v>1117747</v>
      </c>
      <c r="D263" s="97">
        <v>0</v>
      </c>
      <c r="E263" s="10">
        <f>C263+D263</f>
        <v>1117747</v>
      </c>
      <c r="F263" s="23">
        <v>515372</v>
      </c>
      <c r="G263" s="23">
        <v>0</v>
      </c>
      <c r="H263" s="16">
        <f>F263+G263</f>
        <v>515372</v>
      </c>
      <c r="I263" s="16">
        <f>E263-H263</f>
        <v>602375</v>
      </c>
      <c r="J263" s="23">
        <v>84292</v>
      </c>
      <c r="K263" s="23">
        <v>21923</v>
      </c>
      <c r="L263" s="46">
        <v>0</v>
      </c>
      <c r="M263" s="46">
        <v>0</v>
      </c>
      <c r="N263" s="46">
        <v>0</v>
      </c>
      <c r="O263" s="46">
        <v>0</v>
      </c>
      <c r="P263" s="78">
        <f>I263-M263-J263-K263-N263-L263</f>
        <v>496160</v>
      </c>
      <c r="Q263" s="155"/>
      <c r="R263" s="155"/>
      <c r="S263" s="45">
        <f>IF(J263+K263+L263+M263+N263&lt;VLOOKUP(A263,Eligibility!$A$3:$F$423,6,0),J263+K263+L263+M263+N263,VLOOKUP(A263,Eligibility!$A$3:$F$423,6,0))</f>
        <v>106215</v>
      </c>
      <c r="T263" s="155"/>
      <c r="U263" s="155"/>
      <c r="V263" s="39"/>
      <c r="W263" s="155"/>
      <c r="X263" s="143"/>
      <c r="Y263" s="143"/>
      <c r="Z263" s="10"/>
      <c r="AA263" s="155"/>
      <c r="AB263" s="155"/>
      <c r="AC263" s="143"/>
      <c r="AD263" s="16"/>
      <c r="AE263" s="16"/>
      <c r="AF263" s="143"/>
      <c r="AG263" s="143"/>
      <c r="AH263" s="143"/>
      <c r="AI263" s="143"/>
      <c r="AJ263" s="143"/>
      <c r="AK263" s="16"/>
      <c r="AL263" s="16"/>
      <c r="AM263" s="143"/>
      <c r="AN263" s="177">
        <f>SUM(P263:AM263)-O263</f>
        <v>602375</v>
      </c>
    </row>
    <row r="264" spans="1:40" ht="15" thickBot="1" x14ac:dyDescent="0.4">
      <c r="A264" s="40">
        <v>4060</v>
      </c>
      <c r="B264" s="79" t="s">
        <v>301</v>
      </c>
      <c r="C264" s="46">
        <v>2295528</v>
      </c>
      <c r="D264" s="97">
        <v>0</v>
      </c>
      <c r="E264" s="10">
        <f>C264+D264</f>
        <v>2295528</v>
      </c>
      <c r="F264" s="23">
        <v>3837997</v>
      </c>
      <c r="G264" s="23">
        <v>0</v>
      </c>
      <c r="H264" s="16">
        <f>F264+G264</f>
        <v>3837997</v>
      </c>
      <c r="I264" s="16">
        <f>E264-H264</f>
        <v>-1542469</v>
      </c>
      <c r="J264" s="23">
        <v>897516</v>
      </c>
      <c r="K264" s="23">
        <v>109896.5</v>
      </c>
      <c r="L264" s="46">
        <v>0</v>
      </c>
      <c r="M264" s="46">
        <v>14118.34</v>
      </c>
      <c r="N264" s="46">
        <v>0</v>
      </c>
      <c r="O264" s="46">
        <v>0</v>
      </c>
      <c r="P264" s="78">
        <f>I264-M264-J264-K264-N264-L264</f>
        <v>-2563999.84</v>
      </c>
      <c r="Q264" s="155"/>
      <c r="R264" s="155"/>
      <c r="S264" s="45">
        <f>IF(-$P264&lt;VLOOKUP(A264,Eligibility!$A$3:$F$423,6,0),-P264,VLOOKUP(A264,Eligibility!$A$3:$F$423,6,0))</f>
        <v>2563999.84</v>
      </c>
      <c r="T264" s="155"/>
      <c r="U264" s="155"/>
      <c r="V264" s="39"/>
      <c r="W264" s="155"/>
      <c r="X264" s="143"/>
      <c r="Y264" s="143"/>
      <c r="Z264" s="10"/>
      <c r="AA264" s="155"/>
      <c r="AB264" s="155"/>
      <c r="AC264" s="143"/>
      <c r="AD264" s="16"/>
      <c r="AE264" s="16"/>
      <c r="AF264" s="143"/>
      <c r="AG264" s="143"/>
      <c r="AH264" s="143"/>
      <c r="AI264" s="143"/>
      <c r="AJ264" s="143"/>
      <c r="AK264" s="16"/>
      <c r="AL264" s="16"/>
      <c r="AM264" s="143"/>
      <c r="AN264" s="177">
        <f>SUM(P264:AM264)-O264</f>
        <v>0</v>
      </c>
    </row>
    <row r="265" spans="1:40" ht="15" thickBot="1" x14ac:dyDescent="0.4">
      <c r="A265" s="40">
        <v>4067</v>
      </c>
      <c r="B265" s="79" t="s">
        <v>302</v>
      </c>
      <c r="C265" s="46">
        <v>305743</v>
      </c>
      <c r="D265" s="97">
        <v>24375</v>
      </c>
      <c r="E265" s="10">
        <f>C265+D265</f>
        <v>330118</v>
      </c>
      <c r="F265" s="23">
        <v>1020829</v>
      </c>
      <c r="G265" s="23">
        <v>0</v>
      </c>
      <c r="H265" s="16">
        <f>F265+G265</f>
        <v>1020829</v>
      </c>
      <c r="I265" s="16">
        <f>E265-H265</f>
        <v>-690711</v>
      </c>
      <c r="J265" s="23">
        <v>33846</v>
      </c>
      <c r="K265" s="23">
        <v>0</v>
      </c>
      <c r="L265" s="46">
        <v>0</v>
      </c>
      <c r="M265" s="46">
        <v>0</v>
      </c>
      <c r="N265" s="46">
        <v>0</v>
      </c>
      <c r="O265" s="46">
        <v>0</v>
      </c>
      <c r="P265" s="78">
        <f>I265-M265-J265-K265-N265-L265</f>
        <v>-724557</v>
      </c>
      <c r="Q265" s="155"/>
      <c r="R265" s="155"/>
      <c r="S265" s="45">
        <f>IF(-$P265&lt;VLOOKUP(A265,Eligibility!$A$3:$F$423,6,0),-P265,VLOOKUP(A265,Eligibility!$A$3:$F$423,6,0))</f>
        <v>724557</v>
      </c>
      <c r="T265" s="155"/>
      <c r="U265" s="155"/>
      <c r="V265" s="39"/>
      <c r="W265" s="155"/>
      <c r="X265" s="143"/>
      <c r="Y265" s="143"/>
      <c r="Z265" s="10"/>
      <c r="AA265" s="155"/>
      <c r="AB265" s="155"/>
      <c r="AC265" s="143"/>
      <c r="AD265" s="16"/>
      <c r="AE265" s="16"/>
      <c r="AF265" s="143"/>
      <c r="AG265" s="143"/>
      <c r="AH265" s="143"/>
      <c r="AI265" s="143"/>
      <c r="AJ265" s="143"/>
      <c r="AK265" s="16"/>
      <c r="AL265" s="16"/>
      <c r="AM265" s="143"/>
      <c r="AN265" s="177">
        <f>SUM(P265:AM265)-O265</f>
        <v>0</v>
      </c>
    </row>
    <row r="266" spans="1:40" ht="15" thickBot="1" x14ac:dyDescent="0.4">
      <c r="A266" s="40">
        <v>4074</v>
      </c>
      <c r="B266" s="79" t="s">
        <v>303</v>
      </c>
      <c r="C266" s="46">
        <v>1211529</v>
      </c>
      <c r="D266" s="97">
        <v>0</v>
      </c>
      <c r="E266" s="10">
        <f>C266+D266</f>
        <v>1211529</v>
      </c>
      <c r="F266" s="23">
        <v>1853633</v>
      </c>
      <c r="G266" s="23">
        <v>8125</v>
      </c>
      <c r="H266" s="16">
        <f>F266+G266</f>
        <v>1861758</v>
      </c>
      <c r="I266" s="16">
        <f>E266-H266</f>
        <v>-650229</v>
      </c>
      <c r="J266" s="23">
        <v>176422</v>
      </c>
      <c r="K266" s="23">
        <v>0</v>
      </c>
      <c r="L266" s="46">
        <v>0</v>
      </c>
      <c r="M266" s="46">
        <v>0</v>
      </c>
      <c r="N266" s="46">
        <v>0</v>
      </c>
      <c r="O266" s="46">
        <v>0</v>
      </c>
      <c r="P266" s="78">
        <f>I266-M266-J266-K266-N266-L266</f>
        <v>-826651</v>
      </c>
      <c r="Q266" s="155"/>
      <c r="R266" s="155"/>
      <c r="S266" s="45">
        <f>IF(-$P266&lt;VLOOKUP(A266,Eligibility!$A$3:$F$423,6,0),-P266,VLOOKUP(A266,Eligibility!$A$3:$F$423,6,0))</f>
        <v>826651</v>
      </c>
      <c r="T266" s="155"/>
      <c r="U266" s="155"/>
      <c r="V266" s="39"/>
      <c r="W266" s="155"/>
      <c r="X266" s="143"/>
      <c r="Y266" s="143"/>
      <c r="Z266" s="10"/>
      <c r="AA266" s="155"/>
      <c r="AB266" s="155"/>
      <c r="AC266" s="143"/>
      <c r="AD266" s="16"/>
      <c r="AE266" s="16"/>
      <c r="AF266" s="143"/>
      <c r="AG266" s="143"/>
      <c r="AH266" s="143"/>
      <c r="AI266" s="143"/>
      <c r="AJ266" s="143"/>
      <c r="AK266" s="16"/>
      <c r="AL266" s="16"/>
      <c r="AM266" s="143"/>
      <c r="AN266" s="177">
        <f>SUM(P266:AM266)-O266</f>
        <v>0</v>
      </c>
    </row>
    <row r="267" spans="1:40" ht="15" thickBot="1" x14ac:dyDescent="0.4">
      <c r="A267" s="40">
        <v>4088</v>
      </c>
      <c r="B267" s="79" t="s">
        <v>304</v>
      </c>
      <c r="C267" s="46">
        <v>797216</v>
      </c>
      <c r="D267" s="97">
        <v>0</v>
      </c>
      <c r="E267" s="10">
        <f>C267+D267</f>
        <v>797216</v>
      </c>
      <c r="F267" s="23">
        <v>1935306</v>
      </c>
      <c r="G267" s="23">
        <v>0</v>
      </c>
      <c r="H267" s="16">
        <f>F267+G267</f>
        <v>1935306</v>
      </c>
      <c r="I267" s="16">
        <f>E267-H267</f>
        <v>-1138090</v>
      </c>
      <c r="J267" s="23">
        <v>245545</v>
      </c>
      <c r="K267" s="23">
        <v>0</v>
      </c>
      <c r="L267" s="46">
        <v>0</v>
      </c>
      <c r="M267" s="46">
        <v>0</v>
      </c>
      <c r="N267" s="46">
        <v>0</v>
      </c>
      <c r="O267" s="46">
        <v>0</v>
      </c>
      <c r="P267" s="78">
        <f>I267-M267-J267-K267-N267-L267</f>
        <v>-1383635</v>
      </c>
      <c r="Q267" s="155"/>
      <c r="R267" s="155"/>
      <c r="S267" s="45">
        <f>IF(-$P267&lt;VLOOKUP(A267,Eligibility!$A$3:$F$423,6,0),-P267,VLOOKUP(A267,Eligibility!$A$3:$F$423,6,0))</f>
        <v>1383635</v>
      </c>
      <c r="T267" s="155"/>
      <c r="U267" s="155"/>
      <c r="V267" s="39"/>
      <c r="W267" s="155"/>
      <c r="X267" s="143"/>
      <c r="Y267" s="143"/>
      <c r="Z267" s="10"/>
      <c r="AA267" s="155"/>
      <c r="AB267" s="155"/>
      <c r="AC267" s="143"/>
      <c r="AD267" s="16"/>
      <c r="AE267" s="16"/>
      <c r="AF267" s="143"/>
      <c r="AG267" s="143"/>
      <c r="AH267" s="143"/>
      <c r="AI267" s="143"/>
      <c r="AJ267" s="143"/>
      <c r="AK267" s="16"/>
      <c r="AL267" s="16"/>
      <c r="AM267" s="143"/>
      <c r="AN267" s="177">
        <f>SUM(P267:AM267)-O267</f>
        <v>0</v>
      </c>
    </row>
    <row r="268" spans="1:40" ht="15" thickBot="1" x14ac:dyDescent="0.4">
      <c r="A268" s="40">
        <v>4095</v>
      </c>
      <c r="B268" s="79" t="s">
        <v>305</v>
      </c>
      <c r="C268" s="46">
        <v>3947391</v>
      </c>
      <c r="D268" s="97">
        <v>0</v>
      </c>
      <c r="E268" s="10">
        <f>C268+D268</f>
        <v>3947391</v>
      </c>
      <c r="F268" s="23">
        <v>1481217</v>
      </c>
      <c r="G268" s="23">
        <v>0</v>
      </c>
      <c r="H268" s="16">
        <f>F268+G268</f>
        <v>1481217</v>
      </c>
      <c r="I268" s="16">
        <f>E268-H268</f>
        <v>2466174</v>
      </c>
      <c r="J268" s="23">
        <v>550854</v>
      </c>
      <c r="K268" s="23">
        <v>84350.5</v>
      </c>
      <c r="L268" s="46">
        <v>0</v>
      </c>
      <c r="M268" s="46">
        <v>0</v>
      </c>
      <c r="N268" s="46">
        <v>0</v>
      </c>
      <c r="O268" s="46">
        <v>0</v>
      </c>
      <c r="P268" s="78">
        <f>I268-M268-J268-K268-N268-L268</f>
        <v>1830969.5</v>
      </c>
      <c r="Q268" s="155"/>
      <c r="R268" s="155"/>
      <c r="S268" s="45">
        <f>IF(J268+K268+L268+M268+N268&lt;VLOOKUP(A268,Eligibility!$A$3:$F$423,6,0),J268+K268+L268+M268+N268,VLOOKUP(A268,Eligibility!$A$3:$F$423,6,0))</f>
        <v>635204.5</v>
      </c>
      <c r="T268" s="155"/>
      <c r="U268" s="155"/>
      <c r="V268" s="39"/>
      <c r="W268" s="155"/>
      <c r="X268" s="143"/>
      <c r="Y268" s="143"/>
      <c r="Z268" s="10"/>
      <c r="AA268" s="155"/>
      <c r="AB268" s="155"/>
      <c r="AC268" s="143"/>
      <c r="AD268" s="16"/>
      <c r="AE268" s="16"/>
      <c r="AF268" s="143"/>
      <c r="AG268" s="143"/>
      <c r="AH268" s="143"/>
      <c r="AI268" s="143"/>
      <c r="AJ268" s="143"/>
      <c r="AK268" s="16"/>
      <c r="AL268" s="16"/>
      <c r="AM268" s="143"/>
      <c r="AN268" s="177">
        <f>SUM(P268:AM268)-O268</f>
        <v>2466174</v>
      </c>
    </row>
    <row r="269" spans="1:40" ht="15" thickBot="1" x14ac:dyDescent="0.4">
      <c r="A269" s="40">
        <v>4137</v>
      </c>
      <c r="B269" s="79" t="s">
        <v>306</v>
      </c>
      <c r="C269" s="46">
        <v>1107107</v>
      </c>
      <c r="D269" s="97">
        <v>0</v>
      </c>
      <c r="E269" s="10">
        <f>C269+D269</f>
        <v>1107107</v>
      </c>
      <c r="F269" s="23">
        <v>625281</v>
      </c>
      <c r="G269" s="23">
        <v>0</v>
      </c>
      <c r="H269" s="16">
        <f>F269+G269</f>
        <v>625281</v>
      </c>
      <c r="I269" s="16">
        <f>E269-H269</f>
        <v>481826</v>
      </c>
      <c r="J269" s="23">
        <v>324072</v>
      </c>
      <c r="K269" s="23">
        <v>0</v>
      </c>
      <c r="L269" s="46">
        <v>0</v>
      </c>
      <c r="M269" s="46">
        <v>0</v>
      </c>
      <c r="N269" s="46">
        <v>0</v>
      </c>
      <c r="O269" s="46">
        <v>0</v>
      </c>
      <c r="P269" s="78">
        <f>I269-M269-J269-K269-N269-L269</f>
        <v>157754</v>
      </c>
      <c r="Q269" s="155"/>
      <c r="R269" s="155"/>
      <c r="S269" s="45">
        <f>IF(J269+K269+L269+M269+N269&lt;VLOOKUP(A269,Eligibility!$A$3:$F$423,6,0),J269+K269+L269+M269+N269,VLOOKUP(A269,Eligibility!$A$3:$F$423,6,0))</f>
        <v>324072</v>
      </c>
      <c r="T269" s="155"/>
      <c r="U269" s="155"/>
      <c r="V269" s="39"/>
      <c r="W269" s="155"/>
      <c r="X269" s="143"/>
      <c r="Y269" s="143"/>
      <c r="Z269" s="10"/>
      <c r="AA269" s="155"/>
      <c r="AB269" s="155"/>
      <c r="AC269" s="143"/>
      <c r="AD269" s="16"/>
      <c r="AE269" s="16"/>
      <c r="AF269" s="143"/>
      <c r="AG269" s="143"/>
      <c r="AH269" s="143"/>
      <c r="AI269" s="143"/>
      <c r="AJ269" s="143"/>
      <c r="AK269" s="16"/>
      <c r="AL269" s="16"/>
      <c r="AM269" s="143"/>
      <c r="AN269" s="177">
        <f>SUM(P269:AM269)-O269</f>
        <v>481826</v>
      </c>
    </row>
    <row r="270" spans="1:40" ht="15" thickBot="1" x14ac:dyDescent="0.4">
      <c r="A270" s="40">
        <v>4144</v>
      </c>
      <c r="B270" s="79" t="s">
        <v>307</v>
      </c>
      <c r="C270" s="46">
        <v>2939102</v>
      </c>
      <c r="D270" s="97">
        <v>0</v>
      </c>
      <c r="E270" s="10">
        <f>C270+D270</f>
        <v>2939102</v>
      </c>
      <c r="F270" s="23">
        <v>918331</v>
      </c>
      <c r="G270" s="23">
        <v>903</v>
      </c>
      <c r="H270" s="16">
        <f>F270+G270</f>
        <v>919234</v>
      </c>
      <c r="I270" s="16">
        <f>E270-H270</f>
        <v>2019868</v>
      </c>
      <c r="J270" s="23">
        <v>4473</v>
      </c>
      <c r="K270" s="23">
        <v>7786.2</v>
      </c>
      <c r="L270" s="46">
        <v>32077.5</v>
      </c>
      <c r="M270" s="46">
        <v>7059.17</v>
      </c>
      <c r="N270" s="46">
        <v>0</v>
      </c>
      <c r="O270" s="46">
        <v>0</v>
      </c>
      <c r="P270" s="78">
        <f>I270-M270-J270-K270-N270-L270</f>
        <v>1968472.13</v>
      </c>
      <c r="Q270" s="155"/>
      <c r="R270" s="155"/>
      <c r="S270" s="45">
        <f>IF(J270+K270+L270+M270+N270&lt;VLOOKUP(A270,Eligibility!$A$3:$F$423,6,0),J270+K270+L270+M270+N270,VLOOKUP(A270,Eligibility!$A$3:$F$423,6,0))</f>
        <v>51395.87</v>
      </c>
      <c r="T270" s="155"/>
      <c r="U270" s="155"/>
      <c r="V270" s="39"/>
      <c r="W270" s="155"/>
      <c r="X270" s="143"/>
      <c r="Y270" s="143"/>
      <c r="Z270" s="10"/>
      <c r="AA270" s="155"/>
      <c r="AB270" s="155"/>
      <c r="AC270" s="143"/>
      <c r="AD270" s="16"/>
      <c r="AE270" s="16"/>
      <c r="AF270" s="143"/>
      <c r="AG270" s="143"/>
      <c r="AH270" s="143"/>
      <c r="AI270" s="143"/>
      <c r="AJ270" s="143"/>
      <c r="AK270" s="16"/>
      <c r="AL270" s="16"/>
      <c r="AM270" s="143"/>
      <c r="AN270" s="177">
        <f>SUM(P270:AM270)-O270</f>
        <v>2019868</v>
      </c>
    </row>
    <row r="271" spans="1:40" ht="15" thickBot="1" x14ac:dyDescent="0.4">
      <c r="A271" s="40">
        <v>4165</v>
      </c>
      <c r="B271" s="79" t="s">
        <v>308</v>
      </c>
      <c r="C271" s="46">
        <v>1396942</v>
      </c>
      <c r="D271" s="97">
        <v>0</v>
      </c>
      <c r="E271" s="10">
        <f>C271+D271</f>
        <v>1396942</v>
      </c>
      <c r="F271" s="23">
        <v>1040179</v>
      </c>
      <c r="G271" s="23">
        <v>0</v>
      </c>
      <c r="H271" s="16">
        <f>F271+G271</f>
        <v>1040179</v>
      </c>
      <c r="I271" s="16">
        <f>E271-H271</f>
        <v>356763</v>
      </c>
      <c r="J271" s="23">
        <v>144976</v>
      </c>
      <c r="K271" s="23">
        <v>0</v>
      </c>
      <c r="L271" s="46">
        <v>0</v>
      </c>
      <c r="M271" s="46">
        <v>0</v>
      </c>
      <c r="N271" s="46">
        <v>0</v>
      </c>
      <c r="O271" s="46">
        <v>0</v>
      </c>
      <c r="P271" s="78">
        <f>I271-M271-J271-K271-N271-L271</f>
        <v>211787</v>
      </c>
      <c r="Q271" s="155"/>
      <c r="R271" s="155"/>
      <c r="S271" s="45">
        <f>IF(J271+K271+L271+M271+N271&lt;VLOOKUP(A271,Eligibility!$A$3:$F$423,6,0),J271+K271+L271+M271+N271,VLOOKUP(A271,Eligibility!$A$3:$F$423,6,0))</f>
        <v>144976</v>
      </c>
      <c r="T271" s="155"/>
      <c r="U271" s="155"/>
      <c r="V271" s="39"/>
      <c r="W271" s="155"/>
      <c r="X271" s="143"/>
      <c r="Y271" s="143"/>
      <c r="Z271" s="10"/>
      <c r="AA271" s="155"/>
      <c r="AB271" s="155"/>
      <c r="AC271" s="143"/>
      <c r="AD271" s="16"/>
      <c r="AE271" s="16"/>
      <c r="AF271" s="143"/>
      <c r="AG271" s="143"/>
      <c r="AH271" s="143"/>
      <c r="AI271" s="143"/>
      <c r="AJ271" s="143"/>
      <c r="AK271" s="16"/>
      <c r="AL271" s="16"/>
      <c r="AM271" s="143"/>
      <c r="AN271" s="177">
        <f>SUM(P271:AM271)-O271</f>
        <v>356763</v>
      </c>
    </row>
    <row r="272" spans="1:40" ht="15" thickBot="1" x14ac:dyDescent="0.4">
      <c r="A272" s="40">
        <v>4179</v>
      </c>
      <c r="B272" s="79" t="s">
        <v>309</v>
      </c>
      <c r="C272" s="46">
        <v>1626313</v>
      </c>
      <c r="D272" s="97">
        <v>0</v>
      </c>
      <c r="E272" s="10">
        <f>C272+D272</f>
        <v>1626313</v>
      </c>
      <c r="F272" s="23">
        <v>4123345</v>
      </c>
      <c r="G272" s="23">
        <v>0</v>
      </c>
      <c r="H272" s="16">
        <f>F272+G272</f>
        <v>4123345</v>
      </c>
      <c r="I272" s="16">
        <f>E272-H272</f>
        <v>-2497032</v>
      </c>
      <c r="J272" s="23">
        <v>3077676</v>
      </c>
      <c r="K272" s="23">
        <v>38931</v>
      </c>
      <c r="L272" s="46">
        <v>0</v>
      </c>
      <c r="M272" s="46">
        <v>14118.34</v>
      </c>
      <c r="N272" s="46">
        <v>0</v>
      </c>
      <c r="O272" s="46">
        <v>0</v>
      </c>
      <c r="P272" s="78">
        <f>I272-M272-J272-K272-N272-L272</f>
        <v>-5627757.3399999999</v>
      </c>
      <c r="Q272" s="155"/>
      <c r="R272" s="155"/>
      <c r="S272" s="45">
        <f>IF(-$P272&lt;VLOOKUP(A272,Eligibility!$A$3:$F$423,6,0),-P272,VLOOKUP(A272,Eligibility!$A$3:$F$423,6,0))</f>
        <v>5627757.3399999999</v>
      </c>
      <c r="T272" s="155"/>
      <c r="U272" s="155"/>
      <c r="V272" s="39"/>
      <c r="W272" s="155"/>
      <c r="X272" s="143"/>
      <c r="Y272" s="143"/>
      <c r="Z272" s="10"/>
      <c r="AA272" s="155"/>
      <c r="AB272" s="155"/>
      <c r="AC272" s="143"/>
      <c r="AD272" s="16"/>
      <c r="AE272" s="16"/>
      <c r="AF272" s="143"/>
      <c r="AG272" s="143"/>
      <c r="AH272" s="143"/>
      <c r="AI272" s="143"/>
      <c r="AJ272" s="143"/>
      <c r="AK272" s="16"/>
      <c r="AL272" s="16"/>
      <c r="AM272" s="143"/>
      <c r="AN272" s="177">
        <f>SUM(P272:AM272)-O272</f>
        <v>0</v>
      </c>
    </row>
    <row r="273" spans="1:40" ht="15" thickBot="1" x14ac:dyDescent="0.4">
      <c r="A273" s="40">
        <v>4186</v>
      </c>
      <c r="B273" s="79" t="s">
        <v>310</v>
      </c>
      <c r="C273" s="46">
        <v>399221</v>
      </c>
      <c r="D273" s="97">
        <v>0</v>
      </c>
      <c r="E273" s="10">
        <f>C273+D273</f>
        <v>399221</v>
      </c>
      <c r="F273" s="23">
        <v>863851</v>
      </c>
      <c r="G273" s="23">
        <v>0</v>
      </c>
      <c r="H273" s="16">
        <f>F273+G273</f>
        <v>863851</v>
      </c>
      <c r="I273" s="16">
        <f>E273-H273</f>
        <v>-464630</v>
      </c>
      <c r="J273" s="23">
        <v>24900</v>
      </c>
      <c r="K273" s="23">
        <v>0</v>
      </c>
      <c r="L273" s="46">
        <v>0</v>
      </c>
      <c r="M273" s="46">
        <v>0</v>
      </c>
      <c r="N273" s="46">
        <v>0</v>
      </c>
      <c r="O273" s="46">
        <v>0</v>
      </c>
      <c r="P273" s="78">
        <f>I273-M273-J273-K273-N273-L273</f>
        <v>-489530</v>
      </c>
      <c r="Q273" s="155"/>
      <c r="R273" s="155"/>
      <c r="S273" s="45">
        <f>IF(-$P273&lt;VLOOKUP(A273,Eligibility!$A$3:$F$423,6,0),-P273,VLOOKUP(A273,Eligibility!$A$3:$F$423,6,0))</f>
        <v>489530</v>
      </c>
      <c r="T273" s="155"/>
      <c r="U273" s="155"/>
      <c r="V273" s="39"/>
      <c r="W273" s="155"/>
      <c r="X273" s="143"/>
      <c r="Y273" s="143"/>
      <c r="Z273" s="10"/>
      <c r="AA273" s="155"/>
      <c r="AB273" s="155"/>
      <c r="AC273" s="143"/>
      <c r="AD273" s="16"/>
      <c r="AE273" s="16"/>
      <c r="AF273" s="143"/>
      <c r="AG273" s="143"/>
      <c r="AH273" s="143"/>
      <c r="AI273" s="143"/>
      <c r="AJ273" s="143"/>
      <c r="AK273" s="16"/>
      <c r="AL273" s="16"/>
      <c r="AM273" s="143"/>
      <c r="AN273" s="177">
        <f>SUM(P273:AM273)-O273</f>
        <v>0</v>
      </c>
    </row>
    <row r="274" spans="1:40" ht="15" thickBot="1" x14ac:dyDescent="0.4">
      <c r="A274" s="40">
        <v>4207</v>
      </c>
      <c r="B274" s="79" t="s">
        <v>311</v>
      </c>
      <c r="C274" s="46">
        <v>311939</v>
      </c>
      <c r="D274" s="97">
        <v>0</v>
      </c>
      <c r="E274" s="10">
        <f>C274+D274</f>
        <v>311939</v>
      </c>
      <c r="F274" s="23">
        <v>291214</v>
      </c>
      <c r="G274" s="23">
        <v>0</v>
      </c>
      <c r="H274" s="16">
        <f>F274+G274</f>
        <v>291214</v>
      </c>
      <c r="I274" s="16">
        <f>E274-H274</f>
        <v>20725</v>
      </c>
      <c r="J274" s="23">
        <v>33200</v>
      </c>
      <c r="K274" s="23">
        <v>0</v>
      </c>
      <c r="L274" s="46">
        <v>0</v>
      </c>
      <c r="M274" s="46">
        <v>0</v>
      </c>
      <c r="N274" s="46">
        <v>0</v>
      </c>
      <c r="O274" s="46">
        <v>0</v>
      </c>
      <c r="P274" s="78">
        <f>I274-M274-J274-K274-N274-L274</f>
        <v>-12475</v>
      </c>
      <c r="Q274" s="155"/>
      <c r="R274" s="155"/>
      <c r="S274" s="45">
        <f>IF(J274+K274+L274+M274+N274&lt;VLOOKUP(A274,Eligibility!$A$3:$F$423,6,0),J274+K274+L274+M274+N274,VLOOKUP(A274,Eligibility!$A$3:$F$423,6,0))</f>
        <v>33200</v>
      </c>
      <c r="T274" s="155"/>
      <c r="U274" s="155"/>
      <c r="V274" s="39"/>
      <c r="W274" s="155"/>
      <c r="X274" s="143"/>
      <c r="Y274" s="143"/>
      <c r="Z274" s="10"/>
      <c r="AA274" s="155"/>
      <c r="AB274" s="155"/>
      <c r="AC274" s="143"/>
      <c r="AD274" s="16"/>
      <c r="AE274" s="16"/>
      <c r="AF274" s="143"/>
      <c r="AG274" s="143"/>
      <c r="AH274" s="143"/>
      <c r="AI274" s="143"/>
      <c r="AJ274" s="143"/>
      <c r="AK274" s="16"/>
      <c r="AL274" s="16"/>
      <c r="AM274" s="143"/>
      <c r="AN274" s="177">
        <f>SUM(P274:AM274)-O274</f>
        <v>20725</v>
      </c>
    </row>
    <row r="275" spans="1:40" ht="15" thickBot="1" x14ac:dyDescent="0.4">
      <c r="A275" s="40">
        <v>4221</v>
      </c>
      <c r="B275" s="79" t="s">
        <v>312</v>
      </c>
      <c r="C275" s="46">
        <v>305698</v>
      </c>
      <c r="D275" s="97">
        <v>0</v>
      </c>
      <c r="E275" s="10">
        <f>C275+D275</f>
        <v>305698</v>
      </c>
      <c r="F275" s="23">
        <v>3543932</v>
      </c>
      <c r="G275" s="23">
        <v>0</v>
      </c>
      <c r="H275" s="16">
        <f>F275+G275</f>
        <v>3543932</v>
      </c>
      <c r="I275" s="16">
        <f>E275-H275</f>
        <v>-3238234</v>
      </c>
      <c r="J275" s="23">
        <v>109192</v>
      </c>
      <c r="K275" s="23">
        <v>25954</v>
      </c>
      <c r="L275" s="46">
        <v>0</v>
      </c>
      <c r="M275" s="46">
        <v>0</v>
      </c>
      <c r="N275" s="46">
        <v>0</v>
      </c>
      <c r="O275" s="46">
        <v>0</v>
      </c>
      <c r="P275" s="78">
        <f>I275-M275-J275-K275-N275-L275</f>
        <v>-3373380</v>
      </c>
      <c r="Q275" s="155">
        <v>707386</v>
      </c>
      <c r="R275" s="155">
        <v>759294</v>
      </c>
      <c r="S275" s="45">
        <f>IF(-$P275&lt;VLOOKUP(A275,Eligibility!$A$3:$F$423,6,0),-P275,VLOOKUP(A275,Eligibility!$A$3:$F$423,6,0))</f>
        <v>1063011</v>
      </c>
      <c r="T275" s="155">
        <v>5411</v>
      </c>
      <c r="U275" s="155">
        <v>3382</v>
      </c>
      <c r="V275" s="38">
        <f>4735-277-3245</f>
        <v>1213</v>
      </c>
      <c r="W275" s="155"/>
      <c r="X275" s="143"/>
      <c r="Y275" s="143"/>
      <c r="Z275" s="10"/>
      <c r="AA275" s="155">
        <v>729258.96</v>
      </c>
      <c r="AB275" s="155"/>
      <c r="AC275" s="143"/>
      <c r="AD275" s="11"/>
      <c r="AE275" s="11"/>
      <c r="AF275" s="143">
        <v>51577</v>
      </c>
      <c r="AG275" s="143">
        <v>51577</v>
      </c>
      <c r="AH275" s="143"/>
      <c r="AI275" s="143">
        <v>1270.04</v>
      </c>
      <c r="AJ275" s="143"/>
      <c r="AK275" s="16"/>
      <c r="AL275" s="11"/>
      <c r="AM275" s="143"/>
      <c r="AN275" s="177">
        <f>SUM(P275:AM275)-O275</f>
        <v>0</v>
      </c>
    </row>
    <row r="276" spans="1:40" ht="15" thickBot="1" x14ac:dyDescent="0.4">
      <c r="A276" s="40">
        <v>4228</v>
      </c>
      <c r="B276" s="79" t="s">
        <v>313</v>
      </c>
      <c r="C276" s="46">
        <v>688193</v>
      </c>
      <c r="D276" s="97">
        <v>0</v>
      </c>
      <c r="E276" s="10">
        <f>C276+D276</f>
        <v>688193</v>
      </c>
      <c r="F276" s="23">
        <v>1094493</v>
      </c>
      <c r="G276" s="23">
        <v>0</v>
      </c>
      <c r="H276" s="16">
        <f>F276+G276</f>
        <v>1094493</v>
      </c>
      <c r="I276" s="16">
        <f>E276-H276</f>
        <v>-406300</v>
      </c>
      <c r="J276" s="23">
        <v>17892</v>
      </c>
      <c r="K276" s="23">
        <v>0</v>
      </c>
      <c r="L276" s="46">
        <v>0</v>
      </c>
      <c r="M276" s="46">
        <v>7059.17</v>
      </c>
      <c r="N276" s="46">
        <v>0</v>
      </c>
      <c r="O276" s="46">
        <v>0</v>
      </c>
      <c r="P276" s="78">
        <f>I276-M276-J276-K276-N276-L276</f>
        <v>-431251.17</v>
      </c>
      <c r="Q276" s="155"/>
      <c r="R276" s="155"/>
      <c r="S276" s="45">
        <f>IF(-$P276&lt;VLOOKUP(A276,Eligibility!$A$3:$F$423,6,0),-P276,VLOOKUP(A276,Eligibility!$A$3:$F$423,6,0))</f>
        <v>431251.17</v>
      </c>
      <c r="T276" s="155"/>
      <c r="U276" s="155"/>
      <c r="V276" s="39"/>
      <c r="W276" s="155"/>
      <c r="X276" s="143"/>
      <c r="Y276" s="143"/>
      <c r="Z276" s="10"/>
      <c r="AA276" s="155"/>
      <c r="AB276" s="155"/>
      <c r="AC276" s="143"/>
      <c r="AD276" s="16"/>
      <c r="AE276" s="16"/>
      <c r="AF276" s="143"/>
      <c r="AG276" s="143"/>
      <c r="AH276" s="143"/>
      <c r="AI276" s="143"/>
      <c r="AJ276" s="143"/>
      <c r="AK276" s="16"/>
      <c r="AL276" s="16"/>
      <c r="AM276" s="143"/>
      <c r="AN276" s="177">
        <f>SUM(P276:AM276)-O276</f>
        <v>0</v>
      </c>
    </row>
    <row r="277" spans="1:40" ht="15" thickBot="1" x14ac:dyDescent="0.4">
      <c r="A277" s="40">
        <v>4235</v>
      </c>
      <c r="B277" s="79" t="s">
        <v>314</v>
      </c>
      <c r="C277" s="46">
        <v>1088239</v>
      </c>
      <c r="D277" s="97">
        <v>0</v>
      </c>
      <c r="E277" s="10">
        <f>C277+D277</f>
        <v>1088239</v>
      </c>
      <c r="F277" s="23">
        <v>130000</v>
      </c>
      <c r="G277" s="23">
        <v>0</v>
      </c>
      <c r="H277" s="16">
        <f>F277+G277</f>
        <v>130000</v>
      </c>
      <c r="I277" s="16">
        <f>E277-H277</f>
        <v>958239</v>
      </c>
      <c r="J277" s="23">
        <v>0</v>
      </c>
      <c r="K277" s="23">
        <v>0</v>
      </c>
      <c r="L277" s="46">
        <v>0</v>
      </c>
      <c r="M277" s="46">
        <v>0</v>
      </c>
      <c r="N277" s="46">
        <v>0</v>
      </c>
      <c r="O277" s="46">
        <v>0</v>
      </c>
      <c r="P277" s="78">
        <f>I277-M277-J277-K277-N277-L277</f>
        <v>958239</v>
      </c>
      <c r="Q277" s="155"/>
      <c r="R277" s="155"/>
      <c r="S277" s="45">
        <f>IF(J277+K277+L277+M277+N277&lt;VLOOKUP(A277,Eligibility!$A$3:$F$423,6,0),J277+K277+L277+M277+N277,VLOOKUP(A277,Eligibility!$A$3:$F$423,6,0))</f>
        <v>0</v>
      </c>
      <c r="T277" s="155"/>
      <c r="U277" s="155"/>
      <c r="V277" s="39"/>
      <c r="W277" s="155"/>
      <c r="X277" s="143"/>
      <c r="Y277" s="143"/>
      <c r="Z277" s="10"/>
      <c r="AA277" s="155"/>
      <c r="AB277" s="155"/>
      <c r="AC277" s="143"/>
      <c r="AD277" s="16"/>
      <c r="AE277" s="16"/>
      <c r="AF277" s="143"/>
      <c r="AG277" s="143"/>
      <c r="AH277" s="143"/>
      <c r="AI277" s="143"/>
      <c r="AJ277" s="143"/>
      <c r="AK277" s="16"/>
      <c r="AL277" s="16"/>
      <c r="AM277" s="143"/>
      <c r="AN277" s="177">
        <f>SUM(P277:AM277)-O277</f>
        <v>958239</v>
      </c>
    </row>
    <row r="278" spans="1:40" ht="15" thickBot="1" x14ac:dyDescent="0.4">
      <c r="A278" s="40">
        <v>4151</v>
      </c>
      <c r="B278" s="79" t="s">
        <v>315</v>
      </c>
      <c r="C278" s="46">
        <v>636526</v>
      </c>
      <c r="D278" s="97">
        <v>0</v>
      </c>
      <c r="E278" s="10">
        <f>C278+D278</f>
        <v>636526</v>
      </c>
      <c r="F278" s="23">
        <v>1142575</v>
      </c>
      <c r="G278" s="23">
        <v>0</v>
      </c>
      <c r="H278" s="16">
        <f>F278+G278</f>
        <v>1142575</v>
      </c>
      <c r="I278" s="16">
        <f>E278-H278</f>
        <v>-506049</v>
      </c>
      <c r="J278" s="23">
        <v>75992</v>
      </c>
      <c r="K278" s="23">
        <v>0</v>
      </c>
      <c r="L278" s="46">
        <v>0</v>
      </c>
      <c r="M278" s="46">
        <v>0</v>
      </c>
      <c r="N278" s="46">
        <v>0</v>
      </c>
      <c r="O278" s="46">
        <v>0</v>
      </c>
      <c r="P278" s="78">
        <f>I278-M278-J278-K278-N278-L278</f>
        <v>-582041</v>
      </c>
      <c r="Q278" s="155"/>
      <c r="R278" s="155"/>
      <c r="S278" s="45">
        <f>IF(-$P278&lt;VLOOKUP(A278,Eligibility!$A$3:$F$423,6,0),-P278,VLOOKUP(A278,Eligibility!$A$3:$F$423,6,0))</f>
        <v>582041</v>
      </c>
      <c r="T278" s="155"/>
      <c r="U278" s="155"/>
      <c r="V278" s="39"/>
      <c r="W278" s="155"/>
      <c r="X278" s="143"/>
      <c r="Y278" s="143"/>
      <c r="Z278" s="10"/>
      <c r="AA278" s="155"/>
      <c r="AB278" s="155"/>
      <c r="AC278" s="143"/>
      <c r="AD278" s="16"/>
      <c r="AE278" s="16"/>
      <c r="AF278" s="143"/>
      <c r="AG278" s="143"/>
      <c r="AH278" s="143"/>
      <c r="AI278" s="143"/>
      <c r="AJ278" s="143"/>
      <c r="AK278" s="16"/>
      <c r="AL278" s="16"/>
      <c r="AM278" s="143"/>
      <c r="AN278" s="177">
        <f>SUM(P278:AM278)-O278</f>
        <v>0</v>
      </c>
    </row>
    <row r="279" spans="1:40" ht="15" thickBot="1" x14ac:dyDescent="0.4">
      <c r="A279" s="40">
        <v>490</v>
      </c>
      <c r="B279" s="79" t="s">
        <v>316</v>
      </c>
      <c r="C279" s="46">
        <v>218110</v>
      </c>
      <c r="D279" s="97">
        <v>0</v>
      </c>
      <c r="E279" s="10">
        <f>C279+D279</f>
        <v>218110</v>
      </c>
      <c r="F279" s="23">
        <v>436424</v>
      </c>
      <c r="G279" s="23">
        <v>12977</v>
      </c>
      <c r="H279" s="16">
        <f>F279+G279</f>
        <v>449401</v>
      </c>
      <c r="I279" s="16">
        <f>E279-H279</f>
        <v>-231291</v>
      </c>
      <c r="J279" s="23">
        <v>0</v>
      </c>
      <c r="K279" s="23">
        <v>0</v>
      </c>
      <c r="L279" s="46">
        <v>0</v>
      </c>
      <c r="M279" s="46">
        <v>0</v>
      </c>
      <c r="N279" s="46">
        <v>0</v>
      </c>
      <c r="O279" s="46">
        <v>0</v>
      </c>
      <c r="P279" s="78">
        <f>I279-M279-J279-K279-N279-L279</f>
        <v>-231291</v>
      </c>
      <c r="Q279" s="155"/>
      <c r="R279" s="155"/>
      <c r="S279" s="45">
        <f>IF(-$P279&lt;VLOOKUP(A279,Eligibility!$A$3:$F$423,6,0),-P279,VLOOKUP(A279,Eligibility!$A$3:$F$423,6,0))</f>
        <v>231291</v>
      </c>
      <c r="T279" s="155"/>
      <c r="U279" s="155"/>
      <c r="V279" s="39"/>
      <c r="W279" s="155"/>
      <c r="X279" s="143"/>
      <c r="Y279" s="143"/>
      <c r="Z279" s="10"/>
      <c r="AA279" s="155"/>
      <c r="AB279" s="155"/>
      <c r="AC279" s="143"/>
      <c r="AD279" s="16"/>
      <c r="AE279" s="16"/>
      <c r="AF279" s="143"/>
      <c r="AG279" s="143"/>
      <c r="AH279" s="143"/>
      <c r="AI279" s="143"/>
      <c r="AJ279" s="143"/>
      <c r="AK279" s="16"/>
      <c r="AL279" s="16"/>
      <c r="AM279" s="143"/>
      <c r="AN279" s="177">
        <f>SUM(P279:AM279)-O279</f>
        <v>0</v>
      </c>
    </row>
    <row r="280" spans="1:40" ht="15" thickBot="1" x14ac:dyDescent="0.4">
      <c r="A280" s="40">
        <v>4270</v>
      </c>
      <c r="B280" s="79" t="s">
        <v>47</v>
      </c>
      <c r="C280" s="46">
        <v>69852</v>
      </c>
      <c r="D280" s="97">
        <v>0</v>
      </c>
      <c r="E280" s="10">
        <f>C280+D280</f>
        <v>69852</v>
      </c>
      <c r="F280" s="23">
        <v>122619</v>
      </c>
      <c r="G280" s="23">
        <v>0</v>
      </c>
      <c r="H280" s="16">
        <f>F280+G280</f>
        <v>122619</v>
      </c>
      <c r="I280" s="16">
        <f>E280-H280</f>
        <v>-52767</v>
      </c>
      <c r="J280" s="23">
        <v>0</v>
      </c>
      <c r="K280" s="23">
        <v>0</v>
      </c>
      <c r="L280" s="46">
        <v>0</v>
      </c>
      <c r="M280" s="46">
        <v>0</v>
      </c>
      <c r="N280" s="46">
        <v>0</v>
      </c>
      <c r="O280" s="46">
        <v>0</v>
      </c>
      <c r="P280" s="78">
        <f>I280-M280-J280-K280-N280-L280</f>
        <v>-52767</v>
      </c>
      <c r="Q280" s="155"/>
      <c r="R280" s="155"/>
      <c r="S280" s="45">
        <f>IF(-$P280&lt;VLOOKUP(A280,Eligibility!$A$3:$F$423,6,0),-P280,VLOOKUP(A280,Eligibility!$A$3:$F$423,6,0))</f>
        <v>52767</v>
      </c>
      <c r="T280" s="155"/>
      <c r="U280" s="155"/>
      <c r="V280" s="39"/>
      <c r="W280" s="155"/>
      <c r="X280" s="143"/>
      <c r="Y280" s="143"/>
      <c r="Z280" s="10"/>
      <c r="AA280" s="155"/>
      <c r="AB280" s="155"/>
      <c r="AC280" s="143"/>
      <c r="AD280" s="16"/>
      <c r="AE280" s="16"/>
      <c r="AF280" s="143"/>
      <c r="AG280" s="143"/>
      <c r="AH280" s="143"/>
      <c r="AI280" s="143"/>
      <c r="AJ280" s="143"/>
      <c r="AK280" s="16"/>
      <c r="AL280" s="16"/>
      <c r="AM280" s="143"/>
      <c r="AN280" s="177">
        <f>SUM(P280:AM280)-O280</f>
        <v>0</v>
      </c>
    </row>
    <row r="281" spans="1:40" ht="15" thickBot="1" x14ac:dyDescent="0.4">
      <c r="A281" s="40">
        <v>4305</v>
      </c>
      <c r="B281" s="79" t="s">
        <v>317</v>
      </c>
      <c r="C281" s="46">
        <v>1312763</v>
      </c>
      <c r="D281" s="97">
        <v>0</v>
      </c>
      <c r="E281" s="10">
        <f>C281+D281</f>
        <v>1312763</v>
      </c>
      <c r="F281" s="23">
        <v>386227</v>
      </c>
      <c r="G281" s="23">
        <v>0</v>
      </c>
      <c r="H281" s="16">
        <f>F281+G281</f>
        <v>386227</v>
      </c>
      <c r="I281" s="16">
        <f>E281-H281</f>
        <v>926536</v>
      </c>
      <c r="J281" s="23">
        <v>140180</v>
      </c>
      <c r="K281" s="23">
        <v>0</v>
      </c>
      <c r="L281" s="46">
        <v>0</v>
      </c>
      <c r="M281" s="46">
        <v>0</v>
      </c>
      <c r="N281" s="46">
        <v>0</v>
      </c>
      <c r="O281" s="46">
        <v>0</v>
      </c>
      <c r="P281" s="78">
        <f>I281-M281-J281-K281-N281-L281</f>
        <v>786356</v>
      </c>
      <c r="Q281" s="155"/>
      <c r="R281" s="155"/>
      <c r="S281" s="45">
        <f>IF(J281+K281+L281+M281+N281&lt;VLOOKUP(A281,Eligibility!$A$3:$F$423,6,0),J281+K281+L281+M281+N281,VLOOKUP(A281,Eligibility!$A$3:$F$423,6,0))</f>
        <v>140180</v>
      </c>
      <c r="T281" s="155"/>
      <c r="U281" s="155"/>
      <c r="V281" s="39"/>
      <c r="W281" s="155"/>
      <c r="X281" s="143"/>
      <c r="Y281" s="143"/>
      <c r="Z281" s="10"/>
      <c r="AA281" s="155"/>
      <c r="AB281" s="155"/>
      <c r="AC281" s="143"/>
      <c r="AD281" s="16"/>
      <c r="AE281" s="16"/>
      <c r="AF281" s="143"/>
      <c r="AG281" s="143"/>
      <c r="AH281" s="143"/>
      <c r="AI281" s="143"/>
      <c r="AJ281" s="143"/>
      <c r="AK281" s="16"/>
      <c r="AL281" s="16"/>
      <c r="AM281" s="143"/>
      <c r="AN281" s="177">
        <f>SUM(P281:AM281)-O281</f>
        <v>926536</v>
      </c>
    </row>
    <row r="282" spans="1:40" ht="15" thickBot="1" x14ac:dyDescent="0.4">
      <c r="A282" s="40">
        <v>4312</v>
      </c>
      <c r="B282" s="79" t="s">
        <v>318</v>
      </c>
      <c r="C282" s="46">
        <v>1972751</v>
      </c>
      <c r="D282" s="97">
        <v>32500</v>
      </c>
      <c r="E282" s="10">
        <f>C282+D282</f>
        <v>2005251</v>
      </c>
      <c r="F282" s="23">
        <v>862571</v>
      </c>
      <c r="G282" s="23">
        <v>0</v>
      </c>
      <c r="H282" s="16">
        <f>F282+G282</f>
        <v>862571</v>
      </c>
      <c r="I282" s="16">
        <f>E282-H282</f>
        <v>1142680</v>
      </c>
      <c r="J282" s="23">
        <v>131234</v>
      </c>
      <c r="K282" s="23">
        <v>21277</v>
      </c>
      <c r="L282" s="46">
        <v>0</v>
      </c>
      <c r="M282" s="46">
        <v>0</v>
      </c>
      <c r="N282" s="46">
        <v>1</v>
      </c>
      <c r="O282" s="46">
        <v>0</v>
      </c>
      <c r="P282" s="78">
        <f>I282-M282-J282-K282-N282-L282</f>
        <v>990168</v>
      </c>
      <c r="Q282" s="155"/>
      <c r="R282" s="155"/>
      <c r="S282" s="45">
        <f>IF(J282+K282+L282+M282+N282&lt;VLOOKUP(A282,Eligibility!$A$3:$F$423,6,0),J282+K282+L282+M282+N282,VLOOKUP(A282,Eligibility!$A$3:$F$423,6,0))</f>
        <v>152512</v>
      </c>
      <c r="T282" s="155"/>
      <c r="U282" s="155"/>
      <c r="V282" s="39"/>
      <c r="W282" s="155"/>
      <c r="X282" s="143"/>
      <c r="Y282" s="143"/>
      <c r="Z282" s="10"/>
      <c r="AA282" s="155"/>
      <c r="AB282" s="155"/>
      <c r="AC282" s="143"/>
      <c r="AD282" s="16"/>
      <c r="AE282" s="16"/>
      <c r="AF282" s="143"/>
      <c r="AG282" s="143"/>
      <c r="AH282" s="143"/>
      <c r="AI282" s="143"/>
      <c r="AJ282" s="143"/>
      <c r="AK282" s="16"/>
      <c r="AL282" s="16"/>
      <c r="AM282" s="143"/>
      <c r="AN282" s="177">
        <f>SUM(P282:AM282)-O282</f>
        <v>1142680</v>
      </c>
    </row>
    <row r="283" spans="1:40" ht="15" thickBot="1" x14ac:dyDescent="0.4">
      <c r="A283" s="40">
        <v>4330</v>
      </c>
      <c r="B283" s="79" t="s">
        <v>11</v>
      </c>
      <c r="C283" s="46">
        <v>200079</v>
      </c>
      <c r="D283" s="97">
        <v>0</v>
      </c>
      <c r="E283" s="10">
        <f>C283+D283</f>
        <v>200079</v>
      </c>
      <c r="F283" s="23">
        <v>272000</v>
      </c>
      <c r="G283" s="23">
        <v>0</v>
      </c>
      <c r="H283" s="16">
        <f>F283+G283</f>
        <v>272000</v>
      </c>
      <c r="I283" s="16">
        <f>E283-H283</f>
        <v>-71921</v>
      </c>
      <c r="J283" s="23">
        <v>0</v>
      </c>
      <c r="K283" s="23">
        <v>0</v>
      </c>
      <c r="L283" s="46">
        <v>0</v>
      </c>
      <c r="M283" s="46">
        <v>0</v>
      </c>
      <c r="N283" s="46">
        <v>0</v>
      </c>
      <c r="O283" s="46">
        <v>0</v>
      </c>
      <c r="P283" s="78">
        <f>I283-M283-J283-K283-N283-L283</f>
        <v>-71921</v>
      </c>
      <c r="Q283" s="155"/>
      <c r="R283" s="155"/>
      <c r="S283" s="45">
        <f>IF(-$P283&lt;VLOOKUP(A283,Eligibility!$A$3:$F$423,6,0),-P283,VLOOKUP(A283,Eligibility!$A$3:$F$423,6,0))</f>
        <v>0</v>
      </c>
      <c r="T283" s="155">
        <v>1237</v>
      </c>
      <c r="U283" s="155">
        <v>773</v>
      </c>
      <c r="V283" s="38">
        <v>1083</v>
      </c>
      <c r="W283" s="155">
        <v>9058</v>
      </c>
      <c r="X283" s="143">
        <v>14161</v>
      </c>
      <c r="Y283" s="143">
        <v>13797</v>
      </c>
      <c r="Z283" s="10">
        <f>13978.89-5011</f>
        <v>8967.89</v>
      </c>
      <c r="AA283" s="155">
        <v>22844.11</v>
      </c>
      <c r="AB283" s="155"/>
      <c r="AC283" s="143"/>
      <c r="AD283" s="16"/>
      <c r="AE283" s="16"/>
      <c r="AF283" s="143"/>
      <c r="AG283" s="143"/>
      <c r="AH283" s="143"/>
      <c r="AI283" s="143"/>
      <c r="AJ283" s="143"/>
      <c r="AK283" s="16"/>
      <c r="AL283" s="16"/>
      <c r="AM283" s="143"/>
      <c r="AN283" s="177">
        <f>SUM(P283:AM283)-O283</f>
        <v>0</v>
      </c>
    </row>
    <row r="284" spans="1:40" ht="15" thickBot="1" x14ac:dyDescent="0.4">
      <c r="A284" s="40">
        <v>4347</v>
      </c>
      <c r="B284" s="79" t="s">
        <v>319</v>
      </c>
      <c r="C284" s="46">
        <v>339687</v>
      </c>
      <c r="D284" s="97">
        <v>0</v>
      </c>
      <c r="E284" s="10">
        <f>C284+D284</f>
        <v>339687</v>
      </c>
      <c r="F284" s="23">
        <v>452070</v>
      </c>
      <c r="G284" s="23">
        <v>0</v>
      </c>
      <c r="H284" s="16">
        <f>F284+G284</f>
        <v>452070</v>
      </c>
      <c r="I284" s="16">
        <f>E284-H284</f>
        <v>-112383</v>
      </c>
      <c r="J284" s="23">
        <v>8300</v>
      </c>
      <c r="K284" s="23">
        <v>0</v>
      </c>
      <c r="L284" s="46">
        <v>0</v>
      </c>
      <c r="M284" s="46">
        <v>0</v>
      </c>
      <c r="N284" s="46">
        <v>0</v>
      </c>
      <c r="O284" s="46">
        <v>0</v>
      </c>
      <c r="P284" s="78">
        <f>I284-M284-J284-K284-N284-L284</f>
        <v>-120683</v>
      </c>
      <c r="Q284" s="155"/>
      <c r="R284" s="155"/>
      <c r="S284" s="45">
        <f>IF(-$P284&lt;VLOOKUP(A284,Eligibility!$A$3:$F$423,6,0),-P284,VLOOKUP(A284,Eligibility!$A$3:$F$423,6,0))</f>
        <v>120683</v>
      </c>
      <c r="T284" s="155"/>
      <c r="U284" s="155"/>
      <c r="V284" s="39"/>
      <c r="W284" s="155"/>
      <c r="X284" s="143"/>
      <c r="Y284" s="143"/>
      <c r="Z284" s="10"/>
      <c r="AA284" s="155"/>
      <c r="AB284" s="155"/>
      <c r="AC284" s="143"/>
      <c r="AD284" s="16"/>
      <c r="AE284" s="16"/>
      <c r="AF284" s="143"/>
      <c r="AG284" s="143"/>
      <c r="AH284" s="143"/>
      <c r="AI284" s="143"/>
      <c r="AJ284" s="143"/>
      <c r="AK284" s="16"/>
      <c r="AL284" s="16"/>
      <c r="AM284" s="143"/>
      <c r="AN284" s="177">
        <f>SUM(P284:AM284)-O284</f>
        <v>0</v>
      </c>
    </row>
    <row r="285" spans="1:40" ht="15" thickBot="1" x14ac:dyDescent="0.4">
      <c r="A285" s="40">
        <v>4368</v>
      </c>
      <c r="B285" s="79" t="s">
        <v>320</v>
      </c>
      <c r="C285" s="46">
        <v>510149</v>
      </c>
      <c r="D285" s="97">
        <v>0</v>
      </c>
      <c r="E285" s="10">
        <f>C285+D285</f>
        <v>510149</v>
      </c>
      <c r="F285" s="23">
        <v>429924</v>
      </c>
      <c r="G285" s="23">
        <v>0</v>
      </c>
      <c r="H285" s="16">
        <f>F285+G285</f>
        <v>429924</v>
      </c>
      <c r="I285" s="16">
        <f>E285-H285</f>
        <v>80225</v>
      </c>
      <c r="J285" s="23">
        <v>50446</v>
      </c>
      <c r="K285" s="23">
        <v>0</v>
      </c>
      <c r="L285" s="46">
        <v>0</v>
      </c>
      <c r="M285" s="46">
        <v>7059.17</v>
      </c>
      <c r="N285" s="46">
        <v>0</v>
      </c>
      <c r="O285" s="46">
        <v>0</v>
      </c>
      <c r="P285" s="78">
        <f>I285-M285-J285-K285-N285-L285</f>
        <v>22719.83</v>
      </c>
      <c r="Q285" s="155"/>
      <c r="R285" s="155"/>
      <c r="S285" s="45">
        <f>IF(J285+K285+L285+M285+N285&lt;VLOOKUP(A285,Eligibility!$A$3:$F$423,6,0),J285+K285+L285+M285+N285,VLOOKUP(A285,Eligibility!$A$3:$F$423,6,0))</f>
        <v>57505.17</v>
      </c>
      <c r="T285" s="155"/>
      <c r="U285" s="155"/>
      <c r="V285" s="39"/>
      <c r="W285" s="155"/>
      <c r="X285" s="143"/>
      <c r="Y285" s="143"/>
      <c r="Z285" s="10"/>
      <c r="AA285" s="155"/>
      <c r="AB285" s="155"/>
      <c r="AC285" s="143"/>
      <c r="AD285" s="16"/>
      <c r="AE285" s="16"/>
      <c r="AF285" s="143"/>
      <c r="AG285" s="143"/>
      <c r="AH285" s="143"/>
      <c r="AI285" s="143"/>
      <c r="AJ285" s="143"/>
      <c r="AK285" s="16"/>
      <c r="AL285" s="16"/>
      <c r="AM285" s="143"/>
      <c r="AN285" s="177">
        <f>SUM(P285:AM285)-O285</f>
        <v>80225</v>
      </c>
    </row>
    <row r="286" spans="1:40" ht="15" thickBot="1" x14ac:dyDescent="0.4">
      <c r="A286" s="40">
        <v>4389</v>
      </c>
      <c r="B286" s="79" t="s">
        <v>321</v>
      </c>
      <c r="C286" s="46">
        <v>604913</v>
      </c>
      <c r="D286" s="97">
        <v>0</v>
      </c>
      <c r="E286" s="10">
        <f>C286+D286</f>
        <v>604913</v>
      </c>
      <c r="F286" s="23">
        <v>795173</v>
      </c>
      <c r="G286" s="23">
        <v>0</v>
      </c>
      <c r="H286" s="16">
        <f>F286+G286</f>
        <v>795173</v>
      </c>
      <c r="I286" s="16">
        <f>E286-H286</f>
        <v>-190260</v>
      </c>
      <c r="J286" s="23">
        <v>0</v>
      </c>
      <c r="K286" s="23">
        <v>0</v>
      </c>
      <c r="L286" s="46">
        <v>0</v>
      </c>
      <c r="M286" s="46">
        <v>0</v>
      </c>
      <c r="N286" s="46">
        <v>0</v>
      </c>
      <c r="O286" s="46">
        <v>0</v>
      </c>
      <c r="P286" s="78">
        <f>I286-M286-J286-K286-N286-L286</f>
        <v>-190260</v>
      </c>
      <c r="Q286" s="155"/>
      <c r="R286" s="155"/>
      <c r="S286" s="45">
        <f>IF(-$P286&lt;VLOOKUP(A286,Eligibility!$A$3:$F$423,6,0),-P286,VLOOKUP(A286,Eligibility!$A$3:$F$423,6,0))</f>
        <v>190260</v>
      </c>
      <c r="T286" s="155"/>
      <c r="U286" s="155"/>
      <c r="V286" s="39"/>
      <c r="W286" s="155"/>
      <c r="X286" s="143"/>
      <c r="Y286" s="143"/>
      <c r="Z286" s="10"/>
      <c r="AA286" s="155"/>
      <c r="AB286" s="155"/>
      <c r="AC286" s="143"/>
      <c r="AD286" s="16"/>
      <c r="AE286" s="16"/>
      <c r="AF286" s="143"/>
      <c r="AG286" s="143"/>
      <c r="AH286" s="143"/>
      <c r="AI286" s="143"/>
      <c r="AJ286" s="143"/>
      <c r="AK286" s="16"/>
      <c r="AL286" s="16"/>
      <c r="AM286" s="143"/>
      <c r="AN286" s="177">
        <f>SUM(P286:AM286)-O286</f>
        <v>0</v>
      </c>
    </row>
    <row r="287" spans="1:40" ht="15" thickBot="1" x14ac:dyDescent="0.4">
      <c r="A287" s="40">
        <v>4459</v>
      </c>
      <c r="B287" s="79" t="s">
        <v>322</v>
      </c>
      <c r="C287" s="46">
        <v>350505</v>
      </c>
      <c r="D287" s="97">
        <v>0</v>
      </c>
      <c r="E287" s="10">
        <f>C287+D287</f>
        <v>350505</v>
      </c>
      <c r="F287" s="23">
        <v>303905</v>
      </c>
      <c r="G287" s="23">
        <v>0</v>
      </c>
      <c r="H287" s="16">
        <f>F287+G287</f>
        <v>303905</v>
      </c>
      <c r="I287" s="16">
        <f>E287-H287</f>
        <v>46600</v>
      </c>
      <c r="J287" s="23">
        <v>0</v>
      </c>
      <c r="K287" s="23">
        <v>0</v>
      </c>
      <c r="L287" s="46">
        <v>0</v>
      </c>
      <c r="M287" s="46">
        <v>0</v>
      </c>
      <c r="N287" s="46">
        <v>0</v>
      </c>
      <c r="O287" s="46">
        <v>0</v>
      </c>
      <c r="P287" s="78">
        <f>I287-M287-J287-K287-N287-L287</f>
        <v>46600</v>
      </c>
      <c r="Q287" s="155"/>
      <c r="R287" s="155"/>
      <c r="S287" s="45">
        <f>IF(J287+K287+L287+M287+N287&lt;VLOOKUP(A287,Eligibility!$A$3:$F$423,6,0),J287+K287+L287+M287+N287,VLOOKUP(A287,Eligibility!$A$3:$F$423,6,0))</f>
        <v>0</v>
      </c>
      <c r="T287" s="155"/>
      <c r="U287" s="155"/>
      <c r="V287" s="39"/>
      <c r="W287" s="155"/>
      <c r="X287" s="143"/>
      <c r="Y287" s="143"/>
      <c r="Z287" s="10"/>
      <c r="AA287" s="155"/>
      <c r="AB287" s="155"/>
      <c r="AC287" s="143"/>
      <c r="AD287" s="16"/>
      <c r="AE287" s="16"/>
      <c r="AF287" s="143"/>
      <c r="AG287" s="143"/>
      <c r="AH287" s="143"/>
      <c r="AI287" s="143"/>
      <c r="AJ287" s="143"/>
      <c r="AK287" s="16"/>
      <c r="AL287" s="16"/>
      <c r="AM287" s="143"/>
      <c r="AN287" s="177">
        <f>SUM(P287:AM287)-O287</f>
        <v>46600</v>
      </c>
    </row>
    <row r="288" spans="1:40" ht="15" thickBot="1" x14ac:dyDescent="0.4">
      <c r="A288" s="40">
        <v>4473</v>
      </c>
      <c r="B288" s="79" t="s">
        <v>323</v>
      </c>
      <c r="C288" s="46">
        <v>1433467</v>
      </c>
      <c r="D288" s="97">
        <v>0</v>
      </c>
      <c r="E288" s="10">
        <f>C288+D288</f>
        <v>1433467</v>
      </c>
      <c r="F288" s="23">
        <v>1728107</v>
      </c>
      <c r="G288" s="23">
        <v>0</v>
      </c>
      <c r="H288" s="16">
        <f>F288+G288</f>
        <v>1728107</v>
      </c>
      <c r="I288" s="16">
        <f>E288-H288</f>
        <v>-294640</v>
      </c>
      <c r="J288" s="23">
        <v>409930</v>
      </c>
      <c r="K288" s="23">
        <v>25954</v>
      </c>
      <c r="L288" s="46">
        <v>0</v>
      </c>
      <c r="M288" s="46">
        <v>7059.17</v>
      </c>
      <c r="N288" s="46">
        <v>0</v>
      </c>
      <c r="O288" s="46">
        <v>0</v>
      </c>
      <c r="P288" s="78">
        <f>I288-M288-J288-K288-N288-L288</f>
        <v>-737583.17</v>
      </c>
      <c r="Q288" s="155"/>
      <c r="R288" s="155"/>
      <c r="S288" s="45">
        <f>IF(-$P288&lt;VLOOKUP(A288,Eligibility!$A$3:$F$423,6,0),-P288,VLOOKUP(A288,Eligibility!$A$3:$F$423,6,0))</f>
        <v>737583.17</v>
      </c>
      <c r="T288" s="155"/>
      <c r="U288" s="155"/>
      <c r="V288" s="39"/>
      <c r="W288" s="155"/>
      <c r="X288" s="143"/>
      <c r="Y288" s="143"/>
      <c r="Z288" s="10"/>
      <c r="AA288" s="155"/>
      <c r="AB288" s="155"/>
      <c r="AC288" s="143"/>
      <c r="AD288" s="16"/>
      <c r="AE288" s="16"/>
      <c r="AF288" s="143"/>
      <c r="AG288" s="143"/>
      <c r="AH288" s="143"/>
      <c r="AI288" s="143"/>
      <c r="AJ288" s="143"/>
      <c r="AK288" s="16"/>
      <c r="AL288" s="16"/>
      <c r="AM288" s="143"/>
      <c r="AN288" s="177">
        <f>SUM(P288:AM288)-O288</f>
        <v>0</v>
      </c>
    </row>
    <row r="289" spans="1:40" ht="15" thickBot="1" x14ac:dyDescent="0.4">
      <c r="A289" s="40">
        <v>4508</v>
      </c>
      <c r="B289" s="79" t="s">
        <v>324</v>
      </c>
      <c r="C289" s="46">
        <v>1024441</v>
      </c>
      <c r="D289" s="97">
        <v>0</v>
      </c>
      <c r="E289" s="10">
        <f>C289+D289</f>
        <v>1024441</v>
      </c>
      <c r="F289" s="23">
        <v>766543</v>
      </c>
      <c r="G289" s="23">
        <v>0</v>
      </c>
      <c r="H289" s="16">
        <f>F289+G289</f>
        <v>766543</v>
      </c>
      <c r="I289" s="16">
        <f>E289-H289</f>
        <v>257898</v>
      </c>
      <c r="J289" s="23">
        <v>49800</v>
      </c>
      <c r="K289" s="23">
        <v>12977</v>
      </c>
      <c r="L289" s="46">
        <v>0</v>
      </c>
      <c r="M289" s="46">
        <v>0</v>
      </c>
      <c r="N289" s="46">
        <v>0</v>
      </c>
      <c r="O289" s="46">
        <v>0</v>
      </c>
      <c r="P289" s="78">
        <f>I289-M289-J289-K289-N289-L289</f>
        <v>195121</v>
      </c>
      <c r="Q289" s="155"/>
      <c r="R289" s="155"/>
      <c r="S289" s="45">
        <f>IF(J289+K289+L289+M289+N289&lt;VLOOKUP(A289,Eligibility!$A$3:$F$423,6,0),J289+K289+L289+M289+N289,VLOOKUP(A289,Eligibility!$A$3:$F$423,6,0))</f>
        <v>62777</v>
      </c>
      <c r="T289" s="155"/>
      <c r="U289" s="155"/>
      <c r="V289" s="39"/>
      <c r="W289" s="155"/>
      <c r="X289" s="143"/>
      <c r="Y289" s="143"/>
      <c r="Z289" s="10"/>
      <c r="AA289" s="155"/>
      <c r="AB289" s="155"/>
      <c r="AC289" s="143"/>
      <c r="AD289" s="16"/>
      <c r="AE289" s="16"/>
      <c r="AF289" s="143"/>
      <c r="AG289" s="143"/>
      <c r="AH289" s="143"/>
      <c r="AI289" s="143"/>
      <c r="AJ289" s="143"/>
      <c r="AK289" s="16"/>
      <c r="AL289" s="16"/>
      <c r="AM289" s="143"/>
      <c r="AN289" s="177">
        <f>SUM(P289:AM289)-O289</f>
        <v>257898</v>
      </c>
    </row>
    <row r="290" spans="1:40" ht="15" thickBot="1" x14ac:dyDescent="0.4">
      <c r="A290" s="40">
        <v>4515</v>
      </c>
      <c r="B290" s="79" t="s">
        <v>325</v>
      </c>
      <c r="C290" s="46">
        <v>1322874</v>
      </c>
      <c r="D290" s="97">
        <v>0</v>
      </c>
      <c r="E290" s="10">
        <f>C290+D290</f>
        <v>1322874</v>
      </c>
      <c r="F290" s="23">
        <v>1476177</v>
      </c>
      <c r="G290" s="23">
        <v>0</v>
      </c>
      <c r="H290" s="16">
        <f>F290+G290</f>
        <v>1476177</v>
      </c>
      <c r="I290" s="16">
        <f>E290-H290</f>
        <v>-153303</v>
      </c>
      <c r="J290" s="23">
        <v>314157</v>
      </c>
      <c r="K290" s="23">
        <v>198278</v>
      </c>
      <c r="L290" s="46">
        <v>0</v>
      </c>
      <c r="M290" s="46">
        <v>0</v>
      </c>
      <c r="N290" s="46">
        <v>1</v>
      </c>
      <c r="O290" s="46">
        <v>0</v>
      </c>
      <c r="P290" s="78">
        <f>I290-M290-J290-K290-N290-L290</f>
        <v>-665739</v>
      </c>
      <c r="Q290" s="155"/>
      <c r="R290" s="155"/>
      <c r="S290" s="45">
        <f>IF(-$P290&lt;VLOOKUP(A290,Eligibility!$A$3:$F$423,6,0),-P290,VLOOKUP(A290,Eligibility!$A$3:$F$423,6,0))</f>
        <v>665739</v>
      </c>
      <c r="T290" s="155"/>
      <c r="U290" s="155"/>
      <c r="V290" s="39"/>
      <c r="W290" s="155"/>
      <c r="X290" s="143"/>
      <c r="Y290" s="143"/>
      <c r="Z290" s="10"/>
      <c r="AA290" s="155"/>
      <c r="AB290" s="155"/>
      <c r="AC290" s="143"/>
      <c r="AD290" s="16"/>
      <c r="AE290" s="16"/>
      <c r="AF290" s="143"/>
      <c r="AG290" s="143"/>
      <c r="AH290" s="143"/>
      <c r="AI290" s="143"/>
      <c r="AJ290" s="143"/>
      <c r="AK290" s="16"/>
      <c r="AL290" s="16"/>
      <c r="AM290" s="143"/>
      <c r="AN290" s="177">
        <f>SUM(P290:AM290)-O290</f>
        <v>0</v>
      </c>
    </row>
    <row r="291" spans="1:40" ht="15" thickBot="1" x14ac:dyDescent="0.4">
      <c r="A291" s="40">
        <v>4501</v>
      </c>
      <c r="B291" s="79" t="s">
        <v>326</v>
      </c>
      <c r="C291" s="46">
        <v>1732995</v>
      </c>
      <c r="D291" s="97">
        <v>0</v>
      </c>
      <c r="E291" s="10">
        <f>C291+D291</f>
        <v>1732995</v>
      </c>
      <c r="F291" s="23">
        <v>1846481</v>
      </c>
      <c r="G291" s="23">
        <v>0</v>
      </c>
      <c r="H291" s="16">
        <f>F291+G291</f>
        <v>1846481</v>
      </c>
      <c r="I291" s="16">
        <f>E291-H291</f>
        <v>-113486</v>
      </c>
      <c r="J291" s="23">
        <v>280634</v>
      </c>
      <c r="K291" s="23">
        <v>12977</v>
      </c>
      <c r="L291" s="46">
        <v>0</v>
      </c>
      <c r="M291" s="46">
        <v>0</v>
      </c>
      <c r="N291" s="46">
        <v>0</v>
      </c>
      <c r="O291" s="46">
        <v>0</v>
      </c>
      <c r="P291" s="78">
        <f>I291-M291-J291-K291-N291-L291</f>
        <v>-407097</v>
      </c>
      <c r="Q291" s="155"/>
      <c r="R291" s="155"/>
      <c r="S291" s="45">
        <f>IF(-$P291&lt;VLOOKUP(A291,Eligibility!$A$3:$F$423,6,0),-P291,VLOOKUP(A291,Eligibility!$A$3:$F$423,6,0))</f>
        <v>407097</v>
      </c>
      <c r="T291" s="155"/>
      <c r="U291" s="155"/>
      <c r="V291" s="39"/>
      <c r="W291" s="155"/>
      <c r="X291" s="143"/>
      <c r="Y291" s="143"/>
      <c r="Z291" s="10"/>
      <c r="AA291" s="155"/>
      <c r="AB291" s="155"/>
      <c r="AC291" s="143"/>
      <c r="AD291" s="16"/>
      <c r="AE291" s="16"/>
      <c r="AF291" s="143"/>
      <c r="AG291" s="143"/>
      <c r="AH291" s="143"/>
      <c r="AI291" s="143"/>
      <c r="AJ291" s="143"/>
      <c r="AK291" s="16"/>
      <c r="AL291" s="16"/>
      <c r="AM291" s="143"/>
      <c r="AN291" s="177">
        <f>SUM(P291:AM291)-O291</f>
        <v>0</v>
      </c>
    </row>
    <row r="292" spans="1:40" ht="15" thickBot="1" x14ac:dyDescent="0.4">
      <c r="A292" s="40">
        <v>4529</v>
      </c>
      <c r="B292" s="79" t="s">
        <v>327</v>
      </c>
      <c r="C292" s="46">
        <v>475872</v>
      </c>
      <c r="D292" s="97">
        <v>0</v>
      </c>
      <c r="E292" s="10">
        <f>C292+D292</f>
        <v>475872</v>
      </c>
      <c r="F292" s="23">
        <v>257509</v>
      </c>
      <c r="G292" s="23">
        <v>0</v>
      </c>
      <c r="H292" s="16">
        <f>F292+G292</f>
        <v>257509</v>
      </c>
      <c r="I292" s="16">
        <f>E292-H292</f>
        <v>218363</v>
      </c>
      <c r="J292" s="23">
        <v>0</v>
      </c>
      <c r="K292" s="23">
        <v>0</v>
      </c>
      <c r="L292" s="46">
        <v>0</v>
      </c>
      <c r="M292" s="46">
        <v>0</v>
      </c>
      <c r="N292" s="46">
        <v>0</v>
      </c>
      <c r="O292" s="46">
        <v>0</v>
      </c>
      <c r="P292" s="78">
        <f>I292-M292-J292-K292-N292-L292</f>
        <v>218363</v>
      </c>
      <c r="Q292" s="155"/>
      <c r="R292" s="155"/>
      <c r="S292" s="45">
        <f>IF(J292+K292+L292+M292+N292&lt;VLOOKUP(A292,Eligibility!$A$3:$F$423,6,0),J292+K292+L292+M292+N292,VLOOKUP(A292,Eligibility!$A$3:$F$423,6,0))</f>
        <v>0</v>
      </c>
      <c r="T292" s="155"/>
      <c r="U292" s="155"/>
      <c r="V292" s="39"/>
      <c r="W292" s="155"/>
      <c r="X292" s="143"/>
      <c r="Y292" s="143"/>
      <c r="Z292" s="10"/>
      <c r="AA292" s="155"/>
      <c r="AB292" s="155"/>
      <c r="AC292" s="143"/>
      <c r="AD292" s="16"/>
      <c r="AE292" s="16"/>
      <c r="AF292" s="143"/>
      <c r="AG292" s="143"/>
      <c r="AH292" s="143"/>
      <c r="AI292" s="143"/>
      <c r="AJ292" s="143"/>
      <c r="AK292" s="16"/>
      <c r="AL292" s="16"/>
      <c r="AM292" s="143"/>
      <c r="AN292" s="177">
        <f>SUM(P292:AM292)-O292</f>
        <v>218363</v>
      </c>
    </row>
    <row r="293" spans="1:40" ht="15" thickBot="1" x14ac:dyDescent="0.4">
      <c r="A293" s="40">
        <v>4536</v>
      </c>
      <c r="B293" s="79" t="s">
        <v>328</v>
      </c>
      <c r="C293" s="46">
        <v>849293</v>
      </c>
      <c r="D293" s="97">
        <v>0</v>
      </c>
      <c r="E293" s="10">
        <f>C293+D293</f>
        <v>849293</v>
      </c>
      <c r="F293" s="23">
        <v>912936</v>
      </c>
      <c r="G293" s="23">
        <v>12977</v>
      </c>
      <c r="H293" s="16">
        <f>F293+G293</f>
        <v>925913</v>
      </c>
      <c r="I293" s="16">
        <f>E293-H293</f>
        <v>-76620</v>
      </c>
      <c r="J293" s="23">
        <v>4150</v>
      </c>
      <c r="K293" s="23">
        <v>0</v>
      </c>
      <c r="L293" s="46">
        <v>4582.5</v>
      </c>
      <c r="M293" s="46">
        <v>0</v>
      </c>
      <c r="N293" s="46">
        <v>0</v>
      </c>
      <c r="O293" s="46">
        <v>0</v>
      </c>
      <c r="P293" s="78">
        <f>I293-M293-J293-K293-N293-L293</f>
        <v>-85352.5</v>
      </c>
      <c r="Q293" s="155"/>
      <c r="R293" s="155"/>
      <c r="S293" s="45">
        <f>IF(-$P293&lt;VLOOKUP(A293,Eligibility!$A$3:$F$423,6,0),-P293,VLOOKUP(A293,Eligibility!$A$3:$F$423,6,0))</f>
        <v>85352.5</v>
      </c>
      <c r="T293" s="155"/>
      <c r="U293" s="155"/>
      <c r="V293" s="39"/>
      <c r="W293" s="155"/>
      <c r="X293" s="143"/>
      <c r="Y293" s="143"/>
      <c r="Z293" s="10"/>
      <c r="AA293" s="155"/>
      <c r="AB293" s="155"/>
      <c r="AC293" s="143"/>
      <c r="AD293" s="16"/>
      <c r="AE293" s="16"/>
      <c r="AF293" s="143"/>
      <c r="AG293" s="143"/>
      <c r="AH293" s="143"/>
      <c r="AI293" s="143"/>
      <c r="AJ293" s="143"/>
      <c r="AK293" s="16"/>
      <c r="AL293" s="16"/>
      <c r="AM293" s="143"/>
      <c r="AN293" s="177">
        <f>SUM(P293:AM293)-O293</f>
        <v>0</v>
      </c>
    </row>
    <row r="294" spans="1:40" ht="15" thickBot="1" x14ac:dyDescent="0.4">
      <c r="A294" s="40">
        <v>4543</v>
      </c>
      <c r="B294" s="79" t="s">
        <v>329</v>
      </c>
      <c r="C294" s="46">
        <v>766622</v>
      </c>
      <c r="D294" s="97">
        <v>0</v>
      </c>
      <c r="E294" s="39">
        <f>C294+D294</f>
        <v>766622</v>
      </c>
      <c r="F294" s="23">
        <v>407065</v>
      </c>
      <c r="G294" s="23">
        <v>0</v>
      </c>
      <c r="H294" s="38">
        <f>F294+G294</f>
        <v>407065</v>
      </c>
      <c r="I294" s="38">
        <f>E294-H294</f>
        <v>359557</v>
      </c>
      <c r="J294" s="23">
        <v>0</v>
      </c>
      <c r="K294" s="23">
        <v>0</v>
      </c>
      <c r="L294" s="46">
        <v>0</v>
      </c>
      <c r="M294" s="46">
        <v>0</v>
      </c>
      <c r="N294" s="46">
        <v>0</v>
      </c>
      <c r="O294" s="46">
        <v>0</v>
      </c>
      <c r="P294" s="78">
        <f>I294-M294-J294-K294-N294-L294</f>
        <v>359557</v>
      </c>
      <c r="Q294" s="155"/>
      <c r="R294" s="155"/>
      <c r="S294" s="45">
        <f>IF(J294+K294+L294+M294+N294&lt;VLOOKUP(A294,Eligibility!$A$3:$F$423,6,0),J294+K294+L294+M294+N294,VLOOKUP(A294,Eligibility!$A$3:$F$423,6,0))</f>
        <v>0</v>
      </c>
      <c r="T294" s="155"/>
      <c r="U294" s="155"/>
      <c r="V294" s="39"/>
      <c r="W294" s="155"/>
      <c r="X294" s="144"/>
      <c r="Y294" s="143"/>
      <c r="Z294" s="39"/>
      <c r="AA294" s="155"/>
      <c r="AB294" s="155"/>
      <c r="AC294" s="143"/>
      <c r="AD294" s="38"/>
      <c r="AE294" s="38"/>
      <c r="AF294" s="144"/>
      <c r="AG294" s="143"/>
      <c r="AH294" s="143"/>
      <c r="AI294" s="143"/>
      <c r="AJ294" s="143"/>
      <c r="AK294" s="38"/>
      <c r="AL294" s="38"/>
      <c r="AM294" s="143"/>
      <c r="AN294" s="177">
        <f>SUM(P294:AM294)-O294</f>
        <v>359557</v>
      </c>
    </row>
    <row r="295" spans="1:40" ht="15" thickBot="1" x14ac:dyDescent="0.4">
      <c r="A295" s="40">
        <v>4557</v>
      </c>
      <c r="B295" s="79" t="s">
        <v>330</v>
      </c>
      <c r="C295" s="46">
        <v>845332</v>
      </c>
      <c r="D295" s="97">
        <v>0</v>
      </c>
      <c r="E295" s="10">
        <f>C295+D295</f>
        <v>845332</v>
      </c>
      <c r="F295" s="23">
        <v>222896</v>
      </c>
      <c r="G295" s="23">
        <v>0</v>
      </c>
      <c r="H295" s="16">
        <f>F295+G295</f>
        <v>222896</v>
      </c>
      <c r="I295" s="16">
        <f>E295-H295</f>
        <v>622436</v>
      </c>
      <c r="J295" s="23">
        <v>0</v>
      </c>
      <c r="K295" s="23">
        <v>0</v>
      </c>
      <c r="L295" s="46">
        <v>0</v>
      </c>
      <c r="M295" s="46">
        <v>0</v>
      </c>
      <c r="N295" s="46">
        <v>0</v>
      </c>
      <c r="O295" s="46">
        <v>0</v>
      </c>
      <c r="P295" s="78">
        <f>I295-M295-J295-K295-N295-L295</f>
        <v>622436</v>
      </c>
      <c r="Q295" s="155"/>
      <c r="R295" s="155"/>
      <c r="S295" s="45">
        <f>IF(J295+K295+L295+M295+N295&lt;VLOOKUP(A295,Eligibility!$A$3:$F$423,6,0),J295+K295+L295+M295+N295,VLOOKUP(A295,Eligibility!$A$3:$F$423,6,0))</f>
        <v>0</v>
      </c>
      <c r="T295" s="155"/>
      <c r="U295" s="155"/>
      <c r="V295" s="39"/>
      <c r="W295" s="155"/>
      <c r="X295" s="143"/>
      <c r="Y295" s="143"/>
      <c r="Z295" s="10"/>
      <c r="AA295" s="155"/>
      <c r="AB295" s="155"/>
      <c r="AC295" s="143"/>
      <c r="AD295" s="16"/>
      <c r="AE295" s="16"/>
      <c r="AF295" s="143"/>
      <c r="AG295" s="143"/>
      <c r="AH295" s="143"/>
      <c r="AI295" s="143"/>
      <c r="AJ295" s="143"/>
      <c r="AK295" s="16"/>
      <c r="AL295" s="16"/>
      <c r="AM295" s="143"/>
      <c r="AN295" s="177">
        <f>SUM(P295:AM295)-O295</f>
        <v>622436</v>
      </c>
    </row>
    <row r="296" spans="1:40" ht="15" thickBot="1" x14ac:dyDescent="0.4">
      <c r="A296" s="40">
        <v>4571</v>
      </c>
      <c r="B296" s="79" t="s">
        <v>331</v>
      </c>
      <c r="C296" s="46">
        <v>382062</v>
      </c>
      <c r="D296" s="97">
        <v>0</v>
      </c>
      <c r="E296" s="10">
        <f>C296+D296</f>
        <v>382062</v>
      </c>
      <c r="F296" s="23">
        <v>655305</v>
      </c>
      <c r="G296" s="23">
        <v>0</v>
      </c>
      <c r="H296" s="16">
        <f>F296+G296</f>
        <v>655305</v>
      </c>
      <c r="I296" s="16">
        <f>E296-H296</f>
        <v>-273243</v>
      </c>
      <c r="J296" s="23">
        <v>0</v>
      </c>
      <c r="K296" s="23">
        <v>0</v>
      </c>
      <c r="L296" s="46">
        <v>0</v>
      </c>
      <c r="M296" s="46">
        <v>0</v>
      </c>
      <c r="N296" s="46">
        <v>10433</v>
      </c>
      <c r="O296" s="46">
        <v>0</v>
      </c>
      <c r="P296" s="78">
        <f>I296-M296-J296-K296-N296-L296</f>
        <v>-283676</v>
      </c>
      <c r="Q296" s="155"/>
      <c r="R296" s="155"/>
      <c r="S296" s="45">
        <f>IF(-$P296&lt;VLOOKUP(A296,Eligibility!$A$3:$F$423,6,0),-P296,VLOOKUP(A296,Eligibility!$A$3:$F$423,6,0))</f>
        <v>283676</v>
      </c>
      <c r="T296" s="155"/>
      <c r="U296" s="155"/>
      <c r="V296" s="39"/>
      <c r="W296" s="155"/>
      <c r="X296" s="143"/>
      <c r="Y296" s="143"/>
      <c r="Z296" s="10"/>
      <c r="AA296" s="155"/>
      <c r="AB296" s="155"/>
      <c r="AC296" s="143"/>
      <c r="AD296" s="16"/>
      <c r="AE296" s="16"/>
      <c r="AF296" s="143"/>
      <c r="AG296" s="143"/>
      <c r="AH296" s="143"/>
      <c r="AI296" s="143"/>
      <c r="AJ296" s="143"/>
      <c r="AK296" s="16"/>
      <c r="AL296" s="16"/>
      <c r="AM296" s="143"/>
      <c r="AN296" s="177">
        <f>SUM(P296:AM296)-O296</f>
        <v>0</v>
      </c>
    </row>
    <row r="297" spans="1:40" ht="15" thickBot="1" x14ac:dyDescent="0.4">
      <c r="A297" s="40">
        <v>4578</v>
      </c>
      <c r="B297" s="79" t="s">
        <v>332</v>
      </c>
      <c r="C297" s="46">
        <v>266385</v>
      </c>
      <c r="D297" s="97">
        <v>0</v>
      </c>
      <c r="E297" s="10">
        <f>C297+D297</f>
        <v>266385</v>
      </c>
      <c r="F297" s="23">
        <v>863938</v>
      </c>
      <c r="G297" s="23">
        <v>0</v>
      </c>
      <c r="H297" s="16">
        <f>F297+G297</f>
        <v>863938</v>
      </c>
      <c r="I297" s="16">
        <f>E297-H297</f>
        <v>-597553</v>
      </c>
      <c r="J297" s="23">
        <v>0</v>
      </c>
      <c r="K297" s="23">
        <v>0</v>
      </c>
      <c r="L297" s="46">
        <v>0</v>
      </c>
      <c r="M297" s="46">
        <v>0</v>
      </c>
      <c r="N297" s="46">
        <v>0</v>
      </c>
      <c r="O297" s="46">
        <v>0</v>
      </c>
      <c r="P297" s="78">
        <f>I297-M297-J297-K297-N297-L297</f>
        <v>-597553</v>
      </c>
      <c r="Q297" s="155"/>
      <c r="R297" s="155"/>
      <c r="S297" s="45">
        <f>IF(-$P297&lt;VLOOKUP(A297,Eligibility!$A$3:$F$423,6,0),-P297,VLOOKUP(A297,Eligibility!$A$3:$F$423,6,0))</f>
        <v>597553</v>
      </c>
      <c r="T297" s="155"/>
      <c r="U297" s="155"/>
      <c r="V297" s="39"/>
      <c r="W297" s="155"/>
      <c r="X297" s="143"/>
      <c r="Y297" s="143"/>
      <c r="Z297" s="10"/>
      <c r="AA297" s="155"/>
      <c r="AB297" s="155"/>
      <c r="AC297" s="143"/>
      <c r="AD297" s="16"/>
      <c r="AE297" s="16"/>
      <c r="AF297" s="143"/>
      <c r="AG297" s="143"/>
      <c r="AH297" s="143"/>
      <c r="AI297" s="143"/>
      <c r="AJ297" s="143"/>
      <c r="AK297" s="16"/>
      <c r="AL297" s="16"/>
      <c r="AM297" s="143"/>
      <c r="AN297" s="177">
        <f>SUM(P297:AM297)-O297</f>
        <v>0</v>
      </c>
    </row>
    <row r="298" spans="1:40" ht="15" thickBot="1" x14ac:dyDescent="0.4">
      <c r="A298" s="40">
        <v>4606</v>
      </c>
      <c r="B298" s="79" t="s">
        <v>48</v>
      </c>
      <c r="C298" s="46">
        <v>170421</v>
      </c>
      <c r="D298" s="97">
        <v>0</v>
      </c>
      <c r="E298" s="10">
        <f>C298+D298</f>
        <v>170421</v>
      </c>
      <c r="F298" s="23">
        <v>576629</v>
      </c>
      <c r="G298" s="23">
        <v>0</v>
      </c>
      <c r="H298" s="16">
        <f>F298+G298</f>
        <v>576629</v>
      </c>
      <c r="I298" s="16">
        <f>E298-H298</f>
        <v>-406208</v>
      </c>
      <c r="J298" s="23">
        <v>17892</v>
      </c>
      <c r="K298" s="23">
        <v>0</v>
      </c>
      <c r="L298" s="46">
        <v>0</v>
      </c>
      <c r="M298" s="46">
        <v>0</v>
      </c>
      <c r="N298" s="46">
        <v>0</v>
      </c>
      <c r="O298" s="46">
        <v>0</v>
      </c>
      <c r="P298" s="78">
        <f>I298-M298-J298-K298-N298-L298</f>
        <v>-424100</v>
      </c>
      <c r="Q298" s="155"/>
      <c r="R298" s="155">
        <v>90562</v>
      </c>
      <c r="S298" s="45">
        <f>IF(-$P298&lt;VLOOKUP(A298,Eligibility!$A$3:$F$423,6,0),-P298,VLOOKUP(A298,Eligibility!$A$3:$F$423,6,0))</f>
        <v>333538</v>
      </c>
      <c r="T298" s="155"/>
      <c r="U298" s="155"/>
      <c r="V298" s="39"/>
      <c r="W298" s="155"/>
      <c r="X298" s="143"/>
      <c r="Y298" s="143"/>
      <c r="Z298" s="10"/>
      <c r="AA298" s="155"/>
      <c r="AB298" s="155"/>
      <c r="AC298" s="143"/>
      <c r="AD298" s="16"/>
      <c r="AE298" s="16"/>
      <c r="AF298" s="143"/>
      <c r="AG298" s="143"/>
      <c r="AH298" s="143"/>
      <c r="AI298" s="143"/>
      <c r="AJ298" s="143"/>
      <c r="AK298" s="16"/>
      <c r="AL298" s="16"/>
      <c r="AM298" s="143"/>
      <c r="AN298" s="177">
        <f>SUM(P298:AM298)-O298</f>
        <v>0</v>
      </c>
    </row>
    <row r="299" spans="1:40" ht="15" thickBot="1" x14ac:dyDescent="0.4">
      <c r="A299" s="40">
        <v>4613</v>
      </c>
      <c r="B299" s="79" t="s">
        <v>333</v>
      </c>
      <c r="C299" s="46">
        <v>2008512</v>
      </c>
      <c r="D299" s="97">
        <v>0</v>
      </c>
      <c r="E299" s="10">
        <f>C299+D299</f>
        <v>2008512</v>
      </c>
      <c r="F299" s="23">
        <v>3371778</v>
      </c>
      <c r="G299" s="23">
        <v>0</v>
      </c>
      <c r="H299" s="16">
        <f>F299+G299</f>
        <v>3371778</v>
      </c>
      <c r="I299" s="16">
        <f>E299-H299</f>
        <v>-1363266</v>
      </c>
      <c r="J299" s="23">
        <v>368614</v>
      </c>
      <c r="K299" s="23">
        <v>3244.25</v>
      </c>
      <c r="L299" s="46">
        <v>0</v>
      </c>
      <c r="M299" s="46">
        <v>0</v>
      </c>
      <c r="N299" s="46">
        <v>0</v>
      </c>
      <c r="O299" s="46">
        <v>0</v>
      </c>
      <c r="P299" s="78">
        <f>I299-M299-J299-K299-N299-L299</f>
        <v>-1735124.25</v>
      </c>
      <c r="Q299" s="155"/>
      <c r="R299" s="155"/>
      <c r="S299" s="45">
        <f>IF(-$P299&lt;VLOOKUP(A299,Eligibility!$A$3:$F$423,6,0),-P299,VLOOKUP(A299,Eligibility!$A$3:$F$423,6,0))</f>
        <v>1735124.25</v>
      </c>
      <c r="T299" s="155"/>
      <c r="U299" s="155"/>
      <c r="V299" s="39"/>
      <c r="W299" s="155"/>
      <c r="X299" s="143"/>
      <c r="Y299" s="143"/>
      <c r="Z299" s="10"/>
      <c r="AA299" s="155"/>
      <c r="AB299" s="155"/>
      <c r="AC299" s="143"/>
      <c r="AD299" s="16"/>
      <c r="AE299" s="16"/>
      <c r="AF299" s="143"/>
      <c r="AG299" s="143"/>
      <c r="AH299" s="143"/>
      <c r="AI299" s="143"/>
      <c r="AJ299" s="143"/>
      <c r="AK299" s="16"/>
      <c r="AL299" s="16"/>
      <c r="AM299" s="143"/>
      <c r="AN299" s="177">
        <f>SUM(P299:AM299)-O299</f>
        <v>0</v>
      </c>
    </row>
    <row r="300" spans="1:40" ht="15" thickBot="1" x14ac:dyDescent="0.4">
      <c r="A300" s="40">
        <v>4620</v>
      </c>
      <c r="B300" s="79" t="s">
        <v>334</v>
      </c>
      <c r="C300" s="46">
        <v>332972</v>
      </c>
      <c r="D300" s="97">
        <v>8125</v>
      </c>
      <c r="E300" s="10">
        <f>C300+D300</f>
        <v>341097</v>
      </c>
      <c r="F300" s="23">
        <v>13854017</v>
      </c>
      <c r="G300" s="23">
        <v>59103</v>
      </c>
      <c r="H300" s="16">
        <f>F300+G300</f>
        <v>13913120</v>
      </c>
      <c r="I300" s="16">
        <f>E300-H300</f>
        <v>-13572023</v>
      </c>
      <c r="J300" s="23">
        <v>25506184.050000001</v>
      </c>
      <c r="K300" s="23">
        <v>695027</v>
      </c>
      <c r="L300" s="46">
        <v>0</v>
      </c>
      <c r="M300" s="46">
        <v>49414.19</v>
      </c>
      <c r="N300" s="46">
        <v>0</v>
      </c>
      <c r="O300" s="46">
        <v>0</v>
      </c>
      <c r="P300" s="78">
        <f>I300-M300-J300-K300-N300-L300</f>
        <v>-39822648.240000002</v>
      </c>
      <c r="Q300" s="155"/>
      <c r="R300" s="155"/>
      <c r="S300" s="45">
        <f>IF(-$P300&lt;VLOOKUP(A300,Eligibility!$A$3:$F$423,6,0),-P300,VLOOKUP(A300,Eligibility!$A$3:$F$423,6,0))</f>
        <v>39822648.240000002</v>
      </c>
      <c r="T300" s="155"/>
      <c r="U300" s="155"/>
      <c r="V300" s="39"/>
      <c r="W300" s="155"/>
      <c r="X300" s="143"/>
      <c r="Y300" s="143"/>
      <c r="Z300" s="10"/>
      <c r="AA300" s="155"/>
      <c r="AB300" s="155"/>
      <c r="AC300" s="143"/>
      <c r="AD300" s="16"/>
      <c r="AE300" s="16"/>
      <c r="AF300" s="143"/>
      <c r="AG300" s="143"/>
      <c r="AH300" s="143"/>
      <c r="AI300" s="143"/>
      <c r="AJ300" s="143"/>
      <c r="AK300" s="16"/>
      <c r="AL300" s="16"/>
      <c r="AM300" s="143"/>
      <c r="AN300" s="177">
        <f>SUM(P300:AM300)-O300</f>
        <v>0</v>
      </c>
    </row>
    <row r="301" spans="1:40" ht="15" thickBot="1" x14ac:dyDescent="0.4">
      <c r="A301" s="40">
        <v>4627</v>
      </c>
      <c r="B301" s="79" t="s">
        <v>335</v>
      </c>
      <c r="C301" s="46">
        <v>1414438</v>
      </c>
      <c r="D301" s="97">
        <v>0</v>
      </c>
      <c r="E301" s="10">
        <f>C301+D301</f>
        <v>1414438</v>
      </c>
      <c r="F301" s="23">
        <v>719497</v>
      </c>
      <c r="G301" s="23">
        <v>0</v>
      </c>
      <c r="H301" s="16">
        <f>F301+G301</f>
        <v>719497</v>
      </c>
      <c r="I301" s="16">
        <f>E301-H301</f>
        <v>694941</v>
      </c>
      <c r="J301" s="23">
        <v>16600</v>
      </c>
      <c r="K301" s="23">
        <v>0</v>
      </c>
      <c r="L301" s="46">
        <v>0</v>
      </c>
      <c r="M301" s="46">
        <v>0</v>
      </c>
      <c r="N301" s="46">
        <v>0</v>
      </c>
      <c r="O301" s="46">
        <v>0</v>
      </c>
      <c r="P301" s="78">
        <f>I301-M301-J301-K301-N301-L301</f>
        <v>678341</v>
      </c>
      <c r="Q301" s="155"/>
      <c r="R301" s="155"/>
      <c r="S301" s="45">
        <f>IF(J301+K301+L301+M301+N301&lt;VLOOKUP(A301,Eligibility!$A$3:$F$423,6,0),J301+K301+L301+M301+N301,VLOOKUP(A301,Eligibility!$A$3:$F$423,6,0))</f>
        <v>16600</v>
      </c>
      <c r="T301" s="155"/>
      <c r="U301" s="155"/>
      <c r="V301" s="39"/>
      <c r="W301" s="155"/>
      <c r="X301" s="143"/>
      <c r="Y301" s="143"/>
      <c r="Z301" s="10"/>
      <c r="AA301" s="155"/>
      <c r="AB301" s="155"/>
      <c r="AC301" s="143"/>
      <c r="AD301" s="16"/>
      <c r="AE301" s="16"/>
      <c r="AF301" s="143"/>
      <c r="AG301" s="143"/>
      <c r="AH301" s="143"/>
      <c r="AI301" s="143"/>
      <c r="AJ301" s="143"/>
      <c r="AK301" s="16"/>
      <c r="AL301" s="16"/>
      <c r="AM301" s="143"/>
      <c r="AN301" s="177">
        <f>SUM(P301:AM301)-O301</f>
        <v>694941</v>
      </c>
    </row>
    <row r="302" spans="1:40" ht="15" thickBot="1" x14ac:dyDescent="0.4">
      <c r="A302" s="40">
        <v>4634</v>
      </c>
      <c r="B302" s="79" t="s">
        <v>336</v>
      </c>
      <c r="C302" s="46">
        <v>745699</v>
      </c>
      <c r="D302" s="97">
        <v>0</v>
      </c>
      <c r="E302" s="10">
        <f>C302+D302</f>
        <v>745699</v>
      </c>
      <c r="F302" s="23">
        <v>339240</v>
      </c>
      <c r="G302" s="23">
        <v>0</v>
      </c>
      <c r="H302" s="16">
        <f>F302+G302</f>
        <v>339240</v>
      </c>
      <c r="I302" s="16">
        <f>E302-H302</f>
        <v>406459</v>
      </c>
      <c r="J302" s="23">
        <v>150418</v>
      </c>
      <c r="K302" s="23">
        <v>47877</v>
      </c>
      <c r="L302" s="46">
        <v>0</v>
      </c>
      <c r="M302" s="46">
        <v>0</v>
      </c>
      <c r="N302" s="46">
        <v>0</v>
      </c>
      <c r="O302" s="46">
        <v>0</v>
      </c>
      <c r="P302" s="78">
        <f>I302-M302-J302-K302-N302-L302</f>
        <v>208164</v>
      </c>
      <c r="Q302" s="155"/>
      <c r="R302" s="155"/>
      <c r="S302" s="45">
        <f>IF(J302+K302+L302+M302+N302&lt;VLOOKUP(A302,Eligibility!$A$3:$F$423,6,0),J302+K302+L302+M302+N302,VLOOKUP(A302,Eligibility!$A$3:$F$423,6,0))</f>
        <v>198295</v>
      </c>
      <c r="T302" s="155"/>
      <c r="U302" s="155"/>
      <c r="V302" s="39"/>
      <c r="W302" s="155"/>
      <c r="X302" s="143"/>
      <c r="Y302" s="143"/>
      <c r="Z302" s="10"/>
      <c r="AA302" s="155"/>
      <c r="AB302" s="155"/>
      <c r="AC302" s="143"/>
      <c r="AD302" s="16"/>
      <c r="AE302" s="16"/>
      <c r="AF302" s="143"/>
      <c r="AG302" s="143"/>
      <c r="AH302" s="143"/>
      <c r="AI302" s="143"/>
      <c r="AJ302" s="143"/>
      <c r="AK302" s="16"/>
      <c r="AL302" s="16"/>
      <c r="AM302" s="143"/>
      <c r="AN302" s="177">
        <f>SUM(P302:AM302)-O302</f>
        <v>406459</v>
      </c>
    </row>
    <row r="303" spans="1:40" ht="15" thickBot="1" x14ac:dyDescent="0.4">
      <c r="A303" s="40">
        <v>4641</v>
      </c>
      <c r="B303" s="79" t="s">
        <v>337</v>
      </c>
      <c r="C303" s="46">
        <v>565699</v>
      </c>
      <c r="D303" s="97">
        <v>0</v>
      </c>
      <c r="E303" s="10">
        <f>C303+D303</f>
        <v>565699</v>
      </c>
      <c r="F303" s="23">
        <v>1095448</v>
      </c>
      <c r="G303" s="23">
        <v>0</v>
      </c>
      <c r="H303" s="16">
        <f>F303+G303</f>
        <v>1095448</v>
      </c>
      <c r="I303" s="16">
        <f>E303-H303</f>
        <v>-529749</v>
      </c>
      <c r="J303" s="23">
        <v>22365</v>
      </c>
      <c r="K303" s="23">
        <v>0</v>
      </c>
      <c r="L303" s="46">
        <v>0</v>
      </c>
      <c r="M303" s="46">
        <v>0</v>
      </c>
      <c r="N303" s="46">
        <v>0</v>
      </c>
      <c r="O303" s="46">
        <v>0</v>
      </c>
      <c r="P303" s="78">
        <f>I303-M303-J303-K303-N303-L303</f>
        <v>-552114</v>
      </c>
      <c r="Q303" s="155"/>
      <c r="R303" s="155"/>
      <c r="S303" s="45">
        <f>IF(-$P303&lt;VLOOKUP(A303,Eligibility!$A$3:$F$423,6,0),-P303,VLOOKUP(A303,Eligibility!$A$3:$F$423,6,0))</f>
        <v>552114</v>
      </c>
      <c r="T303" s="155"/>
      <c r="U303" s="155"/>
      <c r="V303" s="39"/>
      <c r="W303" s="155"/>
      <c r="X303" s="143"/>
      <c r="Y303" s="143"/>
      <c r="Z303" s="10"/>
      <c r="AA303" s="155"/>
      <c r="AB303" s="155"/>
      <c r="AC303" s="143"/>
      <c r="AD303" s="16"/>
      <c r="AE303" s="16"/>
      <c r="AF303" s="143"/>
      <c r="AG303" s="143"/>
      <c r="AH303" s="143"/>
      <c r="AI303" s="143"/>
      <c r="AJ303" s="143"/>
      <c r="AK303" s="16"/>
      <c r="AL303" s="16"/>
      <c r="AM303" s="143"/>
      <c r="AN303" s="177">
        <f>SUM(P303:AM303)-O303</f>
        <v>0</v>
      </c>
    </row>
    <row r="304" spans="1:40" ht="15" thickBot="1" x14ac:dyDescent="0.4">
      <c r="A304" s="40">
        <v>4686</v>
      </c>
      <c r="B304" s="79" t="s">
        <v>338</v>
      </c>
      <c r="C304" s="46">
        <v>978320</v>
      </c>
      <c r="D304" s="97">
        <v>0</v>
      </c>
      <c r="E304" s="10">
        <f>C304+D304</f>
        <v>978320</v>
      </c>
      <c r="F304" s="23">
        <v>135463</v>
      </c>
      <c r="G304" s="23">
        <v>0</v>
      </c>
      <c r="H304" s="16">
        <f>F304+G304</f>
        <v>135463</v>
      </c>
      <c r="I304" s="16">
        <f>E304-H304</f>
        <v>842857</v>
      </c>
      <c r="J304" s="23">
        <v>45650</v>
      </c>
      <c r="K304" s="23">
        <v>0</v>
      </c>
      <c r="L304" s="46">
        <v>0</v>
      </c>
      <c r="M304" s="46">
        <v>0</v>
      </c>
      <c r="N304" s="46">
        <v>0</v>
      </c>
      <c r="O304" s="46">
        <v>0</v>
      </c>
      <c r="P304" s="78">
        <f>I304-M304-J304-K304-N304-L304</f>
        <v>797207</v>
      </c>
      <c r="Q304" s="155"/>
      <c r="R304" s="155"/>
      <c r="S304" s="45">
        <f>IF(J304+K304+L304+M304+N304&lt;VLOOKUP(A304,Eligibility!$A$3:$F$423,6,0),J304+K304+L304+M304+N304,VLOOKUP(A304,Eligibility!$A$3:$F$423,6,0))</f>
        <v>45650</v>
      </c>
      <c r="T304" s="155"/>
      <c r="U304" s="155"/>
      <c r="V304" s="39"/>
      <c r="W304" s="155"/>
      <c r="X304" s="143"/>
      <c r="Y304" s="143"/>
      <c r="Z304" s="10"/>
      <c r="AA304" s="155"/>
      <c r="AB304" s="155"/>
      <c r="AC304" s="143"/>
      <c r="AD304" s="16"/>
      <c r="AE304" s="16"/>
      <c r="AF304" s="143"/>
      <c r="AG304" s="143"/>
      <c r="AH304" s="143"/>
      <c r="AI304" s="143"/>
      <c r="AJ304" s="143"/>
      <c r="AK304" s="16"/>
      <c r="AL304" s="16"/>
      <c r="AM304" s="143"/>
      <c r="AN304" s="177">
        <f>SUM(P304:AM304)-O304</f>
        <v>842857</v>
      </c>
    </row>
    <row r="305" spans="1:40" ht="15" thickBot="1" x14ac:dyDescent="0.4">
      <c r="A305" s="40">
        <v>4753</v>
      </c>
      <c r="B305" s="79" t="s">
        <v>339</v>
      </c>
      <c r="C305" s="46">
        <v>1480833</v>
      </c>
      <c r="D305" s="97">
        <v>0</v>
      </c>
      <c r="E305" s="10">
        <f>C305+D305</f>
        <v>1480833</v>
      </c>
      <c r="F305" s="23">
        <v>1666343</v>
      </c>
      <c r="G305" s="23">
        <v>0</v>
      </c>
      <c r="H305" s="16">
        <f>F305+G305</f>
        <v>1666343</v>
      </c>
      <c r="I305" s="16">
        <f>E305-H305</f>
        <v>-185510</v>
      </c>
      <c r="J305" s="23">
        <v>331726</v>
      </c>
      <c r="K305" s="23">
        <v>0</v>
      </c>
      <c r="L305" s="46">
        <v>0</v>
      </c>
      <c r="M305" s="46">
        <v>14118.34</v>
      </c>
      <c r="N305" s="46">
        <v>0</v>
      </c>
      <c r="O305" s="46">
        <v>0</v>
      </c>
      <c r="P305" s="78">
        <f>I305-M305-J305-K305-N305-L305</f>
        <v>-531354.34</v>
      </c>
      <c r="Q305" s="155"/>
      <c r="R305" s="155"/>
      <c r="S305" s="45">
        <f>IF(-$P305&lt;VLOOKUP(A305,Eligibility!$A$3:$F$423,6,0),-P305,VLOOKUP(A305,Eligibility!$A$3:$F$423,6,0))</f>
        <v>531354.34</v>
      </c>
      <c r="T305" s="155"/>
      <c r="U305" s="155"/>
      <c r="V305" s="39"/>
      <c r="W305" s="155"/>
      <c r="X305" s="143"/>
      <c r="Y305" s="143"/>
      <c r="Z305" s="10"/>
      <c r="AA305" s="155"/>
      <c r="AB305" s="155"/>
      <c r="AC305" s="143"/>
      <c r="AD305" s="16"/>
      <c r="AE305" s="16"/>
      <c r="AF305" s="143"/>
      <c r="AG305" s="143"/>
      <c r="AH305" s="143"/>
      <c r="AI305" s="143"/>
      <c r="AJ305" s="143"/>
      <c r="AK305" s="16"/>
      <c r="AL305" s="16"/>
      <c r="AM305" s="143"/>
      <c r="AN305" s="177">
        <f>SUM(P305:AM305)-O305</f>
        <v>0</v>
      </c>
    </row>
    <row r="306" spans="1:40" ht="15" thickBot="1" x14ac:dyDescent="0.4">
      <c r="A306" s="40">
        <v>4760</v>
      </c>
      <c r="B306" s="79" t="s">
        <v>340</v>
      </c>
      <c r="C306" s="46">
        <v>540805</v>
      </c>
      <c r="D306" s="97">
        <v>0</v>
      </c>
      <c r="E306" s="10">
        <f>C306+D306</f>
        <v>540805</v>
      </c>
      <c r="F306" s="23">
        <v>1206685</v>
      </c>
      <c r="G306" s="23">
        <v>0</v>
      </c>
      <c r="H306" s="16">
        <f>F306+G306</f>
        <v>1206685</v>
      </c>
      <c r="I306" s="16">
        <f>E306-H306</f>
        <v>-665880</v>
      </c>
      <c r="J306" s="23">
        <v>279068</v>
      </c>
      <c r="K306" s="23">
        <v>0</v>
      </c>
      <c r="L306" s="46">
        <v>0</v>
      </c>
      <c r="M306" s="46">
        <v>0</v>
      </c>
      <c r="N306" s="46">
        <v>0</v>
      </c>
      <c r="O306" s="46">
        <v>0</v>
      </c>
      <c r="P306" s="78">
        <f>I306-M306-J306-K306-N306-L306</f>
        <v>-944948</v>
      </c>
      <c r="Q306" s="155"/>
      <c r="R306" s="155"/>
      <c r="S306" s="45">
        <f>IF(-$P306&lt;VLOOKUP(A306,Eligibility!$A$3:$F$423,6,0),-P306,VLOOKUP(A306,Eligibility!$A$3:$F$423,6,0))</f>
        <v>944948</v>
      </c>
      <c r="T306" s="155"/>
      <c r="U306" s="155"/>
      <c r="V306" s="39"/>
      <c r="W306" s="155"/>
      <c r="X306" s="143"/>
      <c r="Y306" s="143"/>
      <c r="Z306" s="10"/>
      <c r="AA306" s="155"/>
      <c r="AB306" s="155"/>
      <c r="AC306" s="143"/>
      <c r="AD306" s="16"/>
      <c r="AE306" s="16"/>
      <c r="AF306" s="143"/>
      <c r="AG306" s="143"/>
      <c r="AH306" s="143"/>
      <c r="AI306" s="143"/>
      <c r="AJ306" s="143"/>
      <c r="AK306" s="16"/>
      <c r="AL306" s="16"/>
      <c r="AM306" s="143"/>
      <c r="AN306" s="177">
        <f>SUM(P306:AM306)-O306</f>
        <v>0</v>
      </c>
    </row>
    <row r="307" spans="1:40" ht="15" thickBot="1" x14ac:dyDescent="0.4">
      <c r="A307" s="40">
        <v>4781</v>
      </c>
      <c r="B307" s="79" t="s">
        <v>341</v>
      </c>
      <c r="C307" s="46">
        <v>353592</v>
      </c>
      <c r="D307" s="97">
        <v>0</v>
      </c>
      <c r="E307" s="10">
        <f>C307+D307</f>
        <v>353592</v>
      </c>
      <c r="F307" s="23">
        <v>1398321</v>
      </c>
      <c r="G307" s="23">
        <v>0</v>
      </c>
      <c r="H307" s="16">
        <f>F307+G307</f>
        <v>1398321</v>
      </c>
      <c r="I307" s="16">
        <f>E307-H307</f>
        <v>-1044729</v>
      </c>
      <c r="J307" s="23">
        <v>17892</v>
      </c>
      <c r="K307" s="23">
        <v>0</v>
      </c>
      <c r="L307" s="46">
        <v>0</v>
      </c>
      <c r="M307" s="46">
        <v>14118.34</v>
      </c>
      <c r="N307" s="46">
        <v>0</v>
      </c>
      <c r="O307" s="46">
        <v>0</v>
      </c>
      <c r="P307" s="78">
        <f>I307-M307-J307-K307-N307-L307</f>
        <v>-1076739.3400000001</v>
      </c>
      <c r="Q307" s="155"/>
      <c r="R307" s="155"/>
      <c r="S307" s="45">
        <f>IF(-$P307&lt;VLOOKUP(A307,Eligibility!$A$3:$F$423,6,0),-P307,VLOOKUP(A307,Eligibility!$A$3:$F$423,6,0))</f>
        <v>1076739.3400000001</v>
      </c>
      <c r="T307" s="155"/>
      <c r="U307" s="155"/>
      <c r="V307" s="39"/>
      <c r="W307" s="155"/>
      <c r="X307" s="143"/>
      <c r="Y307" s="143"/>
      <c r="Z307" s="10"/>
      <c r="AA307" s="155"/>
      <c r="AB307" s="155"/>
      <c r="AC307" s="143"/>
      <c r="AD307" s="16"/>
      <c r="AE307" s="16"/>
      <c r="AF307" s="143"/>
      <c r="AG307" s="143"/>
      <c r="AH307" s="143"/>
      <c r="AI307" s="143"/>
      <c r="AJ307" s="143"/>
      <c r="AK307" s="16"/>
      <c r="AL307" s="16"/>
      <c r="AM307" s="143"/>
      <c r="AN307" s="177">
        <f>SUM(P307:AM307)-O307</f>
        <v>0</v>
      </c>
    </row>
    <row r="308" spans="1:40" ht="15" thickBot="1" x14ac:dyDescent="0.4">
      <c r="A308" s="40">
        <v>4795</v>
      </c>
      <c r="B308" s="79" t="s">
        <v>342</v>
      </c>
      <c r="C308" s="46">
        <v>405542</v>
      </c>
      <c r="D308" s="97">
        <v>0</v>
      </c>
      <c r="E308" s="10">
        <f>C308+D308</f>
        <v>405542</v>
      </c>
      <c r="F308" s="23">
        <v>402698</v>
      </c>
      <c r="G308" s="23">
        <v>0</v>
      </c>
      <c r="H308" s="16">
        <f>F308+G308</f>
        <v>402698</v>
      </c>
      <c r="I308" s="16">
        <f>E308-H308</f>
        <v>2844</v>
      </c>
      <c r="J308" s="23">
        <v>0</v>
      </c>
      <c r="K308" s="23">
        <v>0</v>
      </c>
      <c r="L308" s="46">
        <v>0</v>
      </c>
      <c r="M308" s="46">
        <v>0</v>
      </c>
      <c r="N308" s="46">
        <v>20000</v>
      </c>
      <c r="O308" s="46">
        <v>0</v>
      </c>
      <c r="P308" s="78">
        <f>I308-M308-J308-K308-N308-L308</f>
        <v>-17156</v>
      </c>
      <c r="Q308" s="155"/>
      <c r="R308" s="155"/>
      <c r="S308" s="45">
        <f>IF(J308+K308+L308+M308+N308&lt;VLOOKUP(A308,Eligibility!$A$3:$F$423,6,0),J308+K308+L308+M308+N308,VLOOKUP(A308,Eligibility!$A$3:$F$423,6,0))</f>
        <v>20000</v>
      </c>
      <c r="T308" s="155"/>
      <c r="U308" s="155"/>
      <c r="V308" s="39"/>
      <c r="W308" s="155"/>
      <c r="X308" s="143"/>
      <c r="Y308" s="143"/>
      <c r="Z308" s="10"/>
      <c r="AA308" s="155"/>
      <c r="AB308" s="155"/>
      <c r="AC308" s="143"/>
      <c r="AD308" s="16"/>
      <c r="AE308" s="16"/>
      <c r="AF308" s="143"/>
      <c r="AG308" s="143"/>
      <c r="AH308" s="143"/>
      <c r="AI308" s="143"/>
      <c r="AJ308" s="143"/>
      <c r="AK308" s="16"/>
      <c r="AL308" s="16"/>
      <c r="AM308" s="143"/>
      <c r="AN308" s="177">
        <f>SUM(P308:AM308)-O308</f>
        <v>2844</v>
      </c>
    </row>
    <row r="309" spans="1:40" ht="15" thickBot="1" x14ac:dyDescent="0.4">
      <c r="A309" s="40">
        <v>4802</v>
      </c>
      <c r="B309" s="79" t="s">
        <v>343</v>
      </c>
      <c r="C309" s="46">
        <v>1274827</v>
      </c>
      <c r="D309" s="97">
        <v>0</v>
      </c>
      <c r="E309" s="10">
        <f>C309+D309</f>
        <v>1274827</v>
      </c>
      <c r="F309" s="23">
        <v>1526079</v>
      </c>
      <c r="G309" s="23">
        <v>0</v>
      </c>
      <c r="H309" s="16">
        <f>F309+G309</f>
        <v>1526079</v>
      </c>
      <c r="I309" s="16">
        <f>E309-H309</f>
        <v>-251252</v>
      </c>
      <c r="J309" s="23">
        <v>128650</v>
      </c>
      <c r="K309" s="23">
        <v>0</v>
      </c>
      <c r="L309" s="46">
        <v>0</v>
      </c>
      <c r="M309" s="46">
        <v>0</v>
      </c>
      <c r="N309" s="46">
        <v>1</v>
      </c>
      <c r="O309" s="46">
        <v>0</v>
      </c>
      <c r="P309" s="78">
        <f>I309-M309-J309-K309-N309-L309</f>
        <v>-379903</v>
      </c>
      <c r="Q309" s="155"/>
      <c r="R309" s="155"/>
      <c r="S309" s="45">
        <f>IF(-$P309&lt;VLOOKUP(A309,Eligibility!$A$3:$F$423,6,0),-P309,VLOOKUP(A309,Eligibility!$A$3:$F$423,6,0))</f>
        <v>379903</v>
      </c>
      <c r="T309" s="155"/>
      <c r="U309" s="155"/>
      <c r="V309" s="39"/>
      <c r="W309" s="155"/>
      <c r="X309" s="143"/>
      <c r="Y309" s="143"/>
      <c r="Z309" s="10"/>
      <c r="AA309" s="155"/>
      <c r="AB309" s="155"/>
      <c r="AC309" s="143"/>
      <c r="AD309" s="16"/>
      <c r="AE309" s="16"/>
      <c r="AF309" s="143"/>
      <c r="AG309" s="143"/>
      <c r="AH309" s="143"/>
      <c r="AI309" s="143"/>
      <c r="AJ309" s="143"/>
      <c r="AK309" s="16"/>
      <c r="AL309" s="16"/>
      <c r="AM309" s="143"/>
      <c r="AN309" s="177">
        <f>SUM(P309:AM309)-O309</f>
        <v>0</v>
      </c>
    </row>
    <row r="310" spans="1:40" ht="15" thickBot="1" x14ac:dyDescent="0.4">
      <c r="A310" s="40">
        <v>4851</v>
      </c>
      <c r="B310" s="79" t="s">
        <v>344</v>
      </c>
      <c r="C310" s="46">
        <v>624110</v>
      </c>
      <c r="D310" s="97">
        <v>0</v>
      </c>
      <c r="E310" s="10">
        <f>C310+D310</f>
        <v>624110</v>
      </c>
      <c r="F310" s="23">
        <v>1966011</v>
      </c>
      <c r="G310" s="23">
        <v>0</v>
      </c>
      <c r="H310" s="16">
        <f>F310+G310</f>
        <v>1966011</v>
      </c>
      <c r="I310" s="16">
        <f>E310-H310</f>
        <v>-1341901</v>
      </c>
      <c r="J310" s="23">
        <v>153550</v>
      </c>
      <c r="K310" s="23">
        <v>0</v>
      </c>
      <c r="L310" s="46">
        <v>0</v>
      </c>
      <c r="M310" s="46">
        <v>0</v>
      </c>
      <c r="N310" s="46">
        <v>0</v>
      </c>
      <c r="O310" s="46">
        <v>0</v>
      </c>
      <c r="P310" s="78">
        <f>I310-M310-J310-K310-N310-L310</f>
        <v>-1495451</v>
      </c>
      <c r="Q310" s="155"/>
      <c r="R310" s="155"/>
      <c r="S310" s="45">
        <f>IF(-$P310&lt;VLOOKUP(A310,Eligibility!$A$3:$F$423,6,0),-P310,VLOOKUP(A310,Eligibility!$A$3:$F$423,6,0))</f>
        <v>1495451</v>
      </c>
      <c r="T310" s="155"/>
      <c r="U310" s="155"/>
      <c r="V310" s="39"/>
      <c r="W310" s="155"/>
      <c r="X310" s="143"/>
      <c r="Y310" s="143"/>
      <c r="Z310" s="10"/>
      <c r="AA310" s="155"/>
      <c r="AB310" s="155"/>
      <c r="AC310" s="143"/>
      <c r="AD310" s="16"/>
      <c r="AE310" s="16"/>
      <c r="AF310" s="143"/>
      <c r="AG310" s="143"/>
      <c r="AH310" s="143"/>
      <c r="AI310" s="143"/>
      <c r="AJ310" s="143"/>
      <c r="AK310" s="16"/>
      <c r="AL310" s="16"/>
      <c r="AM310" s="143"/>
      <c r="AN310" s="177">
        <f>SUM(P310:AM310)-O310</f>
        <v>0</v>
      </c>
    </row>
    <row r="311" spans="1:40" ht="15" thickBot="1" x14ac:dyDescent="0.4">
      <c r="A311" s="40">
        <v>3122</v>
      </c>
      <c r="B311" s="79" t="s">
        <v>345</v>
      </c>
      <c r="C311" s="46">
        <v>516733</v>
      </c>
      <c r="D311" s="97">
        <v>0</v>
      </c>
      <c r="E311" s="10">
        <f>C311+D311</f>
        <v>516733</v>
      </c>
      <c r="F311" s="23">
        <v>196580</v>
      </c>
      <c r="G311" s="23">
        <v>0</v>
      </c>
      <c r="H311" s="16">
        <f>F311+G311</f>
        <v>196580</v>
      </c>
      <c r="I311" s="16">
        <f>E311-H311</f>
        <v>320153</v>
      </c>
      <c r="J311" s="23">
        <v>37350</v>
      </c>
      <c r="K311" s="23">
        <v>13528.33</v>
      </c>
      <c r="L311" s="46">
        <v>0</v>
      </c>
      <c r="M311" s="46">
        <v>0</v>
      </c>
      <c r="N311" s="46">
        <v>0</v>
      </c>
      <c r="O311" s="46">
        <v>0</v>
      </c>
      <c r="P311" s="78">
        <f>I311-M311-J311-K311-N311-L311</f>
        <v>269274.67</v>
      </c>
      <c r="Q311" s="155"/>
      <c r="R311" s="155"/>
      <c r="S311" s="45">
        <f>IF(J311+K311+L311+M311+N311&lt;VLOOKUP(A311,Eligibility!$A$3:$F$423,6,0),J311+K311+L311+M311+N311,VLOOKUP(A311,Eligibility!$A$3:$F$423,6,0))</f>
        <v>50878.33</v>
      </c>
      <c r="T311" s="155"/>
      <c r="U311" s="155"/>
      <c r="V311" s="39"/>
      <c r="W311" s="155"/>
      <c r="X311" s="143"/>
      <c r="Y311" s="143"/>
      <c r="Z311" s="10"/>
      <c r="AA311" s="155"/>
      <c r="AB311" s="155"/>
      <c r="AC311" s="143"/>
      <c r="AD311" s="16"/>
      <c r="AE311" s="16"/>
      <c r="AF311" s="143"/>
      <c r="AG311" s="143"/>
      <c r="AH311" s="143"/>
      <c r="AI311" s="143"/>
      <c r="AJ311" s="143"/>
      <c r="AK311" s="16"/>
      <c r="AL311" s="16"/>
      <c r="AM311" s="143"/>
      <c r="AN311" s="177">
        <f>SUM(P311:AM311)-O311</f>
        <v>320153</v>
      </c>
    </row>
    <row r="312" spans="1:40" ht="15" thickBot="1" x14ac:dyDescent="0.4">
      <c r="A312" s="40">
        <v>4865</v>
      </c>
      <c r="B312" s="79" t="s">
        <v>346</v>
      </c>
      <c r="C312" s="46">
        <v>278845</v>
      </c>
      <c r="D312" s="97">
        <v>0</v>
      </c>
      <c r="E312" s="10">
        <f>C312+D312</f>
        <v>278845</v>
      </c>
      <c r="F312" s="23">
        <v>569889</v>
      </c>
      <c r="G312" s="23">
        <v>0</v>
      </c>
      <c r="H312" s="16">
        <f>F312+G312</f>
        <v>569889</v>
      </c>
      <c r="I312" s="16">
        <f>E312-H312</f>
        <v>-291044</v>
      </c>
      <c r="J312" s="23">
        <v>0</v>
      </c>
      <c r="K312" s="23">
        <v>12977</v>
      </c>
      <c r="L312" s="46">
        <v>0</v>
      </c>
      <c r="M312" s="46">
        <v>0</v>
      </c>
      <c r="N312" s="46">
        <v>0</v>
      </c>
      <c r="O312" s="46">
        <v>0</v>
      </c>
      <c r="P312" s="78">
        <f>I312-M312-J312-K312-N312-L312</f>
        <v>-304021</v>
      </c>
      <c r="Q312" s="155"/>
      <c r="R312" s="155"/>
      <c r="S312" s="45">
        <f>IF(-$P312&lt;VLOOKUP(A312,Eligibility!$A$3:$F$423,6,0),-P312,VLOOKUP(A312,Eligibility!$A$3:$F$423,6,0))</f>
        <v>304021</v>
      </c>
      <c r="T312" s="155"/>
      <c r="U312" s="155"/>
      <c r="V312" s="10"/>
      <c r="W312" s="155"/>
      <c r="X312" s="143"/>
      <c r="Y312" s="143"/>
      <c r="Z312" s="10"/>
      <c r="AA312" s="155"/>
      <c r="AB312" s="155"/>
      <c r="AC312" s="143"/>
      <c r="AD312" s="16"/>
      <c r="AE312" s="16"/>
      <c r="AF312" s="143"/>
      <c r="AG312" s="143"/>
      <c r="AH312" s="143"/>
      <c r="AI312" s="143"/>
      <c r="AJ312" s="143"/>
      <c r="AK312" s="16"/>
      <c r="AL312" s="16"/>
      <c r="AM312" s="143"/>
      <c r="AN312" s="177">
        <f>SUM(P312:AM312)-O312</f>
        <v>0</v>
      </c>
    </row>
    <row r="313" spans="1:40" ht="15" thickBot="1" x14ac:dyDescent="0.4">
      <c r="A313" s="40">
        <v>4872</v>
      </c>
      <c r="B313" s="79" t="s">
        <v>347</v>
      </c>
      <c r="C313" s="46">
        <v>4064778</v>
      </c>
      <c r="D313" s="97">
        <v>0</v>
      </c>
      <c r="E313" s="10">
        <f>C313+D313</f>
        <v>4064778</v>
      </c>
      <c r="F313" s="23">
        <v>907950</v>
      </c>
      <c r="G313" s="23">
        <v>0</v>
      </c>
      <c r="H313" s="16">
        <f>F313+G313</f>
        <v>907950</v>
      </c>
      <c r="I313" s="16">
        <f>E313-H313</f>
        <v>3156828</v>
      </c>
      <c r="J313" s="23">
        <v>86230</v>
      </c>
      <c r="K313" s="23">
        <v>0</v>
      </c>
      <c r="L313" s="46">
        <v>0</v>
      </c>
      <c r="M313" s="46">
        <v>0</v>
      </c>
      <c r="N313" s="46">
        <v>0</v>
      </c>
      <c r="O313" s="46">
        <v>0</v>
      </c>
      <c r="P313" s="78">
        <f>I313-M313-J313-K313-N313-L313</f>
        <v>3070598</v>
      </c>
      <c r="Q313" s="155"/>
      <c r="R313" s="155"/>
      <c r="S313" s="45">
        <f>IF(J313+K313+L313+M313+N313&lt;VLOOKUP(A313,Eligibility!$A$3:$F$423,6,0),J313+K313+L313+M313+N313,VLOOKUP(A313,Eligibility!$A$3:$F$423,6,0))</f>
        <v>86230</v>
      </c>
      <c r="T313" s="155"/>
      <c r="U313" s="155"/>
      <c r="V313" s="39"/>
      <c r="W313" s="155"/>
      <c r="X313" s="143"/>
      <c r="Y313" s="143"/>
      <c r="Z313" s="10"/>
      <c r="AA313" s="155"/>
      <c r="AB313" s="155"/>
      <c r="AC313" s="143"/>
      <c r="AD313" s="16"/>
      <c r="AE313" s="16"/>
      <c r="AF313" s="143"/>
      <c r="AG313" s="143"/>
      <c r="AH313" s="143"/>
      <c r="AI313" s="143"/>
      <c r="AJ313" s="143"/>
      <c r="AK313" s="16"/>
      <c r="AL313" s="16"/>
      <c r="AM313" s="143"/>
      <c r="AN313" s="177">
        <f>SUM(P313:AM313)-O313</f>
        <v>3156828</v>
      </c>
    </row>
    <row r="314" spans="1:40" ht="15" thickBot="1" x14ac:dyDescent="0.4">
      <c r="A314" s="40">
        <v>4893</v>
      </c>
      <c r="B314" s="79" t="s">
        <v>348</v>
      </c>
      <c r="C314" s="46">
        <v>1405418</v>
      </c>
      <c r="D314" s="97">
        <v>0</v>
      </c>
      <c r="E314" s="10">
        <f>C314+D314</f>
        <v>1405418</v>
      </c>
      <c r="F314" s="23">
        <v>1281365</v>
      </c>
      <c r="G314" s="23">
        <v>0</v>
      </c>
      <c r="H314" s="16">
        <f>F314+G314</f>
        <v>1281365</v>
      </c>
      <c r="I314" s="16">
        <f>E314-H314</f>
        <v>124053</v>
      </c>
      <c r="J314" s="23">
        <v>0</v>
      </c>
      <c r="K314" s="23">
        <v>0</v>
      </c>
      <c r="L314" s="46">
        <v>9165</v>
      </c>
      <c r="M314" s="46">
        <v>7059.17</v>
      </c>
      <c r="N314" s="46">
        <v>20000</v>
      </c>
      <c r="O314" s="46">
        <v>0</v>
      </c>
      <c r="P314" s="78">
        <f>I314-M314-J314-K314-N314-L314</f>
        <v>87828.83</v>
      </c>
      <c r="Q314" s="155"/>
      <c r="R314" s="155"/>
      <c r="S314" s="45">
        <f>IF(J314+K314+L314+M314+N314&lt;VLOOKUP(A314,Eligibility!$A$3:$F$423,6,0),J314+K314+L314+M314+N314,VLOOKUP(A314,Eligibility!$A$3:$F$423,6,0))</f>
        <v>36224.17</v>
      </c>
      <c r="T314" s="155"/>
      <c r="U314" s="155"/>
      <c r="V314" s="39"/>
      <c r="W314" s="155"/>
      <c r="X314" s="143"/>
      <c r="Y314" s="143"/>
      <c r="Z314" s="10"/>
      <c r="AA314" s="155"/>
      <c r="AB314" s="155"/>
      <c r="AC314" s="143"/>
      <c r="AD314" s="16"/>
      <c r="AE314" s="16"/>
      <c r="AF314" s="143"/>
      <c r="AG314" s="143"/>
      <c r="AH314" s="143"/>
      <c r="AI314" s="143"/>
      <c r="AJ314" s="143"/>
      <c r="AK314" s="16"/>
      <c r="AL314" s="16"/>
      <c r="AM314" s="143"/>
      <c r="AN314" s="177">
        <f>SUM(P314:AM314)-O314</f>
        <v>124053</v>
      </c>
    </row>
    <row r="315" spans="1:40" ht="15" thickBot="1" x14ac:dyDescent="0.4">
      <c r="A315" s="40">
        <v>4904</v>
      </c>
      <c r="B315" s="79" t="s">
        <v>349</v>
      </c>
      <c r="C315" s="46">
        <v>386206</v>
      </c>
      <c r="D315" s="97">
        <v>0</v>
      </c>
      <c r="E315" s="10">
        <f>C315+D315</f>
        <v>386206</v>
      </c>
      <c r="F315" s="23">
        <v>558124</v>
      </c>
      <c r="G315" s="23">
        <v>0</v>
      </c>
      <c r="H315" s="16">
        <f>F315+G315</f>
        <v>558124</v>
      </c>
      <c r="I315" s="16">
        <f>E315-H315</f>
        <v>-171918</v>
      </c>
      <c r="J315" s="23">
        <v>0</v>
      </c>
      <c r="K315" s="23">
        <v>0</v>
      </c>
      <c r="L315" s="46">
        <v>0</v>
      </c>
      <c r="M315" s="46">
        <v>0</v>
      </c>
      <c r="N315" s="46">
        <v>0</v>
      </c>
      <c r="O315" s="46">
        <v>0</v>
      </c>
      <c r="P315" s="78">
        <f>I315-M315-J315-K315-N315-L315</f>
        <v>-171918</v>
      </c>
      <c r="Q315" s="155"/>
      <c r="R315" s="155"/>
      <c r="S315" s="45">
        <f>IF(-$P315&lt;VLOOKUP(A315,Eligibility!$A$3:$F$423,6,0),-P315,VLOOKUP(A315,Eligibility!$A$3:$F$423,6,0))</f>
        <v>171918</v>
      </c>
      <c r="T315" s="155"/>
      <c r="U315" s="155"/>
      <c r="V315" s="39"/>
      <c r="W315" s="155"/>
      <c r="X315" s="143"/>
      <c r="Y315" s="143"/>
      <c r="Z315" s="10"/>
      <c r="AA315" s="155"/>
      <c r="AB315" s="155"/>
      <c r="AC315" s="143"/>
      <c r="AD315" s="16"/>
      <c r="AE315" s="16"/>
      <c r="AF315" s="143"/>
      <c r="AG315" s="143"/>
      <c r="AH315" s="143"/>
      <c r="AI315" s="143"/>
      <c r="AJ315" s="143"/>
      <c r="AK315" s="16"/>
      <c r="AL315" s="16"/>
      <c r="AM315" s="143"/>
      <c r="AN315" s="177">
        <f>SUM(P315:AM315)-O315</f>
        <v>0</v>
      </c>
    </row>
    <row r="316" spans="1:40" ht="15" thickBot="1" x14ac:dyDescent="0.4">
      <c r="A316" s="40">
        <v>5523</v>
      </c>
      <c r="B316" s="79" t="s">
        <v>350</v>
      </c>
      <c r="C316" s="46">
        <v>423121</v>
      </c>
      <c r="D316" s="97">
        <v>0</v>
      </c>
      <c r="E316" s="10">
        <f>C316+D316</f>
        <v>423121</v>
      </c>
      <c r="F316" s="23">
        <v>1185139</v>
      </c>
      <c r="G316" s="23">
        <v>0</v>
      </c>
      <c r="H316" s="16">
        <f>F316+G316</f>
        <v>1185139</v>
      </c>
      <c r="I316" s="16">
        <f>E316-H316</f>
        <v>-762018</v>
      </c>
      <c r="J316" s="23">
        <v>29050</v>
      </c>
      <c r="K316" s="23">
        <v>0</v>
      </c>
      <c r="L316" s="46">
        <v>0</v>
      </c>
      <c r="M316" s="46">
        <v>0</v>
      </c>
      <c r="N316" s="46">
        <v>0</v>
      </c>
      <c r="O316" s="46">
        <v>0</v>
      </c>
      <c r="P316" s="78">
        <f>I316-M316-J316-K316-N316-L316</f>
        <v>-791068</v>
      </c>
      <c r="Q316" s="155"/>
      <c r="R316" s="155"/>
      <c r="S316" s="45">
        <f>IF(-$P316&lt;VLOOKUP(A316,Eligibility!$A$3:$F$423,6,0),-P316,VLOOKUP(A316,Eligibility!$A$3:$F$423,6,0))</f>
        <v>791068</v>
      </c>
      <c r="T316" s="155"/>
      <c r="U316" s="155"/>
      <c r="V316" s="39"/>
      <c r="W316" s="155"/>
      <c r="X316" s="143"/>
      <c r="Y316" s="143"/>
      <c r="Z316" s="10"/>
      <c r="AA316" s="155"/>
      <c r="AB316" s="155"/>
      <c r="AC316" s="143"/>
      <c r="AD316" s="16"/>
      <c r="AE316" s="16"/>
      <c r="AF316" s="143"/>
      <c r="AG316" s="143"/>
      <c r="AH316" s="143"/>
      <c r="AI316" s="143"/>
      <c r="AJ316" s="143"/>
      <c r="AK316" s="16"/>
      <c r="AL316" s="16"/>
      <c r="AM316" s="143"/>
      <c r="AN316" s="177">
        <f>SUM(P316:AM316)-O316</f>
        <v>0</v>
      </c>
    </row>
    <row r="317" spans="1:40" ht="15" thickBot="1" x14ac:dyDescent="0.4">
      <c r="A317" s="40">
        <v>3850</v>
      </c>
      <c r="B317" s="79" t="s">
        <v>351</v>
      </c>
      <c r="C317" s="46">
        <v>288297</v>
      </c>
      <c r="D317" s="97">
        <v>0</v>
      </c>
      <c r="E317" s="10">
        <f>C317+D317</f>
        <v>288297</v>
      </c>
      <c r="F317" s="23">
        <v>554485</v>
      </c>
      <c r="G317" s="23">
        <v>0</v>
      </c>
      <c r="H317" s="16">
        <f>F317+G317</f>
        <v>554485</v>
      </c>
      <c r="I317" s="16">
        <f>E317-H317</f>
        <v>-266188</v>
      </c>
      <c r="J317" s="23">
        <v>0</v>
      </c>
      <c r="K317" s="23">
        <v>0</v>
      </c>
      <c r="L317" s="46">
        <v>0</v>
      </c>
      <c r="M317" s="46">
        <v>0</v>
      </c>
      <c r="N317" s="46">
        <v>0</v>
      </c>
      <c r="O317" s="46">
        <v>0</v>
      </c>
      <c r="P317" s="78">
        <f>I317-M317-J317-K317-N317-L317</f>
        <v>-266188</v>
      </c>
      <c r="Q317" s="155"/>
      <c r="R317" s="155"/>
      <c r="S317" s="45">
        <f>IF(-$P317&lt;VLOOKUP(A317,Eligibility!$A$3:$F$423,6,0),-P317,VLOOKUP(A317,Eligibility!$A$3:$F$423,6,0))</f>
        <v>266188</v>
      </c>
      <c r="T317" s="155"/>
      <c r="U317" s="155"/>
      <c r="V317" s="39"/>
      <c r="W317" s="155"/>
      <c r="X317" s="143"/>
      <c r="Y317" s="143"/>
      <c r="Z317" s="10"/>
      <c r="AA317" s="155"/>
      <c r="AB317" s="155"/>
      <c r="AC317" s="143"/>
      <c r="AD317" s="16"/>
      <c r="AE317" s="16"/>
      <c r="AF317" s="143"/>
      <c r="AG317" s="143"/>
      <c r="AH317" s="143"/>
      <c r="AI317" s="143"/>
      <c r="AJ317" s="143"/>
      <c r="AK317" s="16"/>
      <c r="AL317" s="16"/>
      <c r="AM317" s="143"/>
      <c r="AN317" s="177">
        <f>SUM(P317:AM317)-O317</f>
        <v>0</v>
      </c>
    </row>
    <row r="318" spans="1:40" ht="15" thickBot="1" x14ac:dyDescent="0.4">
      <c r="A318" s="40">
        <v>4956</v>
      </c>
      <c r="B318" s="79" t="s">
        <v>352</v>
      </c>
      <c r="C318" s="46">
        <v>1702589</v>
      </c>
      <c r="D318" s="97">
        <v>0</v>
      </c>
      <c r="E318" s="10">
        <f>C318+D318</f>
        <v>1702589</v>
      </c>
      <c r="F318" s="23">
        <v>745407</v>
      </c>
      <c r="G318" s="23">
        <v>0</v>
      </c>
      <c r="H318" s="16">
        <f>F318+G318</f>
        <v>745407</v>
      </c>
      <c r="I318" s="16">
        <f>E318-H318</f>
        <v>957182</v>
      </c>
      <c r="J318" s="23">
        <v>68522</v>
      </c>
      <c r="K318" s="23">
        <v>51908</v>
      </c>
      <c r="L318" s="46">
        <v>0</v>
      </c>
      <c r="M318" s="46">
        <v>0</v>
      </c>
      <c r="N318" s="46">
        <v>0</v>
      </c>
      <c r="O318" s="46">
        <v>0</v>
      </c>
      <c r="P318" s="78">
        <f>I318-M318-J318-K318-N318-L318</f>
        <v>836752</v>
      </c>
      <c r="Q318" s="155"/>
      <c r="R318" s="155"/>
      <c r="S318" s="45">
        <f>IF(J318+K318+L318+M318+N318&lt;VLOOKUP(A318,Eligibility!$A$3:$F$423,6,0),J318+K318+L318+M318+N318,VLOOKUP(A318,Eligibility!$A$3:$F$423,6,0))</f>
        <v>120430</v>
      </c>
      <c r="T318" s="155"/>
      <c r="U318" s="155"/>
      <c r="V318" s="39"/>
      <c r="W318" s="155"/>
      <c r="X318" s="143"/>
      <c r="Y318" s="143"/>
      <c r="Z318" s="10"/>
      <c r="AA318" s="155"/>
      <c r="AB318" s="155"/>
      <c r="AC318" s="143"/>
      <c r="AD318" s="16"/>
      <c r="AE318" s="16"/>
      <c r="AF318" s="143"/>
      <c r="AG318" s="143"/>
      <c r="AH318" s="143"/>
      <c r="AI318" s="143"/>
      <c r="AJ318" s="143"/>
      <c r="AK318" s="16"/>
      <c r="AL318" s="16"/>
      <c r="AM318" s="143"/>
      <c r="AN318" s="177">
        <f>SUM(P318:AM318)-O318</f>
        <v>957182</v>
      </c>
    </row>
    <row r="319" spans="1:40" ht="15" thickBot="1" x14ac:dyDescent="0.4">
      <c r="A319" s="40">
        <v>4963</v>
      </c>
      <c r="B319" s="79" t="s">
        <v>353</v>
      </c>
      <c r="C319" s="46">
        <v>407319</v>
      </c>
      <c r="D319" s="97">
        <v>0</v>
      </c>
      <c r="E319" s="10">
        <f>C319+D319</f>
        <v>407319</v>
      </c>
      <c r="F319" s="23">
        <v>494803</v>
      </c>
      <c r="G319" s="23">
        <v>0</v>
      </c>
      <c r="H319" s="16">
        <f>F319+G319</f>
        <v>494803</v>
      </c>
      <c r="I319" s="16">
        <f>E319-H319</f>
        <v>-87484</v>
      </c>
      <c r="J319" s="23">
        <v>58100</v>
      </c>
      <c r="K319" s="23">
        <v>0</v>
      </c>
      <c r="L319" s="46">
        <v>0</v>
      </c>
      <c r="M319" s="46">
        <v>0</v>
      </c>
      <c r="N319" s="46">
        <v>0</v>
      </c>
      <c r="O319" s="46">
        <v>0</v>
      </c>
      <c r="P319" s="78">
        <f>I319-M319-J319-K319-N319-L319</f>
        <v>-145584</v>
      </c>
      <c r="Q319" s="155"/>
      <c r="R319" s="155"/>
      <c r="S319" s="45">
        <f>IF(-$P319&lt;VLOOKUP(A319,Eligibility!$A$3:$F$423,6,0),-P319,VLOOKUP(A319,Eligibility!$A$3:$F$423,6,0))</f>
        <v>145584</v>
      </c>
      <c r="T319" s="155"/>
      <c r="U319" s="155"/>
      <c r="V319" s="39"/>
      <c r="W319" s="155"/>
      <c r="X319" s="143"/>
      <c r="Y319" s="143"/>
      <c r="Z319" s="10"/>
      <c r="AA319" s="155"/>
      <c r="AB319" s="155"/>
      <c r="AC319" s="143"/>
      <c r="AD319" s="16"/>
      <c r="AE319" s="16"/>
      <c r="AF319" s="143"/>
      <c r="AG319" s="143"/>
      <c r="AH319" s="143"/>
      <c r="AI319" s="143"/>
      <c r="AJ319" s="143"/>
      <c r="AK319" s="16"/>
      <c r="AL319" s="16"/>
      <c r="AM319" s="143"/>
      <c r="AN319" s="177">
        <f>SUM(P319:AM319)-O319</f>
        <v>0</v>
      </c>
    </row>
    <row r="320" spans="1:40" ht="15" thickBot="1" x14ac:dyDescent="0.4">
      <c r="A320" s="40">
        <v>1673</v>
      </c>
      <c r="B320" s="79" t="s">
        <v>354</v>
      </c>
      <c r="C320" s="46">
        <v>260584</v>
      </c>
      <c r="D320" s="97">
        <v>0</v>
      </c>
      <c r="E320" s="10">
        <f>C320+D320</f>
        <v>260584</v>
      </c>
      <c r="F320" s="23">
        <v>914308</v>
      </c>
      <c r="G320" s="23">
        <v>0</v>
      </c>
      <c r="H320" s="16">
        <f>F320+G320</f>
        <v>914308</v>
      </c>
      <c r="I320" s="16">
        <f>E320-H320</f>
        <v>-653724</v>
      </c>
      <c r="J320" s="23">
        <v>0</v>
      </c>
      <c r="K320" s="23">
        <v>0</v>
      </c>
      <c r="L320" s="46">
        <v>0</v>
      </c>
      <c r="M320" s="46">
        <v>7059.17</v>
      </c>
      <c r="N320" s="46">
        <v>0</v>
      </c>
      <c r="O320" s="46">
        <v>0</v>
      </c>
      <c r="P320" s="78">
        <f>I320-M320-J320-K320-N320-L320</f>
        <v>-660783.17000000004</v>
      </c>
      <c r="Q320" s="155"/>
      <c r="R320" s="155"/>
      <c r="S320" s="45">
        <f>IF(-$P320&lt;VLOOKUP(A320,Eligibility!$A$3:$F$423,6,0),-P320,VLOOKUP(A320,Eligibility!$A$3:$F$423,6,0))</f>
        <v>660783.17000000004</v>
      </c>
      <c r="T320" s="155"/>
      <c r="U320" s="155"/>
      <c r="V320" s="39"/>
      <c r="W320" s="155"/>
      <c r="X320" s="143"/>
      <c r="Y320" s="143"/>
      <c r="Z320" s="10"/>
      <c r="AA320" s="155"/>
      <c r="AB320" s="155"/>
      <c r="AC320" s="143"/>
      <c r="AD320" s="16"/>
      <c r="AE320" s="16"/>
      <c r="AF320" s="143"/>
      <c r="AG320" s="143"/>
      <c r="AH320" s="143"/>
      <c r="AI320" s="143"/>
      <c r="AJ320" s="143"/>
      <c r="AK320" s="16"/>
      <c r="AL320" s="16"/>
      <c r="AM320" s="143"/>
      <c r="AN320" s="177">
        <f>SUM(P320:AM320)-O320</f>
        <v>0</v>
      </c>
    </row>
    <row r="321" spans="1:40" ht="15" thickBot="1" x14ac:dyDescent="0.4">
      <c r="A321" s="40">
        <v>2422</v>
      </c>
      <c r="B321" s="79" t="s">
        <v>355</v>
      </c>
      <c r="C321" s="46">
        <v>3112936</v>
      </c>
      <c r="D321" s="97">
        <v>0</v>
      </c>
      <c r="E321" s="10">
        <f>C321+D321</f>
        <v>3112936</v>
      </c>
      <c r="F321" s="23">
        <v>1049605</v>
      </c>
      <c r="G321" s="23">
        <v>0</v>
      </c>
      <c r="H321" s="16">
        <f>F321+G321</f>
        <v>1049605</v>
      </c>
      <c r="I321" s="16">
        <f>E321-H321</f>
        <v>2063331</v>
      </c>
      <c r="J321" s="23">
        <v>0</v>
      </c>
      <c r="K321" s="23">
        <v>0</v>
      </c>
      <c r="L321" s="46">
        <v>0</v>
      </c>
      <c r="M321" s="46">
        <v>0</v>
      </c>
      <c r="N321" s="46">
        <v>0</v>
      </c>
      <c r="O321" s="46">
        <v>0</v>
      </c>
      <c r="P321" s="78">
        <f>I321-M321-J321-K321-N321-L321</f>
        <v>2063331</v>
      </c>
      <c r="Q321" s="155"/>
      <c r="R321" s="155"/>
      <c r="S321" s="45">
        <f>IF(J321+K321+L321+M321+N321&lt;VLOOKUP(A321,Eligibility!$A$3:$F$423,6,0),J321+K321+L321+M321+N321,VLOOKUP(A321,Eligibility!$A$3:$F$423,6,0))</f>
        <v>0</v>
      </c>
      <c r="T321" s="155"/>
      <c r="U321" s="155"/>
      <c r="V321" s="39"/>
      <c r="W321" s="155"/>
      <c r="X321" s="143"/>
      <c r="Y321" s="143"/>
      <c r="Z321" s="10"/>
      <c r="AA321" s="155"/>
      <c r="AB321" s="155"/>
      <c r="AC321" s="143"/>
      <c r="AD321" s="16"/>
      <c r="AE321" s="16"/>
      <c r="AF321" s="143"/>
      <c r="AG321" s="143"/>
      <c r="AH321" s="143"/>
      <c r="AI321" s="143"/>
      <c r="AJ321" s="143"/>
      <c r="AK321" s="16"/>
      <c r="AL321" s="16"/>
      <c r="AM321" s="143"/>
      <c r="AN321" s="177">
        <f>SUM(P321:AM321)-O321</f>
        <v>2063331</v>
      </c>
    </row>
    <row r="322" spans="1:40" ht="15" thickBot="1" x14ac:dyDescent="0.4">
      <c r="A322" s="40">
        <v>5019</v>
      </c>
      <c r="B322" s="79" t="s">
        <v>356</v>
      </c>
      <c r="C322" s="46">
        <v>1283497</v>
      </c>
      <c r="D322" s="97">
        <v>0</v>
      </c>
      <c r="E322" s="10">
        <f>C322+D322</f>
        <v>1283497</v>
      </c>
      <c r="F322" s="23">
        <v>1487572</v>
      </c>
      <c r="G322" s="23">
        <v>0</v>
      </c>
      <c r="H322" s="16">
        <f>F322+G322</f>
        <v>1487572</v>
      </c>
      <c r="I322" s="16">
        <f>E322-H322</f>
        <v>-204075</v>
      </c>
      <c r="J322" s="23">
        <v>95822</v>
      </c>
      <c r="K322" s="23">
        <v>0</v>
      </c>
      <c r="L322" s="46">
        <v>0</v>
      </c>
      <c r="M322" s="46">
        <v>0</v>
      </c>
      <c r="N322" s="46">
        <v>0</v>
      </c>
      <c r="O322" s="46">
        <v>0</v>
      </c>
      <c r="P322" s="78">
        <f>I322-M322-J322-K322-N322-L322</f>
        <v>-299897</v>
      </c>
      <c r="Q322" s="155"/>
      <c r="R322" s="155"/>
      <c r="S322" s="45">
        <f>IF(-$P322&lt;VLOOKUP(A322,Eligibility!$A$3:$F$423,6,0),-P322,VLOOKUP(A322,Eligibility!$A$3:$F$423,6,0))</f>
        <v>299897</v>
      </c>
      <c r="T322" s="155"/>
      <c r="U322" s="155"/>
      <c r="V322" s="39"/>
      <c r="W322" s="155"/>
      <c r="X322" s="143"/>
      <c r="Y322" s="143"/>
      <c r="Z322" s="10"/>
      <c r="AA322" s="155"/>
      <c r="AB322" s="155"/>
      <c r="AC322" s="143"/>
      <c r="AD322" s="16"/>
      <c r="AE322" s="16"/>
      <c r="AF322" s="143"/>
      <c r="AG322" s="143"/>
      <c r="AH322" s="143"/>
      <c r="AI322" s="143"/>
      <c r="AJ322" s="143"/>
      <c r="AK322" s="16"/>
      <c r="AL322" s="16"/>
      <c r="AM322" s="143"/>
      <c r="AN322" s="177">
        <f>SUM(P322:AM322)-O322</f>
        <v>0</v>
      </c>
    </row>
    <row r="323" spans="1:40" ht="15" thickBot="1" x14ac:dyDescent="0.4">
      <c r="A323" s="40">
        <v>5026</v>
      </c>
      <c r="B323" s="79" t="s">
        <v>357</v>
      </c>
      <c r="C323" s="46">
        <v>3826204</v>
      </c>
      <c r="D323" s="97">
        <v>48908</v>
      </c>
      <c r="E323" s="10">
        <f>C323+D323</f>
        <v>3875112</v>
      </c>
      <c r="F323" s="23">
        <v>1468273</v>
      </c>
      <c r="G323" s="23">
        <v>0</v>
      </c>
      <c r="H323" s="16">
        <f>F323+G323</f>
        <v>1468273</v>
      </c>
      <c r="I323" s="16">
        <f>E323-H323</f>
        <v>2406839</v>
      </c>
      <c r="J323" s="23">
        <v>288204.90000000002</v>
      </c>
      <c r="K323" s="23">
        <v>12977</v>
      </c>
      <c r="L323" s="46">
        <v>0</v>
      </c>
      <c r="M323" s="46">
        <v>0</v>
      </c>
      <c r="N323" s="46">
        <v>20792</v>
      </c>
      <c r="O323" s="46">
        <v>0</v>
      </c>
      <c r="P323" s="78">
        <f>I323-M323-J323-K323-N323-L323</f>
        <v>2084865.1</v>
      </c>
      <c r="Q323" s="155"/>
      <c r="R323" s="155"/>
      <c r="S323" s="45">
        <f>IF(J323+K323+L323+M323+N323&lt;VLOOKUP(A323,Eligibility!$A$3:$F$423,6,0),J323+K323+L323+M323+N323,VLOOKUP(A323,Eligibility!$A$3:$F$423,6,0))</f>
        <v>321973.90000000002</v>
      </c>
      <c r="T323" s="155"/>
      <c r="U323" s="155"/>
      <c r="V323" s="39"/>
      <c r="W323" s="155"/>
      <c r="X323" s="143"/>
      <c r="Y323" s="143"/>
      <c r="Z323" s="10"/>
      <c r="AA323" s="155"/>
      <c r="AB323" s="155"/>
      <c r="AC323" s="143"/>
      <c r="AD323" s="16"/>
      <c r="AE323" s="16"/>
      <c r="AF323" s="143"/>
      <c r="AG323" s="143"/>
      <c r="AH323" s="143"/>
      <c r="AI323" s="143"/>
      <c r="AJ323" s="143"/>
      <c r="AK323" s="16"/>
      <c r="AL323" s="16"/>
      <c r="AM323" s="143"/>
      <c r="AN323" s="177">
        <f>SUM(P323:AM323)-O323</f>
        <v>2406839</v>
      </c>
    </row>
    <row r="324" spans="1:40" ht="15" thickBot="1" x14ac:dyDescent="0.4">
      <c r="A324" s="40">
        <v>5068</v>
      </c>
      <c r="B324" s="79" t="s">
        <v>358</v>
      </c>
      <c r="C324" s="46">
        <v>626522</v>
      </c>
      <c r="D324" s="97">
        <v>0</v>
      </c>
      <c r="E324" s="10">
        <f>C324+D324</f>
        <v>626522</v>
      </c>
      <c r="F324" s="23">
        <v>1741245</v>
      </c>
      <c r="G324" s="23">
        <v>0</v>
      </c>
      <c r="H324" s="16">
        <f>F324+G324</f>
        <v>1741245</v>
      </c>
      <c r="I324" s="16">
        <f>E324-H324</f>
        <v>-1114723</v>
      </c>
      <c r="J324" s="23">
        <v>41500</v>
      </c>
      <c r="K324" s="23">
        <v>25954</v>
      </c>
      <c r="L324" s="46">
        <v>0</v>
      </c>
      <c r="M324" s="46">
        <v>0</v>
      </c>
      <c r="N324" s="46">
        <v>0</v>
      </c>
      <c r="O324" s="46">
        <v>0</v>
      </c>
      <c r="P324" s="78">
        <f>I324-M324-J324-K324-N324-L324</f>
        <v>-1182177</v>
      </c>
      <c r="Q324" s="155"/>
      <c r="R324" s="155"/>
      <c r="S324" s="45">
        <f>IF(-$P324&lt;VLOOKUP(A324,Eligibility!$A$3:$F$423,6,0),-P324,VLOOKUP(A324,Eligibility!$A$3:$F$423,6,0))</f>
        <v>1182177</v>
      </c>
      <c r="T324" s="155"/>
      <c r="U324" s="155"/>
      <c r="V324" s="39"/>
      <c r="W324" s="155"/>
      <c r="X324" s="143"/>
      <c r="Y324" s="143"/>
      <c r="Z324" s="10"/>
      <c r="AA324" s="155"/>
      <c r="AB324" s="155"/>
      <c r="AC324" s="143"/>
      <c r="AD324" s="16"/>
      <c r="AE324" s="16"/>
      <c r="AF324" s="143"/>
      <c r="AG324" s="143"/>
      <c r="AH324" s="143"/>
      <c r="AI324" s="143"/>
      <c r="AJ324" s="143"/>
      <c r="AK324" s="16"/>
      <c r="AL324" s="16"/>
      <c r="AM324" s="143"/>
      <c r="AN324" s="177">
        <f>SUM(P324:AM324)-O324</f>
        <v>0</v>
      </c>
    </row>
    <row r="325" spans="1:40" ht="15" thickBot="1" x14ac:dyDescent="0.4">
      <c r="A325" s="40">
        <v>5100</v>
      </c>
      <c r="B325" s="79" t="s">
        <v>359</v>
      </c>
      <c r="C325" s="46">
        <v>1422663</v>
      </c>
      <c r="D325" s="97">
        <v>0</v>
      </c>
      <c r="E325" s="10">
        <f>C325+D325</f>
        <v>1422663</v>
      </c>
      <c r="F325" s="23">
        <v>521634</v>
      </c>
      <c r="G325" s="23">
        <v>0</v>
      </c>
      <c r="H325" s="16">
        <f>F325+G325</f>
        <v>521634</v>
      </c>
      <c r="I325" s="16">
        <f>E325-H325</f>
        <v>901029</v>
      </c>
      <c r="J325" s="23">
        <v>92592</v>
      </c>
      <c r="K325" s="23">
        <v>12977</v>
      </c>
      <c r="L325" s="46">
        <v>0</v>
      </c>
      <c r="M325" s="46">
        <v>7059.17</v>
      </c>
      <c r="N325" s="46">
        <v>0</v>
      </c>
      <c r="O325" s="46">
        <v>0</v>
      </c>
      <c r="P325" s="78">
        <f>I325-M325-J325-K325-N325-L325</f>
        <v>788400.83</v>
      </c>
      <c r="Q325" s="155"/>
      <c r="R325" s="155"/>
      <c r="S325" s="45">
        <f>IF(J325+K325+L325+M325+N325&lt;VLOOKUP(A325,Eligibility!$A$3:$F$423,6,0),J325+K325+L325+M325+N325,VLOOKUP(A325,Eligibility!$A$3:$F$423,6,0))</f>
        <v>112628.17</v>
      </c>
      <c r="T325" s="155"/>
      <c r="U325" s="155"/>
      <c r="V325" s="39"/>
      <c r="W325" s="155"/>
      <c r="X325" s="143"/>
      <c r="Y325" s="143"/>
      <c r="Z325" s="10"/>
      <c r="AA325" s="155"/>
      <c r="AB325" s="155"/>
      <c r="AC325" s="143"/>
      <c r="AD325" s="16"/>
      <c r="AE325" s="16"/>
      <c r="AF325" s="143"/>
      <c r="AG325" s="143"/>
      <c r="AH325" s="143"/>
      <c r="AI325" s="143"/>
      <c r="AJ325" s="143"/>
      <c r="AK325" s="16"/>
      <c r="AL325" s="16"/>
      <c r="AM325" s="143"/>
      <c r="AN325" s="177">
        <f>SUM(P325:AM325)-O325</f>
        <v>901029</v>
      </c>
    </row>
    <row r="326" spans="1:40" ht="15" thickBot="1" x14ac:dyDescent="0.4">
      <c r="A326" s="40">
        <v>5124</v>
      </c>
      <c r="B326" s="79" t="s">
        <v>360</v>
      </c>
      <c r="C326" s="46">
        <v>361064</v>
      </c>
      <c r="D326" s="97">
        <v>0</v>
      </c>
      <c r="E326" s="10">
        <f>C326+D326</f>
        <v>361064</v>
      </c>
      <c r="F326" s="23">
        <v>383169</v>
      </c>
      <c r="G326" s="23">
        <v>0</v>
      </c>
      <c r="H326" s="16">
        <f>F326+G326</f>
        <v>383169</v>
      </c>
      <c r="I326" s="16">
        <f>E326-H326</f>
        <v>-22105</v>
      </c>
      <c r="J326" s="23">
        <v>25546</v>
      </c>
      <c r="K326" s="23">
        <v>0</v>
      </c>
      <c r="L326" s="46">
        <v>0</v>
      </c>
      <c r="M326" s="46">
        <v>0</v>
      </c>
      <c r="N326" s="46">
        <v>0</v>
      </c>
      <c r="O326" s="46">
        <v>0</v>
      </c>
      <c r="P326" s="78">
        <f>I326-M326-J326-K326-N326-L326</f>
        <v>-47651</v>
      </c>
      <c r="Q326" s="155"/>
      <c r="R326" s="155"/>
      <c r="S326" s="45">
        <f>IF(-$P326&lt;VLOOKUP(A326,Eligibility!$A$3:$F$423,6,0),-P326,VLOOKUP(A326,Eligibility!$A$3:$F$423,6,0))</f>
        <v>47651</v>
      </c>
      <c r="T326" s="155"/>
      <c r="U326" s="155"/>
      <c r="V326" s="39"/>
      <c r="W326" s="155"/>
      <c r="X326" s="143"/>
      <c r="Y326" s="143"/>
      <c r="Z326" s="10"/>
      <c r="AA326" s="155"/>
      <c r="AB326" s="155"/>
      <c r="AC326" s="143"/>
      <c r="AD326" s="16"/>
      <c r="AE326" s="16"/>
      <c r="AF326" s="143"/>
      <c r="AG326" s="143"/>
      <c r="AH326" s="143"/>
      <c r="AI326" s="143"/>
      <c r="AJ326" s="143"/>
      <c r="AK326" s="16"/>
      <c r="AL326" s="16"/>
      <c r="AM326" s="143"/>
      <c r="AN326" s="177">
        <f>SUM(P326:AM326)-O326</f>
        <v>0</v>
      </c>
    </row>
    <row r="327" spans="1:40" ht="15" thickBot="1" x14ac:dyDescent="0.4">
      <c r="A327" s="40">
        <v>5130</v>
      </c>
      <c r="B327" s="79" t="s">
        <v>361</v>
      </c>
      <c r="C327" s="46">
        <v>1218382</v>
      </c>
      <c r="D327" s="97">
        <v>0</v>
      </c>
      <c r="E327" s="10">
        <f>C327+D327</f>
        <v>1218382</v>
      </c>
      <c r="F327" s="23">
        <v>837794</v>
      </c>
      <c r="G327" s="23">
        <v>0</v>
      </c>
      <c r="H327" s="16">
        <f>F327+G327</f>
        <v>837794</v>
      </c>
      <c r="I327" s="16">
        <f>E327-H327</f>
        <v>380588</v>
      </c>
      <c r="J327" s="23">
        <v>16600</v>
      </c>
      <c r="K327" s="23">
        <v>0</v>
      </c>
      <c r="L327" s="46">
        <v>0</v>
      </c>
      <c r="M327" s="46">
        <v>0</v>
      </c>
      <c r="N327" s="46">
        <v>0</v>
      </c>
      <c r="O327" s="46">
        <v>0</v>
      </c>
      <c r="P327" s="78">
        <f>I327-M327-J327-K327-N327-L327</f>
        <v>363988</v>
      </c>
      <c r="Q327" s="155"/>
      <c r="R327" s="155"/>
      <c r="S327" s="45">
        <f>IF(J327+K327+L327+M327+N327&lt;VLOOKUP(A327,Eligibility!$A$3:$F$423,6,0),J327+K327+L327+M327+N327,VLOOKUP(A327,Eligibility!$A$3:$F$423,6,0))</f>
        <v>0</v>
      </c>
      <c r="T327" s="155">
        <v>2587</v>
      </c>
      <c r="U327" s="155">
        <v>1617</v>
      </c>
      <c r="V327" s="39">
        <v>2263</v>
      </c>
      <c r="W327" s="155"/>
      <c r="X327" s="143"/>
      <c r="Y327" s="143"/>
      <c r="Z327" s="10"/>
      <c r="AA327" s="155">
        <v>10133</v>
      </c>
      <c r="AB327" s="155"/>
      <c r="AC327" s="143"/>
      <c r="AD327" s="16"/>
      <c r="AE327" s="16"/>
      <c r="AF327" s="143"/>
      <c r="AG327" s="143"/>
      <c r="AH327" s="143"/>
      <c r="AI327" s="143"/>
      <c r="AJ327" s="143"/>
      <c r="AK327" s="16"/>
      <c r="AL327" s="16"/>
      <c r="AM327" s="143"/>
      <c r="AN327" s="177">
        <f>SUM(P327:AM327)-O327</f>
        <v>380588</v>
      </c>
    </row>
    <row r="328" spans="1:40" ht="15" thickBot="1" x14ac:dyDescent="0.4">
      <c r="A328" s="40">
        <v>5138</v>
      </c>
      <c r="B328" s="79" t="s">
        <v>362</v>
      </c>
      <c r="C328" s="46">
        <v>815741</v>
      </c>
      <c r="D328" s="97">
        <v>38931</v>
      </c>
      <c r="E328" s="10">
        <f>C328+D328</f>
        <v>854672</v>
      </c>
      <c r="F328" s="23">
        <v>1660953</v>
      </c>
      <c r="G328" s="23">
        <v>0</v>
      </c>
      <c r="H328" s="16">
        <f>F328+G328</f>
        <v>1660953</v>
      </c>
      <c r="I328" s="16">
        <f>E328-H328</f>
        <v>-806281</v>
      </c>
      <c r="J328" s="23">
        <v>231480</v>
      </c>
      <c r="K328" s="23">
        <v>38931</v>
      </c>
      <c r="L328" s="46">
        <v>0</v>
      </c>
      <c r="M328" s="46">
        <v>14118.34</v>
      </c>
      <c r="N328" s="46">
        <v>0</v>
      </c>
      <c r="O328" s="46">
        <v>0</v>
      </c>
      <c r="P328" s="78">
        <f>I328-M328-J328-K328-N328-L328</f>
        <v>-1090810.3400000001</v>
      </c>
      <c r="Q328" s="155"/>
      <c r="R328" s="155"/>
      <c r="S328" s="45">
        <f>IF(-$P328&lt;VLOOKUP(A328,Eligibility!$A$3:$F$423,6,0),-P328,VLOOKUP(A328,Eligibility!$A$3:$F$423,6,0))</f>
        <v>1090810.3400000001</v>
      </c>
      <c r="T328" s="155"/>
      <c r="U328" s="155"/>
      <c r="V328" s="39"/>
      <c r="W328" s="155"/>
      <c r="X328" s="143"/>
      <c r="Y328" s="143"/>
      <c r="Z328" s="10"/>
      <c r="AA328" s="155"/>
      <c r="AB328" s="155"/>
      <c r="AC328" s="143"/>
      <c r="AD328" s="16"/>
      <c r="AE328" s="16"/>
      <c r="AF328" s="143"/>
      <c r="AG328" s="143"/>
      <c r="AH328" s="143"/>
      <c r="AI328" s="143"/>
      <c r="AJ328" s="143"/>
      <c r="AK328" s="16"/>
      <c r="AL328" s="16"/>
      <c r="AM328" s="143"/>
      <c r="AN328" s="177">
        <f>SUM(P328:AM328)-O328</f>
        <v>0</v>
      </c>
    </row>
    <row r="329" spans="1:40" ht="15" thickBot="1" x14ac:dyDescent="0.4">
      <c r="A329" s="40">
        <v>5258</v>
      </c>
      <c r="B329" s="79" t="s">
        <v>363</v>
      </c>
      <c r="C329" s="46">
        <v>245132</v>
      </c>
      <c r="D329" s="97">
        <v>0</v>
      </c>
      <c r="E329" s="10">
        <f>C329+D329</f>
        <v>245132</v>
      </c>
      <c r="F329" s="23">
        <v>312540</v>
      </c>
      <c r="G329" s="23">
        <v>0</v>
      </c>
      <c r="H329" s="16">
        <f>F329+G329</f>
        <v>312540</v>
      </c>
      <c r="I329" s="16">
        <f>E329-H329</f>
        <v>-67408</v>
      </c>
      <c r="J329" s="23">
        <v>0</v>
      </c>
      <c r="K329" s="23">
        <v>0</v>
      </c>
      <c r="L329" s="46">
        <v>0</v>
      </c>
      <c r="M329" s="46">
        <v>0</v>
      </c>
      <c r="N329" s="46">
        <v>0</v>
      </c>
      <c r="O329" s="46">
        <v>0</v>
      </c>
      <c r="P329" s="78">
        <f>I329-M329-J329-K329-N329-L329</f>
        <v>-67408</v>
      </c>
      <c r="Q329" s="155"/>
      <c r="R329" s="155"/>
      <c r="S329" s="45">
        <f>IF(-$P329&lt;VLOOKUP(A329,Eligibility!$A$3:$F$423,6,0),-P329,VLOOKUP(A329,Eligibility!$A$3:$F$423,6,0))</f>
        <v>67408</v>
      </c>
      <c r="T329" s="155"/>
      <c r="U329" s="155"/>
      <c r="V329" s="39"/>
      <c r="W329" s="155"/>
      <c r="X329" s="143"/>
      <c r="Y329" s="143"/>
      <c r="Z329" s="10"/>
      <c r="AA329" s="155"/>
      <c r="AB329" s="155"/>
      <c r="AC329" s="143"/>
      <c r="AD329" s="16"/>
      <c r="AE329" s="16"/>
      <c r="AF329" s="143"/>
      <c r="AG329" s="143"/>
      <c r="AH329" s="143"/>
      <c r="AI329" s="143"/>
      <c r="AJ329" s="143"/>
      <c r="AK329" s="16"/>
      <c r="AL329" s="16"/>
      <c r="AM329" s="143"/>
      <c r="AN329" s="177">
        <f>SUM(P329:AM329)-O329</f>
        <v>0</v>
      </c>
    </row>
    <row r="330" spans="1:40" ht="15" thickBot="1" x14ac:dyDescent="0.4">
      <c r="A330" s="40">
        <v>5264</v>
      </c>
      <c r="B330" s="79" t="s">
        <v>364</v>
      </c>
      <c r="C330" s="46">
        <v>1837737</v>
      </c>
      <c r="D330" s="97">
        <v>0</v>
      </c>
      <c r="E330" s="10">
        <f>C330+D330</f>
        <v>1837737</v>
      </c>
      <c r="F330" s="23">
        <v>1756182</v>
      </c>
      <c r="G330" s="23">
        <v>0</v>
      </c>
      <c r="H330" s="16">
        <f>F330+G330</f>
        <v>1756182</v>
      </c>
      <c r="I330" s="16">
        <f>E330-H330</f>
        <v>81555</v>
      </c>
      <c r="J330" s="23">
        <v>977697</v>
      </c>
      <c r="K330" s="23">
        <v>86162</v>
      </c>
      <c r="L330" s="46">
        <v>0</v>
      </c>
      <c r="M330" s="46">
        <v>0</v>
      </c>
      <c r="N330" s="46">
        <v>50000</v>
      </c>
      <c r="O330" s="46">
        <v>0</v>
      </c>
      <c r="P330" s="78">
        <f>I330-M330-J330-K330-N330-L330</f>
        <v>-1032304</v>
      </c>
      <c r="Q330" s="155"/>
      <c r="R330" s="155"/>
      <c r="S330" s="45">
        <f>IF(J330+K330+L330+M330+N330&lt;VLOOKUP(A330,Eligibility!$A$3:$F$423,6,0),J330+K330+L330+M330+N330,VLOOKUP(A330,Eligibility!$A$3:$F$423,6,0))</f>
        <v>1113859</v>
      </c>
      <c r="T330" s="155"/>
      <c r="U330" s="155"/>
      <c r="V330" s="39"/>
      <c r="W330" s="155"/>
      <c r="X330" s="143"/>
      <c r="Y330" s="143"/>
      <c r="Z330" s="10"/>
      <c r="AA330" s="155"/>
      <c r="AB330" s="155"/>
      <c r="AC330" s="143"/>
      <c r="AD330" s="16"/>
      <c r="AE330" s="16"/>
      <c r="AF330" s="143"/>
      <c r="AG330" s="143"/>
      <c r="AH330" s="143"/>
      <c r="AI330" s="143"/>
      <c r="AJ330" s="143"/>
      <c r="AK330" s="16"/>
      <c r="AL330" s="16"/>
      <c r="AM330" s="143"/>
      <c r="AN330" s="177">
        <f>SUM(P330:AM330)-O330</f>
        <v>81555</v>
      </c>
    </row>
    <row r="331" spans="1:40" ht="15" thickBot="1" x14ac:dyDescent="0.4">
      <c r="A331" s="40">
        <v>5271</v>
      </c>
      <c r="B331" s="79" t="s">
        <v>365</v>
      </c>
      <c r="C331" s="46">
        <v>2116213</v>
      </c>
      <c r="D331" s="97">
        <v>0</v>
      </c>
      <c r="E331" s="10">
        <f>C331+D331</f>
        <v>2116213</v>
      </c>
      <c r="F331" s="23">
        <v>4900151</v>
      </c>
      <c r="G331" s="23">
        <v>0</v>
      </c>
      <c r="H331" s="16">
        <f>F331+G331</f>
        <v>4900151</v>
      </c>
      <c r="I331" s="16">
        <f>E331-H331</f>
        <v>-2783938</v>
      </c>
      <c r="J331" s="23">
        <v>2894841</v>
      </c>
      <c r="K331" s="23">
        <v>456006.5</v>
      </c>
      <c r="L331" s="46">
        <v>0</v>
      </c>
      <c r="M331" s="46">
        <v>21177.51</v>
      </c>
      <c r="N331" s="46">
        <v>0</v>
      </c>
      <c r="O331" s="46">
        <v>0</v>
      </c>
      <c r="P331" s="78">
        <f>I331-M331-J331-K331-N331-L331</f>
        <v>-6155963.0099999998</v>
      </c>
      <c r="Q331" s="155"/>
      <c r="R331" s="155"/>
      <c r="S331" s="45">
        <f>IF(-$P331&lt;VLOOKUP(A331,Eligibility!$A$3:$F$423,6,0),-P331,VLOOKUP(A331,Eligibility!$A$3:$F$423,6,0))</f>
        <v>6155963.0099999998</v>
      </c>
      <c r="T331" s="155"/>
      <c r="U331" s="155"/>
      <c r="V331" s="39"/>
      <c r="W331" s="155"/>
      <c r="X331" s="143"/>
      <c r="Y331" s="143"/>
      <c r="Z331" s="10"/>
      <c r="AA331" s="155"/>
      <c r="AB331" s="155"/>
      <c r="AC331" s="143"/>
      <c r="AD331" s="16"/>
      <c r="AE331" s="16"/>
      <c r="AF331" s="143"/>
      <c r="AG331" s="143"/>
      <c r="AH331" s="143"/>
      <c r="AI331" s="143"/>
      <c r="AJ331" s="143"/>
      <c r="AK331" s="16"/>
      <c r="AL331" s="16"/>
      <c r="AM331" s="143"/>
      <c r="AN331" s="177">
        <f>SUM(P331:AM331)-O331</f>
        <v>0</v>
      </c>
    </row>
    <row r="332" spans="1:40" ht="15" thickBot="1" x14ac:dyDescent="0.4">
      <c r="A332" s="40">
        <v>5278</v>
      </c>
      <c r="B332" s="79" t="s">
        <v>366</v>
      </c>
      <c r="C332" s="46">
        <v>1877679</v>
      </c>
      <c r="D332" s="97">
        <v>0</v>
      </c>
      <c r="E332" s="10">
        <f>C332+D332</f>
        <v>1877679</v>
      </c>
      <c r="F332" s="23">
        <v>2233797</v>
      </c>
      <c r="G332" s="23">
        <v>0</v>
      </c>
      <c r="H332" s="16">
        <f>F332+G332</f>
        <v>2233797</v>
      </c>
      <c r="I332" s="16">
        <f>E332-H332</f>
        <v>-356118</v>
      </c>
      <c r="J332" s="23">
        <v>154842</v>
      </c>
      <c r="K332" s="23">
        <v>38931</v>
      </c>
      <c r="L332" s="46">
        <v>0</v>
      </c>
      <c r="M332" s="46">
        <v>7059.17</v>
      </c>
      <c r="N332" s="46">
        <v>0</v>
      </c>
      <c r="O332" s="46">
        <v>0</v>
      </c>
      <c r="P332" s="78">
        <f>I332-M332-J332-K332-N332-L332</f>
        <v>-556950.17000000004</v>
      </c>
      <c r="Q332" s="155"/>
      <c r="R332" s="155"/>
      <c r="S332" s="45">
        <f>IF(-$P332&lt;VLOOKUP(A332,Eligibility!$A$3:$F$423,6,0),-P332,VLOOKUP(A332,Eligibility!$A$3:$F$423,6,0))</f>
        <v>556950.17000000004</v>
      </c>
      <c r="T332" s="155"/>
      <c r="U332" s="155"/>
      <c r="V332" s="39"/>
      <c r="W332" s="155"/>
      <c r="X332" s="143"/>
      <c r="Y332" s="143"/>
      <c r="Z332" s="10"/>
      <c r="AA332" s="155"/>
      <c r="AB332" s="155"/>
      <c r="AC332" s="143"/>
      <c r="AD332" s="16"/>
      <c r="AE332" s="16"/>
      <c r="AF332" s="143"/>
      <c r="AG332" s="143"/>
      <c r="AH332" s="143"/>
      <c r="AI332" s="143"/>
      <c r="AJ332" s="143"/>
      <c r="AK332" s="16"/>
      <c r="AL332" s="16"/>
      <c r="AM332" s="143"/>
      <c r="AN332" s="177">
        <f>SUM(P332:AM332)-O332</f>
        <v>0</v>
      </c>
    </row>
    <row r="333" spans="1:40" ht="15" thickBot="1" x14ac:dyDescent="0.4">
      <c r="A333" s="40">
        <v>5306</v>
      </c>
      <c r="B333" s="79" t="s">
        <v>367</v>
      </c>
      <c r="C333" s="46">
        <v>788104</v>
      </c>
      <c r="D333" s="97">
        <v>0</v>
      </c>
      <c r="E333" s="10">
        <f>C333+D333</f>
        <v>788104</v>
      </c>
      <c r="F333" s="23">
        <v>444976</v>
      </c>
      <c r="G333" s="23">
        <v>0</v>
      </c>
      <c r="H333" s="16">
        <f>F333+G333</f>
        <v>444976</v>
      </c>
      <c r="I333" s="16">
        <f>E333-H333</f>
        <v>343128</v>
      </c>
      <c r="J333" s="23">
        <v>41500</v>
      </c>
      <c r="K333" s="23">
        <v>0</v>
      </c>
      <c r="L333" s="46">
        <v>0</v>
      </c>
      <c r="M333" s="46">
        <v>0</v>
      </c>
      <c r="N333" s="46">
        <v>0</v>
      </c>
      <c r="O333" s="46">
        <v>0</v>
      </c>
      <c r="P333" s="78">
        <f>I333-M333-J333-K333-N333-L333</f>
        <v>301628</v>
      </c>
      <c r="Q333" s="155"/>
      <c r="R333" s="155"/>
      <c r="S333" s="45">
        <f>IF(J333+K333+L333+M333+N333&lt;VLOOKUP(A333,Eligibility!$A$3:$F$423,6,0),J333+K333+L333+M333+N333,VLOOKUP(A333,Eligibility!$A$3:$F$423,6,0))</f>
        <v>41500</v>
      </c>
      <c r="T333" s="155"/>
      <c r="U333" s="155"/>
      <c r="V333" s="39"/>
      <c r="W333" s="155"/>
      <c r="X333" s="143"/>
      <c r="Y333" s="143"/>
      <c r="Z333" s="10"/>
      <c r="AA333" s="155"/>
      <c r="AB333" s="155"/>
      <c r="AC333" s="143"/>
      <c r="AD333" s="16"/>
      <c r="AE333" s="16"/>
      <c r="AF333" s="143"/>
      <c r="AG333" s="143"/>
      <c r="AH333" s="143"/>
      <c r="AI333" s="143"/>
      <c r="AJ333" s="143"/>
      <c r="AK333" s="16"/>
      <c r="AL333" s="16"/>
      <c r="AM333" s="143"/>
      <c r="AN333" s="177">
        <f>SUM(P333:AM333)-O333</f>
        <v>343128</v>
      </c>
    </row>
    <row r="334" spans="1:40" ht="15" thickBot="1" x14ac:dyDescent="0.4">
      <c r="A334" s="40">
        <v>5348</v>
      </c>
      <c r="B334" s="79" t="s">
        <v>368</v>
      </c>
      <c r="C334" s="46">
        <v>570056</v>
      </c>
      <c r="D334" s="97">
        <v>0</v>
      </c>
      <c r="E334" s="10">
        <f>C334+D334</f>
        <v>570056</v>
      </c>
      <c r="F334" s="23">
        <v>659095</v>
      </c>
      <c r="G334" s="23">
        <v>25954</v>
      </c>
      <c r="H334" s="16">
        <f>F334+G334</f>
        <v>685049</v>
      </c>
      <c r="I334" s="16">
        <f>E334-H334</f>
        <v>-114993</v>
      </c>
      <c r="J334" s="23">
        <v>83000</v>
      </c>
      <c r="K334" s="23">
        <v>0</v>
      </c>
      <c r="L334" s="46">
        <v>0</v>
      </c>
      <c r="M334" s="46">
        <v>0</v>
      </c>
      <c r="N334" s="46">
        <v>0</v>
      </c>
      <c r="O334" s="46">
        <v>0</v>
      </c>
      <c r="P334" s="78">
        <f>I334-M334-J334-K334-N334-L334</f>
        <v>-197993</v>
      </c>
      <c r="Q334" s="155"/>
      <c r="R334" s="155"/>
      <c r="S334" s="45">
        <f>IF(-$P334&lt;VLOOKUP(A334,Eligibility!$A$3:$F$423,6,0),-P334,VLOOKUP(A334,Eligibility!$A$3:$F$423,6,0))</f>
        <v>197993</v>
      </c>
      <c r="T334" s="155"/>
      <c r="U334" s="155"/>
      <c r="V334" s="39"/>
      <c r="W334" s="155"/>
      <c r="X334" s="143"/>
      <c r="Y334" s="143"/>
      <c r="Z334" s="10"/>
      <c r="AA334" s="155"/>
      <c r="AB334" s="155"/>
      <c r="AC334" s="143"/>
      <c r="AD334" s="16"/>
      <c r="AE334" s="16"/>
      <c r="AF334" s="143"/>
      <c r="AG334" s="143"/>
      <c r="AH334" s="143"/>
      <c r="AI334" s="143"/>
      <c r="AJ334" s="143"/>
      <c r="AK334" s="16"/>
      <c r="AL334" s="16"/>
      <c r="AM334" s="143"/>
      <c r="AN334" s="177">
        <f>SUM(P334:AM334)-O334</f>
        <v>0</v>
      </c>
    </row>
    <row r="335" spans="1:40" ht="15" thickBot="1" x14ac:dyDescent="0.4">
      <c r="A335" s="40">
        <v>5355</v>
      </c>
      <c r="B335" s="79" t="s">
        <v>369</v>
      </c>
      <c r="C335" s="46">
        <v>1077494</v>
      </c>
      <c r="D335" s="97">
        <v>48750</v>
      </c>
      <c r="E335" s="10">
        <f>C335+D335</f>
        <v>1126244</v>
      </c>
      <c r="F335" s="23">
        <v>290128</v>
      </c>
      <c r="G335" s="23">
        <v>0</v>
      </c>
      <c r="H335" s="16">
        <f>F335+G335</f>
        <v>290128</v>
      </c>
      <c r="I335" s="16">
        <f>E335-H335</f>
        <v>836116</v>
      </c>
      <c r="J335" s="23">
        <v>60038</v>
      </c>
      <c r="K335" s="23">
        <v>45419.5</v>
      </c>
      <c r="L335" s="46">
        <v>0</v>
      </c>
      <c r="M335" s="46">
        <v>0</v>
      </c>
      <c r="N335" s="46">
        <v>0</v>
      </c>
      <c r="O335" s="46">
        <v>0</v>
      </c>
      <c r="P335" s="78">
        <f>I335-M335-J335-K335-N335-L335</f>
        <v>730658.5</v>
      </c>
      <c r="Q335" s="155"/>
      <c r="R335" s="155"/>
      <c r="S335" s="45">
        <f>IF(J335+K335+L335+M335+N335&lt;VLOOKUP(A335,Eligibility!$A$3:$F$423,6,0),J335+K335+L335+M335+N335,VLOOKUP(A335,Eligibility!$A$3:$F$423,6,0))</f>
        <v>105457.5</v>
      </c>
      <c r="T335" s="155"/>
      <c r="U335" s="155"/>
      <c r="V335" s="39"/>
      <c r="W335" s="155"/>
      <c r="X335" s="143"/>
      <c r="Y335" s="143"/>
      <c r="Z335" s="10"/>
      <c r="AA335" s="155"/>
      <c r="AB335" s="155"/>
      <c r="AC335" s="143"/>
      <c r="AD335" s="16"/>
      <c r="AE335" s="16"/>
      <c r="AF335" s="143"/>
      <c r="AG335" s="143"/>
      <c r="AH335" s="143"/>
      <c r="AI335" s="143"/>
      <c r="AJ335" s="143"/>
      <c r="AK335" s="16"/>
      <c r="AL335" s="16"/>
      <c r="AM335" s="143"/>
      <c r="AN335" s="177">
        <f>SUM(P335:AM335)-O335</f>
        <v>836116</v>
      </c>
    </row>
    <row r="336" spans="1:40" ht="15" thickBot="1" x14ac:dyDescent="0.4">
      <c r="A336" s="40">
        <v>5362</v>
      </c>
      <c r="B336" s="79" t="s">
        <v>370</v>
      </c>
      <c r="C336" s="46">
        <v>225389</v>
      </c>
      <c r="D336" s="97">
        <v>0</v>
      </c>
      <c r="E336" s="10">
        <f>C336+D336</f>
        <v>225389</v>
      </c>
      <c r="F336" s="23">
        <v>335091</v>
      </c>
      <c r="G336" s="23">
        <v>0</v>
      </c>
      <c r="H336" s="16">
        <f>F336+G336</f>
        <v>335091</v>
      </c>
      <c r="I336" s="16">
        <f>E336-H336</f>
        <v>-109702</v>
      </c>
      <c r="J336" s="23">
        <v>0</v>
      </c>
      <c r="K336" s="23">
        <v>0</v>
      </c>
      <c r="L336" s="46">
        <v>0</v>
      </c>
      <c r="M336" s="46">
        <v>0</v>
      </c>
      <c r="N336" s="46">
        <v>0</v>
      </c>
      <c r="O336" s="46">
        <v>0</v>
      </c>
      <c r="P336" s="78">
        <f>I336-M336-J336-K336-N336-L336</f>
        <v>-109702</v>
      </c>
      <c r="Q336" s="155"/>
      <c r="R336" s="155"/>
      <c r="S336" s="45">
        <f>IF(-$P336&lt;VLOOKUP(A336,Eligibility!$A$3:$F$423,6,0),-P336,VLOOKUP(A336,Eligibility!$A$3:$F$423,6,0))</f>
        <v>109702</v>
      </c>
      <c r="T336" s="155"/>
      <c r="U336" s="155"/>
      <c r="V336" s="39"/>
      <c r="W336" s="155"/>
      <c r="X336" s="143"/>
      <c r="Y336" s="143"/>
      <c r="Z336" s="10"/>
      <c r="AA336" s="155"/>
      <c r="AB336" s="155"/>
      <c r="AC336" s="143"/>
      <c r="AD336" s="16"/>
      <c r="AE336" s="16"/>
      <c r="AF336" s="143"/>
      <c r="AG336" s="143"/>
      <c r="AH336" s="143"/>
      <c r="AI336" s="143"/>
      <c r="AJ336" s="143"/>
      <c r="AK336" s="16"/>
      <c r="AL336" s="16"/>
      <c r="AM336" s="143"/>
      <c r="AN336" s="177">
        <f>SUM(P336:AM336)-O336</f>
        <v>0</v>
      </c>
    </row>
    <row r="337" spans="1:40" ht="15" thickBot="1" x14ac:dyDescent="0.4">
      <c r="A337" s="40">
        <v>5369</v>
      </c>
      <c r="B337" s="79" t="s">
        <v>371</v>
      </c>
      <c r="C337" s="46">
        <v>732600</v>
      </c>
      <c r="D337" s="97">
        <v>0</v>
      </c>
      <c r="E337" s="10">
        <f>C337+D337</f>
        <v>732600</v>
      </c>
      <c r="F337" s="23">
        <v>496627</v>
      </c>
      <c r="G337" s="23">
        <v>0</v>
      </c>
      <c r="H337" s="16">
        <f>F337+G337</f>
        <v>496627</v>
      </c>
      <c r="I337" s="16">
        <f>E337-H337</f>
        <v>235973</v>
      </c>
      <c r="J337" s="23">
        <v>0</v>
      </c>
      <c r="K337" s="23">
        <v>0</v>
      </c>
      <c r="L337" s="46">
        <v>0</v>
      </c>
      <c r="M337" s="46">
        <v>0</v>
      </c>
      <c r="N337" s="46">
        <v>0</v>
      </c>
      <c r="O337" s="46">
        <v>0</v>
      </c>
      <c r="P337" s="78">
        <f>I337-M337-J337-K337-N337-L337</f>
        <v>235973</v>
      </c>
      <c r="Q337" s="155"/>
      <c r="R337" s="155"/>
      <c r="S337" s="45">
        <f>IF(J337+K337+L337+M337+N337&lt;VLOOKUP(A337,Eligibility!$A$3:$F$423,6,0),J337+K337+L337+M337+N337,VLOOKUP(A337,Eligibility!$A$3:$F$423,6,0))</f>
        <v>0</v>
      </c>
      <c r="T337" s="155"/>
      <c r="U337" s="155"/>
      <c r="V337" s="39"/>
      <c r="W337" s="155"/>
      <c r="X337" s="143"/>
      <c r="Y337" s="143"/>
      <c r="Z337" s="10"/>
      <c r="AA337" s="155"/>
      <c r="AB337" s="155"/>
      <c r="AC337" s="143"/>
      <c r="AD337" s="16"/>
      <c r="AE337" s="16"/>
      <c r="AF337" s="143"/>
      <c r="AG337" s="143"/>
      <c r="AH337" s="143"/>
      <c r="AI337" s="143"/>
      <c r="AJ337" s="143"/>
      <c r="AK337" s="16"/>
      <c r="AL337" s="16"/>
      <c r="AM337" s="143"/>
      <c r="AN337" s="177">
        <f>SUM(P337:AM337)-O337</f>
        <v>235973</v>
      </c>
    </row>
    <row r="338" spans="1:40" ht="15" thickBot="1" x14ac:dyDescent="0.4">
      <c r="A338" s="40">
        <v>5376</v>
      </c>
      <c r="B338" s="79" t="s">
        <v>46</v>
      </c>
      <c r="C338" s="46">
        <v>640447</v>
      </c>
      <c r="D338" s="97">
        <v>0</v>
      </c>
      <c r="E338" s="10">
        <f>C338+D338</f>
        <v>640447</v>
      </c>
      <c r="F338" s="23">
        <v>912192</v>
      </c>
      <c r="G338" s="23">
        <v>0</v>
      </c>
      <c r="H338" s="16">
        <f>F338+G338</f>
        <v>912192</v>
      </c>
      <c r="I338" s="16">
        <f>E338-H338</f>
        <v>-271745</v>
      </c>
      <c r="J338" s="23">
        <v>0</v>
      </c>
      <c r="K338" s="23">
        <v>0</v>
      </c>
      <c r="L338" s="46">
        <v>0</v>
      </c>
      <c r="M338" s="46">
        <v>0</v>
      </c>
      <c r="N338" s="46">
        <v>44496</v>
      </c>
      <c r="O338" s="46">
        <v>0</v>
      </c>
      <c r="P338" s="78">
        <f>I338-M338-J338-K338-N338-L338</f>
        <v>-316241</v>
      </c>
      <c r="Q338" s="155"/>
      <c r="R338" s="155">
        <f>148051-93606+19281+2935</f>
        <v>76661</v>
      </c>
      <c r="S338" s="45">
        <f>IF(-$P338&lt;VLOOKUP(A338,Eligibility!$A$3:$F$423,6,0),-P338,VLOOKUP(A338,Eligibility!$A$3:$F$423,6,0))</f>
        <v>207272</v>
      </c>
      <c r="T338" s="155"/>
      <c r="U338" s="155"/>
      <c r="V338" s="39"/>
      <c r="W338" s="155"/>
      <c r="X338" s="143"/>
      <c r="Y338" s="143"/>
      <c r="Z338" s="10">
        <v>32308</v>
      </c>
      <c r="AA338" s="155"/>
      <c r="AB338" s="155"/>
      <c r="AC338" s="143"/>
      <c r="AD338" s="16"/>
      <c r="AE338" s="16"/>
      <c r="AF338" s="143"/>
      <c r="AG338" s="143"/>
      <c r="AH338" s="143"/>
      <c r="AI338" s="143"/>
      <c r="AJ338" s="143"/>
      <c r="AK338" s="16"/>
      <c r="AL338" s="16"/>
      <c r="AM338" s="143"/>
      <c r="AN338" s="177">
        <f>SUM(P338:AM338)-O338</f>
        <v>0</v>
      </c>
    </row>
    <row r="339" spans="1:40" ht="15" thickBot="1" x14ac:dyDescent="0.4">
      <c r="A339" s="40">
        <v>5390</v>
      </c>
      <c r="B339" s="79" t="s">
        <v>372</v>
      </c>
      <c r="C339" s="46">
        <v>4238223</v>
      </c>
      <c r="D339" s="97">
        <v>0</v>
      </c>
      <c r="E339" s="10">
        <f>C339+D339</f>
        <v>4238223</v>
      </c>
      <c r="F339" s="23">
        <v>887473</v>
      </c>
      <c r="G339" s="23">
        <v>0</v>
      </c>
      <c r="H339" s="16">
        <f>F339+G339</f>
        <v>887473</v>
      </c>
      <c r="I339" s="16">
        <f>E339-H339</f>
        <v>3350750</v>
      </c>
      <c r="J339" s="23">
        <v>62896</v>
      </c>
      <c r="K339" s="23">
        <v>0</v>
      </c>
      <c r="L339" s="46">
        <v>0</v>
      </c>
      <c r="M339" s="46">
        <v>0</v>
      </c>
      <c r="N339" s="46">
        <v>0</v>
      </c>
      <c r="O339" s="46">
        <v>0</v>
      </c>
      <c r="P339" s="78">
        <f>I339-M339-J339-K339-N339-L339</f>
        <v>3287854</v>
      </c>
      <c r="Q339" s="155"/>
      <c r="R339" s="155"/>
      <c r="S339" s="45">
        <f>IF(J339+K339+L339+M339+N339&lt;VLOOKUP(A339,Eligibility!$A$3:$F$423,6,0),J339+K339+L339+M339+N339,VLOOKUP(A339,Eligibility!$A$3:$F$423,6,0))</f>
        <v>62896</v>
      </c>
      <c r="T339" s="155"/>
      <c r="U339" s="155"/>
      <c r="V339" s="39"/>
      <c r="W339" s="155"/>
      <c r="X339" s="143"/>
      <c r="Y339" s="143"/>
      <c r="Z339" s="10"/>
      <c r="AA339" s="155"/>
      <c r="AB339" s="155"/>
      <c r="AC339" s="143"/>
      <c r="AD339" s="16"/>
      <c r="AE339" s="16"/>
      <c r="AF339" s="143"/>
      <c r="AG339" s="143"/>
      <c r="AH339" s="143"/>
      <c r="AI339" s="143"/>
      <c r="AJ339" s="143"/>
      <c r="AK339" s="16"/>
      <c r="AL339" s="16"/>
      <c r="AM339" s="143"/>
      <c r="AN339" s="177">
        <f>SUM(P339:AM339)-O339</f>
        <v>3350750</v>
      </c>
    </row>
    <row r="340" spans="1:40" ht="15" thickBot="1" x14ac:dyDescent="0.4">
      <c r="A340" s="40">
        <v>5397</v>
      </c>
      <c r="B340" s="79" t="s">
        <v>373</v>
      </c>
      <c r="C340" s="46">
        <v>304374</v>
      </c>
      <c r="D340" s="97">
        <v>0</v>
      </c>
      <c r="E340" s="10">
        <f>C340+D340</f>
        <v>304374</v>
      </c>
      <c r="F340" s="23">
        <v>469487</v>
      </c>
      <c r="G340" s="23">
        <v>0</v>
      </c>
      <c r="H340" s="16">
        <f>F340+G340</f>
        <v>469487</v>
      </c>
      <c r="I340" s="16">
        <f>E340-H340</f>
        <v>-165113</v>
      </c>
      <c r="J340" s="23">
        <v>0</v>
      </c>
      <c r="K340" s="23">
        <v>0</v>
      </c>
      <c r="L340" s="46">
        <v>0</v>
      </c>
      <c r="M340" s="46">
        <v>0</v>
      </c>
      <c r="N340" s="46">
        <v>12450</v>
      </c>
      <c r="O340" s="46">
        <v>0</v>
      </c>
      <c r="P340" s="78">
        <f>I340-M340-J340-K340-N340-L340</f>
        <v>-177563</v>
      </c>
      <c r="Q340" s="155"/>
      <c r="R340" s="155"/>
      <c r="S340" s="45">
        <f>IF(-$P340&lt;VLOOKUP(A340,Eligibility!$A$3:$F$423,6,0),-P340,VLOOKUP(A340,Eligibility!$A$3:$F$423,6,0))</f>
        <v>177563</v>
      </c>
      <c r="T340" s="155"/>
      <c r="U340" s="155"/>
      <c r="V340" s="39"/>
      <c r="W340" s="155"/>
      <c r="X340" s="143"/>
      <c r="Y340" s="143"/>
      <c r="Z340" s="10"/>
      <c r="AA340" s="155"/>
      <c r="AB340" s="155"/>
      <c r="AC340" s="143"/>
      <c r="AD340" s="16"/>
      <c r="AE340" s="16"/>
      <c r="AF340" s="143"/>
      <c r="AG340" s="143"/>
      <c r="AH340" s="143"/>
      <c r="AI340" s="143"/>
      <c r="AJ340" s="143"/>
      <c r="AK340" s="16"/>
      <c r="AL340" s="16"/>
      <c r="AM340" s="143"/>
      <c r="AN340" s="177">
        <f>SUM(P340:AM340)-O340</f>
        <v>0</v>
      </c>
    </row>
    <row r="341" spans="1:40" ht="15" thickBot="1" x14ac:dyDescent="0.4">
      <c r="A341" s="40">
        <v>5432</v>
      </c>
      <c r="B341" s="79" t="s">
        <v>374</v>
      </c>
      <c r="C341" s="46">
        <v>900962</v>
      </c>
      <c r="D341" s="97">
        <v>0</v>
      </c>
      <c r="E341" s="10">
        <f>C341+D341</f>
        <v>900962</v>
      </c>
      <c r="F341" s="23">
        <v>944174</v>
      </c>
      <c r="G341" s="23">
        <v>0</v>
      </c>
      <c r="H341" s="16">
        <f>F341+G341</f>
        <v>944174</v>
      </c>
      <c r="I341" s="16">
        <f>E341-H341</f>
        <v>-43212</v>
      </c>
      <c r="J341" s="23">
        <v>33846</v>
      </c>
      <c r="K341" s="23">
        <v>0</v>
      </c>
      <c r="L341" s="46">
        <v>0</v>
      </c>
      <c r="M341" s="46">
        <v>7059.17</v>
      </c>
      <c r="N341" s="46">
        <v>0</v>
      </c>
      <c r="O341" s="46">
        <v>0</v>
      </c>
      <c r="P341" s="78">
        <f>I341-M341-J341-K341-N341-L341</f>
        <v>-84117.17</v>
      </c>
      <c r="Q341" s="155"/>
      <c r="R341" s="155"/>
      <c r="S341" s="45">
        <f>IF(-$P341&lt;VLOOKUP(A341,Eligibility!$A$3:$F$423,6,0),-P341,VLOOKUP(A341,Eligibility!$A$3:$F$423,6,0))</f>
        <v>84117.17</v>
      </c>
      <c r="T341" s="155"/>
      <c r="U341" s="155"/>
      <c r="V341" s="39"/>
      <c r="W341" s="155"/>
      <c r="X341" s="143"/>
      <c r="Y341" s="143"/>
      <c r="Z341" s="10"/>
      <c r="AA341" s="155"/>
      <c r="AB341" s="155"/>
      <c r="AC341" s="143"/>
      <c r="AD341" s="16"/>
      <c r="AE341" s="16"/>
      <c r="AF341" s="143"/>
      <c r="AG341" s="143"/>
      <c r="AH341" s="143"/>
      <c r="AI341" s="143"/>
      <c r="AJ341" s="143"/>
      <c r="AK341" s="16"/>
      <c r="AL341" s="16"/>
      <c r="AM341" s="143"/>
      <c r="AN341" s="177">
        <f>SUM(P341:AM341)-O341</f>
        <v>0</v>
      </c>
    </row>
    <row r="342" spans="1:40" ht="15" thickBot="1" x14ac:dyDescent="0.4">
      <c r="A342" s="40">
        <v>5439</v>
      </c>
      <c r="B342" s="79" t="s">
        <v>375</v>
      </c>
      <c r="C342" s="46">
        <v>3043279</v>
      </c>
      <c r="D342" s="97">
        <v>5501</v>
      </c>
      <c r="E342" s="10">
        <f>C342+D342</f>
        <v>3048780</v>
      </c>
      <c r="F342" s="23">
        <v>2970895</v>
      </c>
      <c r="G342" s="23">
        <v>37352</v>
      </c>
      <c r="H342" s="16">
        <f>F342+G342</f>
        <v>3008247</v>
      </c>
      <c r="I342" s="16">
        <f>E342-H342</f>
        <v>40533</v>
      </c>
      <c r="J342" s="23">
        <v>638229</v>
      </c>
      <c r="K342" s="23">
        <v>51908</v>
      </c>
      <c r="L342" s="46">
        <v>0</v>
      </c>
      <c r="M342" s="46">
        <v>0</v>
      </c>
      <c r="N342" s="46">
        <v>63636</v>
      </c>
      <c r="O342" s="46">
        <v>0</v>
      </c>
      <c r="P342" s="78">
        <f>I342-M342-J342-K342-N342-L342</f>
        <v>-713240</v>
      </c>
      <c r="Q342" s="155"/>
      <c r="R342" s="155"/>
      <c r="S342" s="45">
        <f>IF(J342+K342+L342+M342+N342&lt;VLOOKUP(A342,Eligibility!$A$3:$F$423,6,0),J342+K342+L342+M342+N342,VLOOKUP(A342,Eligibility!$A$3:$F$423,6,0))</f>
        <v>753773</v>
      </c>
      <c r="T342" s="155"/>
      <c r="U342" s="155"/>
      <c r="V342" s="39"/>
      <c r="W342" s="155"/>
      <c r="X342" s="143"/>
      <c r="Y342" s="143"/>
      <c r="Z342" s="10"/>
      <c r="AA342" s="155"/>
      <c r="AB342" s="155"/>
      <c r="AC342" s="143"/>
      <c r="AD342" s="16"/>
      <c r="AE342" s="16"/>
      <c r="AF342" s="143"/>
      <c r="AG342" s="143"/>
      <c r="AH342" s="143"/>
      <c r="AI342" s="143"/>
      <c r="AJ342" s="143"/>
      <c r="AK342" s="16"/>
      <c r="AL342" s="16"/>
      <c r="AM342" s="143"/>
      <c r="AN342" s="177">
        <f>SUM(P342:AM342)-O342</f>
        <v>40533</v>
      </c>
    </row>
    <row r="343" spans="1:40" ht="15" thickBot="1" x14ac:dyDescent="0.4">
      <c r="A343" s="40">
        <v>4522</v>
      </c>
      <c r="B343" s="79" t="s">
        <v>12</v>
      </c>
      <c r="C343" s="46">
        <v>217929</v>
      </c>
      <c r="D343" s="97">
        <v>0</v>
      </c>
      <c r="E343" s="10">
        <f>C343+D343</f>
        <v>217929</v>
      </c>
      <c r="F343" s="23">
        <v>434961</v>
      </c>
      <c r="G343" s="23">
        <v>0</v>
      </c>
      <c r="H343" s="16">
        <f>F343+G343</f>
        <v>434961</v>
      </c>
      <c r="I343" s="16">
        <f>E343-H343</f>
        <v>-217032</v>
      </c>
      <c r="J343" s="23">
        <v>0</v>
      </c>
      <c r="K343" s="23">
        <v>0</v>
      </c>
      <c r="L343" s="46">
        <v>0</v>
      </c>
      <c r="M343" s="46">
        <v>0</v>
      </c>
      <c r="N343" s="46">
        <v>0</v>
      </c>
      <c r="O343" s="46">
        <v>0</v>
      </c>
      <c r="P343" s="78">
        <f>I343-M343-J343-K343-N343-L343</f>
        <v>-217032</v>
      </c>
      <c r="Q343" s="155">
        <v>6068</v>
      </c>
      <c r="R343" s="155">
        <v>7381</v>
      </c>
      <c r="S343" s="45">
        <f>IF(-$P343&lt;VLOOKUP(A343,Eligibility!$A$3:$F$423,6,0),-P343,VLOOKUP(A343,Eligibility!$A$3:$F$423,6,0))</f>
        <v>10332</v>
      </c>
      <c r="T343" s="155">
        <v>3326</v>
      </c>
      <c r="U343" s="155">
        <v>2079</v>
      </c>
      <c r="V343" s="38">
        <v>2909</v>
      </c>
      <c r="W343" s="155">
        <v>13885</v>
      </c>
      <c r="X343" s="143">
        <v>27437</v>
      </c>
      <c r="Y343" s="143">
        <v>26731</v>
      </c>
      <c r="Z343" s="10">
        <v>27084.720000000001</v>
      </c>
      <c r="AA343" s="155">
        <v>89799.28</v>
      </c>
      <c r="AB343" s="155"/>
      <c r="AC343" s="143"/>
      <c r="AD343" s="16"/>
      <c r="AE343" s="10"/>
      <c r="AF343" s="143"/>
      <c r="AG343" s="143"/>
      <c r="AH343" s="143"/>
      <c r="AI343" s="143"/>
      <c r="AJ343" s="143"/>
      <c r="AK343" s="16"/>
      <c r="AL343" s="16"/>
      <c r="AM343" s="143"/>
      <c r="AN343" s="177">
        <f>SUM(P343:AM343)-O343</f>
        <v>0</v>
      </c>
    </row>
    <row r="344" spans="1:40" ht="15" thickBot="1" x14ac:dyDescent="0.4">
      <c r="A344" s="40">
        <v>5457</v>
      </c>
      <c r="B344" s="79" t="s">
        <v>376</v>
      </c>
      <c r="C344" s="46">
        <v>1020190</v>
      </c>
      <c r="D344" s="97">
        <v>0</v>
      </c>
      <c r="E344" s="10">
        <f>C344+D344</f>
        <v>1020190</v>
      </c>
      <c r="F344" s="23">
        <v>1429319</v>
      </c>
      <c r="G344" s="23">
        <v>0</v>
      </c>
      <c r="H344" s="16">
        <f>F344+G344</f>
        <v>1429319</v>
      </c>
      <c r="I344" s="16">
        <f>E344-H344</f>
        <v>-409129</v>
      </c>
      <c r="J344" s="23">
        <v>42146</v>
      </c>
      <c r="K344" s="23">
        <v>0</v>
      </c>
      <c r="L344" s="46">
        <v>0</v>
      </c>
      <c r="M344" s="46">
        <v>0</v>
      </c>
      <c r="N344" s="46">
        <v>0</v>
      </c>
      <c r="O344" s="46">
        <v>0</v>
      </c>
      <c r="P344" s="78">
        <f>I344-M344-J344-K344-N344-L344</f>
        <v>-451275</v>
      </c>
      <c r="Q344" s="155"/>
      <c r="R344" s="155"/>
      <c r="S344" s="45">
        <f>IF(-$P344&lt;VLOOKUP(A344,Eligibility!$A$3:$F$423,6,0),-P344,VLOOKUP(A344,Eligibility!$A$3:$F$423,6,0))</f>
        <v>451275</v>
      </c>
      <c r="T344" s="155"/>
      <c r="U344" s="155"/>
      <c r="V344" s="39"/>
      <c r="W344" s="155"/>
      <c r="X344" s="143"/>
      <c r="Y344" s="143"/>
      <c r="Z344" s="10"/>
      <c r="AA344" s="155"/>
      <c r="AB344" s="155"/>
      <c r="AC344" s="143"/>
      <c r="AD344" s="16"/>
      <c r="AE344" s="16"/>
      <c r="AF344" s="143"/>
      <c r="AG344" s="143"/>
      <c r="AH344" s="143"/>
      <c r="AI344" s="143"/>
      <c r="AJ344" s="143"/>
      <c r="AK344" s="16"/>
      <c r="AL344" s="16"/>
      <c r="AM344" s="143"/>
      <c r="AN344" s="177">
        <f>SUM(P344:AM344)-O344</f>
        <v>0</v>
      </c>
    </row>
    <row r="345" spans="1:40" ht="15" thickBot="1" x14ac:dyDescent="0.4">
      <c r="A345" s="40">
        <v>2485</v>
      </c>
      <c r="B345" s="79" t="s">
        <v>377</v>
      </c>
      <c r="C345" s="46">
        <v>449442</v>
      </c>
      <c r="D345" s="97">
        <v>0</v>
      </c>
      <c r="E345" s="10">
        <f>C345+D345</f>
        <v>449442</v>
      </c>
      <c r="F345" s="23">
        <v>475582</v>
      </c>
      <c r="G345" s="23">
        <v>0</v>
      </c>
      <c r="H345" s="16">
        <f>F345+G345</f>
        <v>475582</v>
      </c>
      <c r="I345" s="16">
        <f>E345-H345</f>
        <v>-26140</v>
      </c>
      <c r="J345" s="23">
        <v>0</v>
      </c>
      <c r="K345" s="23">
        <v>0</v>
      </c>
      <c r="L345" s="46">
        <v>0</v>
      </c>
      <c r="M345" s="46">
        <v>0</v>
      </c>
      <c r="N345" s="46">
        <v>18965</v>
      </c>
      <c r="O345" s="46">
        <v>0</v>
      </c>
      <c r="P345" s="78">
        <f>I345-M345-J345-K345-N345-L345</f>
        <v>-45105</v>
      </c>
      <c r="Q345" s="155"/>
      <c r="R345" s="155"/>
      <c r="S345" s="45">
        <f>IF(-$P345&lt;VLOOKUP(A345,Eligibility!$A$3:$F$423,6,0),-P345,VLOOKUP(A345,Eligibility!$A$3:$F$423,6,0))</f>
        <v>45105</v>
      </c>
      <c r="T345" s="155"/>
      <c r="U345" s="155"/>
      <c r="V345" s="39"/>
      <c r="W345" s="155"/>
      <c r="X345" s="143"/>
      <c r="Y345" s="143"/>
      <c r="Z345" s="10"/>
      <c r="AA345" s="155"/>
      <c r="AB345" s="155"/>
      <c r="AC345" s="143"/>
      <c r="AD345" s="16"/>
      <c r="AE345" s="16"/>
      <c r="AF345" s="143"/>
      <c r="AG345" s="143"/>
      <c r="AH345" s="143"/>
      <c r="AI345" s="143"/>
      <c r="AJ345" s="143"/>
      <c r="AK345" s="16"/>
      <c r="AL345" s="16"/>
      <c r="AM345" s="143"/>
      <c r="AN345" s="177">
        <f>SUM(P345:AM345)-O345</f>
        <v>0</v>
      </c>
    </row>
    <row r="346" spans="1:40" ht="15" thickBot="1" x14ac:dyDescent="0.4">
      <c r="A346" s="40">
        <v>5460</v>
      </c>
      <c r="B346" s="79" t="s">
        <v>378</v>
      </c>
      <c r="C346" s="46">
        <v>391962</v>
      </c>
      <c r="D346" s="97">
        <v>0</v>
      </c>
      <c r="E346" s="10">
        <f>C346+D346</f>
        <v>391962</v>
      </c>
      <c r="F346" s="23">
        <v>2081674</v>
      </c>
      <c r="G346" s="23">
        <v>0</v>
      </c>
      <c r="H346" s="16">
        <f>F346+G346</f>
        <v>2081674</v>
      </c>
      <c r="I346" s="16">
        <f>E346-H346</f>
        <v>-1689712</v>
      </c>
      <c r="J346" s="23">
        <v>502845</v>
      </c>
      <c r="K346" s="23">
        <v>86162</v>
      </c>
      <c r="L346" s="46">
        <v>0</v>
      </c>
      <c r="M346" s="46">
        <v>7059.17</v>
      </c>
      <c r="N346" s="46">
        <v>0</v>
      </c>
      <c r="O346" s="46">
        <v>0</v>
      </c>
      <c r="P346" s="78">
        <f>I346-M346-J346-K346-N346-L346</f>
        <v>-2285778.17</v>
      </c>
      <c r="Q346" s="155"/>
      <c r="R346" s="155"/>
      <c r="S346" s="45">
        <f>IF(-$P346&lt;VLOOKUP(A346,Eligibility!$A$3:$F$423,6,0),-P346,VLOOKUP(A346,Eligibility!$A$3:$F$423,6,0))</f>
        <v>2285778.17</v>
      </c>
      <c r="T346" s="155"/>
      <c r="U346" s="155"/>
      <c r="V346" s="39"/>
      <c r="W346" s="155"/>
      <c r="X346" s="143"/>
      <c r="Y346" s="143"/>
      <c r="Z346" s="10"/>
      <c r="AA346" s="155"/>
      <c r="AB346" s="155"/>
      <c r="AC346" s="143"/>
      <c r="AD346" s="16"/>
      <c r="AE346" s="16"/>
      <c r="AF346" s="143"/>
      <c r="AG346" s="143"/>
      <c r="AH346" s="143"/>
      <c r="AI346" s="143"/>
      <c r="AJ346" s="143"/>
      <c r="AK346" s="16"/>
      <c r="AL346" s="16"/>
      <c r="AM346" s="143"/>
      <c r="AN346" s="177">
        <f>SUM(P346:AM346)-O346</f>
        <v>0</v>
      </c>
    </row>
    <row r="347" spans="1:40" ht="15" thickBot="1" x14ac:dyDescent="0.4">
      <c r="A347" s="40">
        <v>5467</v>
      </c>
      <c r="B347" s="79" t="s">
        <v>379</v>
      </c>
      <c r="C347" s="46">
        <v>705608</v>
      </c>
      <c r="D347" s="97">
        <v>0</v>
      </c>
      <c r="E347" s="10">
        <f>C347+D347</f>
        <v>705608</v>
      </c>
      <c r="F347" s="23">
        <v>992460</v>
      </c>
      <c r="G347" s="23">
        <v>0</v>
      </c>
      <c r="H347" s="16">
        <f>F347+G347</f>
        <v>992460</v>
      </c>
      <c r="I347" s="16">
        <f>E347-H347</f>
        <v>-286852</v>
      </c>
      <c r="J347" s="23">
        <v>143684</v>
      </c>
      <c r="K347" s="23">
        <v>0</v>
      </c>
      <c r="L347" s="46">
        <v>0</v>
      </c>
      <c r="M347" s="46">
        <v>0</v>
      </c>
      <c r="N347" s="46">
        <v>40904</v>
      </c>
      <c r="O347" s="46">
        <v>0</v>
      </c>
      <c r="P347" s="78">
        <f>I347-M347-J347-K347-N347-L347</f>
        <v>-471440</v>
      </c>
      <c r="Q347" s="155"/>
      <c r="R347" s="155"/>
      <c r="S347" s="45">
        <f>IF(-$P347&lt;VLOOKUP(A347,Eligibility!$A$3:$F$423,6,0),-P347,VLOOKUP(A347,Eligibility!$A$3:$F$423,6,0))</f>
        <v>471440</v>
      </c>
      <c r="T347" s="155"/>
      <c r="U347" s="155"/>
      <c r="V347" s="39"/>
      <c r="W347" s="155"/>
      <c r="X347" s="143"/>
      <c r="Y347" s="143"/>
      <c r="Z347" s="39"/>
      <c r="AA347" s="155"/>
      <c r="AB347" s="155"/>
      <c r="AC347" s="143"/>
      <c r="AD347" s="16"/>
      <c r="AE347" s="16"/>
      <c r="AF347" s="143"/>
      <c r="AG347" s="143"/>
      <c r="AH347" s="143"/>
      <c r="AI347" s="143"/>
      <c r="AJ347" s="143"/>
      <c r="AK347" s="16"/>
      <c r="AL347" s="16"/>
      <c r="AM347" s="143"/>
      <c r="AN347" s="177">
        <f>SUM(P347:AM347)-O347</f>
        <v>0</v>
      </c>
    </row>
    <row r="348" spans="1:40" ht="15" thickBot="1" x14ac:dyDescent="0.4">
      <c r="A348" s="40">
        <v>5474</v>
      </c>
      <c r="B348" s="79" t="s">
        <v>34</v>
      </c>
      <c r="C348" s="46">
        <v>317754</v>
      </c>
      <c r="D348" s="97">
        <v>0</v>
      </c>
      <c r="E348" s="10">
        <f>C348+D348</f>
        <v>317754</v>
      </c>
      <c r="F348" s="23">
        <v>1728705</v>
      </c>
      <c r="G348" s="23">
        <v>0</v>
      </c>
      <c r="H348" s="16">
        <f>F348+G348</f>
        <v>1728705</v>
      </c>
      <c r="I348" s="16">
        <f>E348-H348</f>
        <v>-1410951</v>
      </c>
      <c r="J348" s="23">
        <v>244850</v>
      </c>
      <c r="K348" s="23">
        <v>0</v>
      </c>
      <c r="L348" s="46">
        <v>0</v>
      </c>
      <c r="M348" s="46">
        <v>0</v>
      </c>
      <c r="N348" s="46">
        <v>0</v>
      </c>
      <c r="O348" s="46">
        <v>0</v>
      </c>
      <c r="P348" s="78">
        <f>I348-M348-J348-K348-N348-L348</f>
        <v>-1655801</v>
      </c>
      <c r="Q348" s="155">
        <v>77756</v>
      </c>
      <c r="R348" s="155">
        <v>87689</v>
      </c>
      <c r="S348" s="45">
        <f>IF(-$P348&lt;VLOOKUP(A348,Eligibility!$A$3:$F$423,6,0),-P348,VLOOKUP(A348,Eligibility!$A$3:$F$423,6,0))</f>
        <v>122766</v>
      </c>
      <c r="T348" s="155">
        <v>1462</v>
      </c>
      <c r="U348" s="155">
        <v>914</v>
      </c>
      <c r="V348" s="39">
        <v>1278</v>
      </c>
      <c r="W348" s="155">
        <v>83904</v>
      </c>
      <c r="X348" s="143">
        <v>148691</v>
      </c>
      <c r="Y348" s="143">
        <v>144867</v>
      </c>
      <c r="Z348" s="10">
        <v>146779.32999999999</v>
      </c>
      <c r="AA348" s="155">
        <f>841099.67-2627</f>
        <v>838472.67</v>
      </c>
      <c r="AB348" s="155"/>
      <c r="AC348" s="143"/>
      <c r="AD348" s="16">
        <v>1222</v>
      </c>
      <c r="AE348" s="10"/>
      <c r="AF348" s="143"/>
      <c r="AG348" s="143"/>
      <c r="AH348" s="143"/>
      <c r="AI348" s="143"/>
      <c r="AJ348" s="143"/>
      <c r="AK348" s="16"/>
      <c r="AL348" s="16"/>
      <c r="AM348" s="143"/>
      <c r="AN348" s="177">
        <f>SUM(P348:AM348)-O348</f>
        <v>0</v>
      </c>
    </row>
    <row r="349" spans="1:40" ht="15" thickBot="1" x14ac:dyDescent="0.4">
      <c r="A349" s="40">
        <v>5586</v>
      </c>
      <c r="B349" s="79" t="s">
        <v>380</v>
      </c>
      <c r="C349" s="46">
        <v>731954</v>
      </c>
      <c r="D349" s="97">
        <v>0</v>
      </c>
      <c r="E349" s="10">
        <f>C349+D349</f>
        <v>731954</v>
      </c>
      <c r="F349" s="23">
        <v>952361</v>
      </c>
      <c r="G349" s="23">
        <v>0</v>
      </c>
      <c r="H349" s="16">
        <f>F349+G349</f>
        <v>952361</v>
      </c>
      <c r="I349" s="16">
        <f>E349-H349</f>
        <v>-220407</v>
      </c>
      <c r="J349" s="23">
        <v>0</v>
      </c>
      <c r="K349" s="23">
        <v>0</v>
      </c>
      <c r="L349" s="46">
        <v>0</v>
      </c>
      <c r="M349" s="46">
        <v>7059.17</v>
      </c>
      <c r="N349" s="46">
        <v>0</v>
      </c>
      <c r="O349" s="46">
        <v>0</v>
      </c>
      <c r="P349" s="78">
        <f>I349-M349-J349-K349-N349-L349</f>
        <v>-227466.17</v>
      </c>
      <c r="Q349" s="155"/>
      <c r="R349" s="155"/>
      <c r="S349" s="45">
        <f>IF(-$P349&lt;VLOOKUP(A349,Eligibility!$A$3:$F$423,6,0),-P349,VLOOKUP(A349,Eligibility!$A$3:$F$423,6,0))</f>
        <v>227466.17</v>
      </c>
      <c r="T349" s="155"/>
      <c r="U349" s="155"/>
      <c r="V349" s="39"/>
      <c r="W349" s="155"/>
      <c r="X349" s="143"/>
      <c r="Y349" s="143"/>
      <c r="Z349" s="10"/>
      <c r="AA349" s="155"/>
      <c r="AB349" s="155"/>
      <c r="AC349" s="143"/>
      <c r="AD349" s="16"/>
      <c r="AE349" s="16"/>
      <c r="AF349" s="143"/>
      <c r="AG349" s="143"/>
      <c r="AH349" s="143"/>
      <c r="AI349" s="143"/>
      <c r="AJ349" s="143"/>
      <c r="AK349" s="16"/>
      <c r="AL349" s="16"/>
      <c r="AM349" s="143"/>
      <c r="AN349" s="177">
        <f>SUM(P349:AM349)-O349</f>
        <v>0</v>
      </c>
    </row>
    <row r="350" spans="1:40" ht="15" thickBot="1" x14ac:dyDescent="0.4">
      <c r="A350" s="40">
        <v>5593</v>
      </c>
      <c r="B350" s="79" t="s">
        <v>381</v>
      </c>
      <c r="C350" s="46">
        <v>753769</v>
      </c>
      <c r="D350" s="97">
        <v>0</v>
      </c>
      <c r="E350" s="10">
        <f>C350+D350</f>
        <v>753769</v>
      </c>
      <c r="F350" s="23">
        <v>656312</v>
      </c>
      <c r="G350" s="23">
        <v>0</v>
      </c>
      <c r="H350" s="16">
        <f>F350+G350</f>
        <v>656312</v>
      </c>
      <c r="I350" s="16">
        <f>E350-H350</f>
        <v>97457</v>
      </c>
      <c r="J350" s="23">
        <v>49800</v>
      </c>
      <c r="K350" s="23">
        <v>0</v>
      </c>
      <c r="L350" s="46">
        <v>0</v>
      </c>
      <c r="M350" s="46">
        <v>0</v>
      </c>
      <c r="N350" s="46">
        <v>0</v>
      </c>
      <c r="O350" s="46">
        <v>0</v>
      </c>
      <c r="P350" s="78">
        <f>I350-M350-J350-K350-N350-L350</f>
        <v>47657</v>
      </c>
      <c r="Q350" s="155"/>
      <c r="R350" s="155"/>
      <c r="S350" s="45">
        <f>IF(J350+K350+L350+M350+N350&lt;VLOOKUP(A350,Eligibility!$A$3:$F$423,6,0),J350+K350+L350+M350+N350,VLOOKUP(A350,Eligibility!$A$3:$F$423,6,0))</f>
        <v>49800</v>
      </c>
      <c r="T350" s="155"/>
      <c r="U350" s="155"/>
      <c r="V350" s="39"/>
      <c r="W350" s="155"/>
      <c r="X350" s="143"/>
      <c r="Y350" s="143"/>
      <c r="Z350" s="10"/>
      <c r="AA350" s="155"/>
      <c r="AB350" s="155"/>
      <c r="AC350" s="143"/>
      <c r="AD350" s="16"/>
      <c r="AE350" s="16"/>
      <c r="AF350" s="143"/>
      <c r="AG350" s="143"/>
      <c r="AH350" s="143"/>
      <c r="AI350" s="143"/>
      <c r="AJ350" s="143"/>
      <c r="AK350" s="10"/>
      <c r="AL350" s="16"/>
      <c r="AM350" s="143"/>
      <c r="AN350" s="177">
        <f>SUM(P350:AM350)-O350</f>
        <v>97457</v>
      </c>
    </row>
    <row r="351" spans="1:40" ht="15" thickBot="1" x14ac:dyDescent="0.4">
      <c r="A351" s="40">
        <v>5607</v>
      </c>
      <c r="B351" s="79" t="s">
        <v>382</v>
      </c>
      <c r="C351" s="46">
        <v>1311234</v>
      </c>
      <c r="D351" s="97">
        <v>0</v>
      </c>
      <c r="E351" s="10">
        <f>C351+D351</f>
        <v>1311234</v>
      </c>
      <c r="F351" s="23">
        <v>3457225</v>
      </c>
      <c r="G351" s="23">
        <v>0</v>
      </c>
      <c r="H351" s="16">
        <f>F351+G351</f>
        <v>3457225</v>
      </c>
      <c r="I351" s="16">
        <f>E351-H351</f>
        <v>-2145991</v>
      </c>
      <c r="J351" s="23">
        <v>1523295</v>
      </c>
      <c r="K351" s="23">
        <v>64885</v>
      </c>
      <c r="L351" s="46">
        <v>0</v>
      </c>
      <c r="M351" s="46">
        <v>49414.19</v>
      </c>
      <c r="N351" s="46">
        <v>0</v>
      </c>
      <c r="O351" s="46">
        <v>0</v>
      </c>
      <c r="P351" s="78">
        <f>I351-M351-J351-K351-N351-L351</f>
        <v>-3783585.19</v>
      </c>
      <c r="Q351" s="155"/>
      <c r="R351" s="155"/>
      <c r="S351" s="45">
        <f>IF(-$P351&lt;VLOOKUP(A351,Eligibility!$A$3:$F$423,6,0),-P351,VLOOKUP(A351,Eligibility!$A$3:$F$423,6,0))</f>
        <v>3783585.19</v>
      </c>
      <c r="T351" s="155"/>
      <c r="U351" s="155"/>
      <c r="V351" s="39"/>
      <c r="W351" s="155"/>
      <c r="X351" s="143"/>
      <c r="Y351" s="143"/>
      <c r="Z351" s="10"/>
      <c r="AA351" s="155"/>
      <c r="AB351" s="155"/>
      <c r="AC351" s="143"/>
      <c r="AD351" s="16"/>
      <c r="AE351" s="16"/>
      <c r="AF351" s="143"/>
      <c r="AG351" s="143"/>
      <c r="AH351" s="143"/>
      <c r="AI351" s="143"/>
      <c r="AJ351" s="143"/>
      <c r="AK351" s="16"/>
      <c r="AL351" s="16"/>
      <c r="AM351" s="143"/>
      <c r="AN351" s="177">
        <f>SUM(P351:AM351)-O351</f>
        <v>0</v>
      </c>
    </row>
    <row r="352" spans="1:40" ht="15" thickBot="1" x14ac:dyDescent="0.4">
      <c r="A352" s="40">
        <v>5614</v>
      </c>
      <c r="B352" s="79" t="s">
        <v>50</v>
      </c>
      <c r="C352" s="46">
        <v>264082</v>
      </c>
      <c r="D352" s="97">
        <v>0</v>
      </c>
      <c r="E352" s="10">
        <f>C352+D352</f>
        <v>264082</v>
      </c>
      <c r="F352" s="23">
        <v>643408</v>
      </c>
      <c r="G352" s="23">
        <v>0</v>
      </c>
      <c r="H352" s="16">
        <f>F352+G352</f>
        <v>643408</v>
      </c>
      <c r="I352" s="16">
        <f>E352-H352</f>
        <v>-379326</v>
      </c>
      <c r="J352" s="23">
        <v>16600</v>
      </c>
      <c r="K352" s="23">
        <v>0</v>
      </c>
      <c r="L352" s="46">
        <v>0</v>
      </c>
      <c r="M352" s="46">
        <v>0</v>
      </c>
      <c r="N352" s="46">
        <v>0</v>
      </c>
      <c r="O352" s="46">
        <v>0</v>
      </c>
      <c r="P352" s="78">
        <f>I352-M352-J352-K352-N352-L352</f>
        <v>-395926</v>
      </c>
      <c r="Q352" s="155"/>
      <c r="R352" s="155">
        <f>126394-8351</f>
        <v>118043</v>
      </c>
      <c r="S352" s="45">
        <f>IF(-$P352&lt;VLOOKUP(A352,Eligibility!$A$3:$F$423,6,0),-P352,VLOOKUP(A352,Eligibility!$A$3:$F$423,6,0))</f>
        <v>277883</v>
      </c>
      <c r="T352" s="155"/>
      <c r="U352" s="155"/>
      <c r="V352" s="39"/>
      <c r="W352" s="155"/>
      <c r="X352" s="143"/>
      <c r="Y352" s="143"/>
      <c r="Z352" s="10"/>
      <c r="AA352" s="155"/>
      <c r="AB352" s="155"/>
      <c r="AC352" s="143"/>
      <c r="AD352" s="16"/>
      <c r="AE352" s="16"/>
      <c r="AF352" s="143"/>
      <c r="AG352" s="143"/>
      <c r="AH352" s="143"/>
      <c r="AI352" s="143"/>
      <c r="AJ352" s="143"/>
      <c r="AK352" s="10"/>
      <c r="AL352" s="16"/>
      <c r="AM352" s="143"/>
      <c r="AN352" s="177">
        <f>SUM(P352:AM352)-O352</f>
        <v>0</v>
      </c>
    </row>
    <row r="353" spans="1:40" ht="15" thickBot="1" x14ac:dyDescent="0.4">
      <c r="A353" s="40">
        <v>3542</v>
      </c>
      <c r="B353" s="79" t="s">
        <v>383</v>
      </c>
      <c r="C353" s="46">
        <v>691708</v>
      </c>
      <c r="D353" s="97">
        <v>0</v>
      </c>
      <c r="E353" s="10">
        <f>C353+D353</f>
        <v>691708</v>
      </c>
      <c r="F353" s="23">
        <v>393131</v>
      </c>
      <c r="G353" s="23">
        <v>0</v>
      </c>
      <c r="H353" s="16">
        <f>F353+G353</f>
        <v>393131</v>
      </c>
      <c r="I353" s="16">
        <f>E353-H353</f>
        <v>298577</v>
      </c>
      <c r="J353" s="23">
        <v>4150</v>
      </c>
      <c r="K353" s="23">
        <v>0</v>
      </c>
      <c r="L353" s="46">
        <v>0</v>
      </c>
      <c r="M353" s="46">
        <v>0</v>
      </c>
      <c r="N353" s="46">
        <v>0</v>
      </c>
      <c r="O353" s="46">
        <v>0</v>
      </c>
      <c r="P353" s="78">
        <f>I353-M353-J353-K353-N353-L353</f>
        <v>294427</v>
      </c>
      <c r="Q353" s="155"/>
      <c r="R353" s="155"/>
      <c r="S353" s="45">
        <f>IF(J353+K353+L353+M353+N353&lt;VLOOKUP(A353,Eligibility!$A$3:$F$423,6,0),J353+K353+L353+M353+N353,VLOOKUP(A353,Eligibility!$A$3:$F$423,6,0))</f>
        <v>4150</v>
      </c>
      <c r="T353" s="155"/>
      <c r="U353" s="155"/>
      <c r="V353" s="39"/>
      <c r="W353" s="155"/>
      <c r="X353" s="143"/>
      <c r="Y353" s="143"/>
      <c r="Z353" s="10"/>
      <c r="AA353" s="155"/>
      <c r="AB353" s="155"/>
      <c r="AC353" s="143"/>
      <c r="AD353" s="16"/>
      <c r="AE353" s="16"/>
      <c r="AF353" s="143"/>
      <c r="AG353" s="143"/>
      <c r="AH353" s="143"/>
      <c r="AI353" s="143"/>
      <c r="AJ353" s="143"/>
      <c r="AK353" s="16"/>
      <c r="AL353" s="16"/>
      <c r="AM353" s="143"/>
      <c r="AN353" s="177">
        <f>SUM(P353:AM353)-O353</f>
        <v>298577</v>
      </c>
    </row>
    <row r="354" spans="1:40" ht="15" thickBot="1" x14ac:dyDescent="0.4">
      <c r="A354" s="40">
        <v>5621</v>
      </c>
      <c r="B354" s="79" t="s">
        <v>384</v>
      </c>
      <c r="C354" s="46">
        <v>596899</v>
      </c>
      <c r="D354" s="97">
        <v>10669</v>
      </c>
      <c r="E354" s="10">
        <f>C354+D354</f>
        <v>607568</v>
      </c>
      <c r="F354" s="23">
        <v>1774061</v>
      </c>
      <c r="G354" s="23">
        <v>8125</v>
      </c>
      <c r="H354" s="16">
        <f>F354+G354</f>
        <v>1782186</v>
      </c>
      <c r="I354" s="16">
        <f>E354-H354</f>
        <v>-1174618</v>
      </c>
      <c r="J354" s="23">
        <v>67692</v>
      </c>
      <c r="K354" s="23">
        <v>0</v>
      </c>
      <c r="L354" s="46">
        <v>0</v>
      </c>
      <c r="M354" s="46">
        <v>0</v>
      </c>
      <c r="N354" s="46">
        <v>0</v>
      </c>
      <c r="O354" s="46">
        <v>0</v>
      </c>
      <c r="P354" s="78">
        <f>I354-M354-J354-K354-N354-L354</f>
        <v>-1242310</v>
      </c>
      <c r="Q354" s="155"/>
      <c r="R354" s="155"/>
      <c r="S354" s="45">
        <f>IF(-$P354&lt;VLOOKUP(A354,Eligibility!$A$3:$F$423,6,0),-P354,VLOOKUP(A354,Eligibility!$A$3:$F$423,6,0))</f>
        <v>1242310</v>
      </c>
      <c r="T354" s="155"/>
      <c r="U354" s="155"/>
      <c r="V354" s="39"/>
      <c r="W354" s="155"/>
      <c r="X354" s="143"/>
      <c r="Y354" s="143"/>
      <c r="Z354" s="10"/>
      <c r="AA354" s="155"/>
      <c r="AB354" s="155"/>
      <c r="AC354" s="143"/>
      <c r="AD354" s="16"/>
      <c r="AE354" s="16"/>
      <c r="AF354" s="143"/>
      <c r="AG354" s="143"/>
      <c r="AH354" s="143"/>
      <c r="AI354" s="143"/>
      <c r="AJ354" s="143"/>
      <c r="AK354" s="16"/>
      <c r="AL354" s="16"/>
      <c r="AM354" s="143"/>
      <c r="AN354" s="177">
        <f>SUM(P354:AM354)-O354</f>
        <v>0</v>
      </c>
    </row>
    <row r="355" spans="1:40" ht="15" thickBot="1" x14ac:dyDescent="0.4">
      <c r="A355" s="40">
        <v>5628</v>
      </c>
      <c r="B355" s="79" t="s">
        <v>385</v>
      </c>
      <c r="C355" s="46">
        <v>675194</v>
      </c>
      <c r="D355" s="97">
        <v>0</v>
      </c>
      <c r="E355" s="10">
        <f>C355+D355</f>
        <v>675194</v>
      </c>
      <c r="F355" s="23">
        <v>941270</v>
      </c>
      <c r="G355" s="23">
        <v>0</v>
      </c>
      <c r="H355" s="16">
        <f>F355+G355</f>
        <v>941270</v>
      </c>
      <c r="I355" s="16">
        <f>E355-H355</f>
        <v>-266076</v>
      </c>
      <c r="J355" s="23">
        <v>75346</v>
      </c>
      <c r="K355" s="23">
        <v>0</v>
      </c>
      <c r="L355" s="46">
        <v>0</v>
      </c>
      <c r="M355" s="46">
        <v>0</v>
      </c>
      <c r="N355" s="46">
        <v>0</v>
      </c>
      <c r="O355" s="46">
        <v>0</v>
      </c>
      <c r="P355" s="78">
        <f>I355-M355-J355-K355-N355-L355</f>
        <v>-341422</v>
      </c>
      <c r="Q355" s="155"/>
      <c r="R355" s="155"/>
      <c r="S355" s="45">
        <f>IF(-$P355&lt;VLOOKUP(A355,Eligibility!$A$3:$F$423,6,0),-P355,VLOOKUP(A355,Eligibility!$A$3:$F$423,6,0))</f>
        <v>341422</v>
      </c>
      <c r="T355" s="155"/>
      <c r="U355" s="155"/>
      <c r="V355" s="39"/>
      <c r="W355" s="155"/>
      <c r="X355" s="143"/>
      <c r="Y355" s="143"/>
      <c r="Z355" s="10"/>
      <c r="AA355" s="155"/>
      <c r="AB355" s="155"/>
      <c r="AC355" s="143"/>
      <c r="AD355" s="16"/>
      <c r="AE355" s="16"/>
      <c r="AF355" s="143"/>
      <c r="AG355" s="143"/>
      <c r="AH355" s="143"/>
      <c r="AI355" s="143"/>
      <c r="AJ355" s="143"/>
      <c r="AK355" s="16"/>
      <c r="AL355" s="16"/>
      <c r="AM355" s="143"/>
      <c r="AN355" s="177">
        <f>SUM(P355:AM355)-O355</f>
        <v>0</v>
      </c>
    </row>
    <row r="356" spans="1:40" ht="15" thickBot="1" x14ac:dyDescent="0.4">
      <c r="A356" s="40">
        <v>5642</v>
      </c>
      <c r="B356" s="79" t="s">
        <v>386</v>
      </c>
      <c r="C356" s="46">
        <v>1610023</v>
      </c>
      <c r="D356" s="97">
        <v>0</v>
      </c>
      <c r="E356" s="10">
        <f>C356+D356</f>
        <v>1610023</v>
      </c>
      <c r="F356" s="23">
        <v>1777660</v>
      </c>
      <c r="G356" s="23">
        <v>0</v>
      </c>
      <c r="H356" s="16">
        <f>F356+G356</f>
        <v>1777660</v>
      </c>
      <c r="I356" s="16">
        <f>E356-H356</f>
        <v>-167637</v>
      </c>
      <c r="J356" s="23">
        <v>208792</v>
      </c>
      <c r="K356" s="23">
        <v>0</v>
      </c>
      <c r="L356" s="46">
        <v>0</v>
      </c>
      <c r="M356" s="46">
        <v>0</v>
      </c>
      <c r="N356" s="46">
        <v>0</v>
      </c>
      <c r="O356" s="46">
        <v>0</v>
      </c>
      <c r="P356" s="78">
        <f>I356-M356-J356-K356-N356-L356</f>
        <v>-376429</v>
      </c>
      <c r="Q356" s="155"/>
      <c r="R356" s="155"/>
      <c r="S356" s="45">
        <f>IF(-$P356&lt;VLOOKUP(A356,Eligibility!$A$3:$F$423,6,0),-P356,VLOOKUP(A356,Eligibility!$A$3:$F$423,6,0))</f>
        <v>376429</v>
      </c>
      <c r="T356" s="155"/>
      <c r="U356" s="155"/>
      <c r="V356" s="39"/>
      <c r="W356" s="155"/>
      <c r="X356" s="143"/>
      <c r="Y356" s="143"/>
      <c r="Z356" s="10"/>
      <c r="AA356" s="155"/>
      <c r="AB356" s="155"/>
      <c r="AC356" s="143"/>
      <c r="AD356" s="16"/>
      <c r="AE356" s="16"/>
      <c r="AF356" s="143"/>
      <c r="AG356" s="143"/>
      <c r="AH356" s="143"/>
      <c r="AI356" s="143"/>
      <c r="AJ356" s="143"/>
      <c r="AK356" s="16"/>
      <c r="AL356" s="16"/>
      <c r="AM356" s="143"/>
      <c r="AN356" s="177">
        <f>SUM(P356:AM356)-O356</f>
        <v>0</v>
      </c>
    </row>
    <row r="357" spans="1:40" ht="15" thickBot="1" x14ac:dyDescent="0.4">
      <c r="A357" s="40">
        <v>5656</v>
      </c>
      <c r="B357" s="79" t="s">
        <v>387</v>
      </c>
      <c r="C357" s="46">
        <v>2419778</v>
      </c>
      <c r="D357" s="97">
        <v>25954</v>
      </c>
      <c r="E357" s="10">
        <f>C357+D357</f>
        <v>2445732</v>
      </c>
      <c r="F357" s="23">
        <v>2492677</v>
      </c>
      <c r="G357" s="23">
        <v>11153</v>
      </c>
      <c r="H357" s="16">
        <f>F357+G357</f>
        <v>2503830</v>
      </c>
      <c r="I357" s="16">
        <f>E357-H357</f>
        <v>-58098</v>
      </c>
      <c r="J357" s="23">
        <v>272244</v>
      </c>
      <c r="K357" s="23">
        <v>0</v>
      </c>
      <c r="L357" s="46">
        <v>172302</v>
      </c>
      <c r="M357" s="46">
        <v>7059.17</v>
      </c>
      <c r="N357" s="46">
        <v>12121</v>
      </c>
      <c r="O357" s="46">
        <v>0</v>
      </c>
      <c r="P357" s="78">
        <f>I357-M357-J357-K357-N357-L357</f>
        <v>-521824.17</v>
      </c>
      <c r="Q357" s="155"/>
      <c r="R357" s="155"/>
      <c r="S357" s="45">
        <f>IF(-$P357&lt;VLOOKUP(A357,Eligibility!$A$3:$F$423,6,0),-P357,VLOOKUP(A357,Eligibility!$A$3:$F$423,6,0))</f>
        <v>521824.17</v>
      </c>
      <c r="T357" s="155"/>
      <c r="U357" s="155"/>
      <c r="V357" s="39"/>
      <c r="W357" s="155"/>
      <c r="X357" s="143"/>
      <c r="Y357" s="143"/>
      <c r="Z357" s="10"/>
      <c r="AA357" s="155"/>
      <c r="AB357" s="155"/>
      <c r="AC357" s="143"/>
      <c r="AD357" s="16"/>
      <c r="AE357" s="16"/>
      <c r="AF357" s="143"/>
      <c r="AG357" s="143"/>
      <c r="AH357" s="143"/>
      <c r="AI357" s="143"/>
      <c r="AJ357" s="143"/>
      <c r="AK357" s="16"/>
      <c r="AL357" s="16"/>
      <c r="AM357" s="143"/>
      <c r="AN357" s="177">
        <f>SUM(P357:AM357)-O357</f>
        <v>0</v>
      </c>
    </row>
    <row r="358" spans="1:40" ht="15" thickBot="1" x14ac:dyDescent="0.4">
      <c r="A358" s="40">
        <v>5663</v>
      </c>
      <c r="B358" s="79" t="s">
        <v>388</v>
      </c>
      <c r="C358" s="46">
        <v>190079</v>
      </c>
      <c r="D358" s="97">
        <v>0</v>
      </c>
      <c r="E358" s="10">
        <f>C358+D358</f>
        <v>190079</v>
      </c>
      <c r="F358" s="23">
        <v>1262010</v>
      </c>
      <c r="G358" s="23">
        <v>0</v>
      </c>
      <c r="H358" s="16">
        <f>F358+G358</f>
        <v>1262010</v>
      </c>
      <c r="I358" s="16">
        <f>E358-H358</f>
        <v>-1071931</v>
      </c>
      <c r="J358" s="23">
        <v>0</v>
      </c>
      <c r="K358" s="23">
        <v>0</v>
      </c>
      <c r="L358" s="46">
        <v>17136</v>
      </c>
      <c r="M358" s="46">
        <v>7059.17</v>
      </c>
      <c r="N358" s="46">
        <v>0</v>
      </c>
      <c r="O358" s="46">
        <v>0</v>
      </c>
      <c r="P358" s="78">
        <f>I358-M358-J358-K358-N358-L358</f>
        <v>-1096126.17</v>
      </c>
      <c r="Q358" s="155"/>
      <c r="R358" s="155"/>
      <c r="S358" s="45">
        <f>IF(-$P358&lt;VLOOKUP(A358,Eligibility!$A$3:$F$423,6,0),-P358,VLOOKUP(A358,Eligibility!$A$3:$F$423,6,0))</f>
        <v>1096126.17</v>
      </c>
      <c r="T358" s="155"/>
      <c r="U358" s="155"/>
      <c r="V358" s="39"/>
      <c r="W358" s="155"/>
      <c r="X358" s="143"/>
      <c r="Y358" s="143"/>
      <c r="Z358" s="10"/>
      <c r="AA358" s="155"/>
      <c r="AB358" s="155"/>
      <c r="AC358" s="143"/>
      <c r="AD358" s="16"/>
      <c r="AE358" s="16"/>
      <c r="AF358" s="143"/>
      <c r="AG358" s="143"/>
      <c r="AH358" s="143"/>
      <c r="AI358" s="143"/>
      <c r="AJ358" s="143"/>
      <c r="AK358" s="16"/>
      <c r="AL358" s="16"/>
      <c r="AM358" s="143"/>
      <c r="AN358" s="177">
        <f>SUM(P358:AM358)-O358</f>
        <v>0</v>
      </c>
    </row>
    <row r="359" spans="1:40" ht="15" thickBot="1" x14ac:dyDescent="0.4">
      <c r="A359" s="40">
        <v>5670</v>
      </c>
      <c r="B359" s="79" t="s">
        <v>43</v>
      </c>
      <c r="C359" s="46">
        <v>273618</v>
      </c>
      <c r="D359" s="97">
        <v>0</v>
      </c>
      <c r="E359" s="10">
        <f>C359+D359</f>
        <v>273618</v>
      </c>
      <c r="F359" s="23">
        <v>416343</v>
      </c>
      <c r="G359" s="23">
        <v>0</v>
      </c>
      <c r="H359" s="16">
        <f>F359+G359</f>
        <v>416343</v>
      </c>
      <c r="I359" s="16">
        <f>E359-H359</f>
        <v>-142725</v>
      </c>
      <c r="J359" s="23">
        <v>8300</v>
      </c>
      <c r="K359" s="23">
        <v>0</v>
      </c>
      <c r="L359" s="46">
        <v>0</v>
      </c>
      <c r="M359" s="46">
        <v>0</v>
      </c>
      <c r="N359" s="46">
        <v>0</v>
      </c>
      <c r="O359" s="46">
        <v>0</v>
      </c>
      <c r="P359" s="78">
        <f>I359-M359-J359-K359-N359-L359</f>
        <v>-151025</v>
      </c>
      <c r="Q359" s="155">
        <v>16628</v>
      </c>
      <c r="R359" s="155">
        <v>17087</v>
      </c>
      <c r="S359" s="45">
        <f>IF(-$P359&lt;VLOOKUP(A359,Eligibility!$A$3:$F$423,6,0),-P359,VLOOKUP(A359,Eligibility!$A$3:$F$423,6,0))</f>
        <v>23923</v>
      </c>
      <c r="T359" s="155">
        <v>6612</v>
      </c>
      <c r="U359" s="155">
        <v>4132</v>
      </c>
      <c r="V359" s="38">
        <v>5785</v>
      </c>
      <c r="W359" s="155">
        <v>26579</v>
      </c>
      <c r="X359" s="143"/>
      <c r="Y359" s="143"/>
      <c r="Z359" s="10">
        <v>44557.83</v>
      </c>
      <c r="AA359" s="155">
        <v>4504.17</v>
      </c>
      <c r="AB359" s="155"/>
      <c r="AC359" s="143"/>
      <c r="AD359" s="16">
        <v>1217</v>
      </c>
      <c r="AE359" s="16"/>
      <c r="AF359" s="143"/>
      <c r="AG359" s="143"/>
      <c r="AH359" s="143"/>
      <c r="AI359" s="143"/>
      <c r="AJ359" s="143"/>
      <c r="AK359" s="16"/>
      <c r="AL359" s="16"/>
      <c r="AM359" s="143"/>
      <c r="AN359" s="177">
        <f>SUM(P359:AM359)-O359</f>
        <v>0</v>
      </c>
    </row>
    <row r="360" spans="1:40" ht="15" thickBot="1" x14ac:dyDescent="0.4">
      <c r="A360" s="40">
        <v>3510</v>
      </c>
      <c r="B360" s="79" t="s">
        <v>389</v>
      </c>
      <c r="C360" s="46">
        <v>673261</v>
      </c>
      <c r="D360" s="97">
        <v>0</v>
      </c>
      <c r="E360" s="10">
        <f>C360+D360</f>
        <v>673261</v>
      </c>
      <c r="F360" s="23">
        <v>415727</v>
      </c>
      <c r="G360" s="23">
        <v>0</v>
      </c>
      <c r="H360" s="16">
        <f>F360+G360</f>
        <v>415727</v>
      </c>
      <c r="I360" s="16">
        <f>E360-H360</f>
        <v>257534</v>
      </c>
      <c r="J360" s="23">
        <v>8300</v>
      </c>
      <c r="K360" s="23">
        <v>0</v>
      </c>
      <c r="L360" s="46">
        <v>0</v>
      </c>
      <c r="M360" s="46">
        <v>0</v>
      </c>
      <c r="N360" s="46">
        <v>0</v>
      </c>
      <c r="O360" s="46">
        <v>0</v>
      </c>
      <c r="P360" s="78">
        <f>I360-M360-J360-K360-N360-L360</f>
        <v>249234</v>
      </c>
      <c r="Q360" s="155"/>
      <c r="R360" s="155"/>
      <c r="S360" s="45">
        <f>IF(J360+K360+L360+M360+N360&lt;VLOOKUP(A360,Eligibility!$A$3:$F$423,6,0),J360+K360+L360+M360+N360,VLOOKUP(A360,Eligibility!$A$3:$F$423,6,0))</f>
        <v>8300</v>
      </c>
      <c r="T360" s="155"/>
      <c r="U360" s="155"/>
      <c r="V360" s="39"/>
      <c r="W360" s="155"/>
      <c r="X360" s="143"/>
      <c r="Y360" s="143"/>
      <c r="Z360" s="10"/>
      <c r="AA360" s="155"/>
      <c r="AB360" s="155"/>
      <c r="AC360" s="143"/>
      <c r="AD360" s="16"/>
      <c r="AE360" s="16"/>
      <c r="AF360" s="143"/>
      <c r="AG360" s="143"/>
      <c r="AH360" s="143"/>
      <c r="AI360" s="143"/>
      <c r="AJ360" s="143"/>
      <c r="AK360" s="16"/>
      <c r="AL360" s="16"/>
      <c r="AM360" s="143"/>
      <c r="AN360" s="177">
        <f>SUM(P360:AM360)-O360</f>
        <v>257534</v>
      </c>
    </row>
    <row r="361" spans="1:40" ht="15" thickBot="1" x14ac:dyDescent="0.4">
      <c r="A361" s="40">
        <v>5726</v>
      </c>
      <c r="B361" s="79" t="s">
        <v>390</v>
      </c>
      <c r="C361" s="46">
        <v>524375</v>
      </c>
      <c r="D361" s="97">
        <v>0</v>
      </c>
      <c r="E361" s="10">
        <f>C361+D361</f>
        <v>524375</v>
      </c>
      <c r="F361" s="23">
        <v>425354</v>
      </c>
      <c r="G361" s="23">
        <v>0</v>
      </c>
      <c r="H361" s="16">
        <f>F361+G361</f>
        <v>425354</v>
      </c>
      <c r="I361" s="16">
        <f>E361-H361</f>
        <v>99021</v>
      </c>
      <c r="J361" s="23">
        <v>99600</v>
      </c>
      <c r="K361" s="23">
        <v>0</v>
      </c>
      <c r="L361" s="46">
        <v>0</v>
      </c>
      <c r="M361" s="46">
        <v>0</v>
      </c>
      <c r="N361" s="46">
        <v>26600</v>
      </c>
      <c r="O361" s="46">
        <v>0</v>
      </c>
      <c r="P361" s="78">
        <f>I361-M361-J361-K361-N361-L361</f>
        <v>-27179</v>
      </c>
      <c r="Q361" s="155"/>
      <c r="R361" s="155"/>
      <c r="S361" s="45">
        <f>IF(J361+K361+L361+M361+N361&lt;VLOOKUP(A361,Eligibility!$A$3:$F$423,6,0),J361+K361+L361+M361+N361,VLOOKUP(A361,Eligibility!$A$3:$F$423,6,0))</f>
        <v>126200</v>
      </c>
      <c r="T361" s="155"/>
      <c r="U361" s="155"/>
      <c r="V361" s="39"/>
      <c r="W361" s="155"/>
      <c r="X361" s="143"/>
      <c r="Y361" s="143"/>
      <c r="Z361" s="10"/>
      <c r="AA361" s="155"/>
      <c r="AB361" s="155"/>
      <c r="AC361" s="143"/>
      <c r="AD361" s="16"/>
      <c r="AE361" s="16"/>
      <c r="AF361" s="143"/>
      <c r="AG361" s="143"/>
      <c r="AH361" s="143"/>
      <c r="AI361" s="143"/>
      <c r="AJ361" s="143"/>
      <c r="AK361" s="16"/>
      <c r="AL361" s="16"/>
      <c r="AM361" s="143"/>
      <c r="AN361" s="177">
        <f>SUM(P361:AM361)-O361</f>
        <v>99021</v>
      </c>
    </row>
    <row r="362" spans="1:40" ht="15" thickBot="1" x14ac:dyDescent="0.4">
      <c r="A362" s="40">
        <v>5733</v>
      </c>
      <c r="B362" s="79" t="s">
        <v>44</v>
      </c>
      <c r="C362" s="46">
        <v>712126</v>
      </c>
      <c r="D362" s="97">
        <v>0</v>
      </c>
      <c r="E362" s="10">
        <f>C362+D362</f>
        <v>712126</v>
      </c>
      <c r="F362" s="23">
        <v>661760</v>
      </c>
      <c r="G362" s="23">
        <v>0</v>
      </c>
      <c r="H362" s="16">
        <f>F362+G362</f>
        <v>661760</v>
      </c>
      <c r="I362" s="16">
        <f>E362-H362</f>
        <v>50366</v>
      </c>
      <c r="J362" s="23">
        <v>0</v>
      </c>
      <c r="K362" s="23">
        <v>0</v>
      </c>
      <c r="L362" s="46">
        <v>0</v>
      </c>
      <c r="M362" s="46">
        <v>0</v>
      </c>
      <c r="N362" s="46">
        <v>0</v>
      </c>
      <c r="O362" s="46">
        <v>0</v>
      </c>
      <c r="P362" s="78">
        <f>I362-M362-J362-K362-N362-L362</f>
        <v>50366</v>
      </c>
      <c r="Q362" s="155"/>
      <c r="R362" s="155"/>
      <c r="S362" s="45">
        <f>IF(J362+K362+L362+M362+N362&lt;VLOOKUP(A362,Eligibility!$A$3:$F$423,6,0),J362+K362+L362+M362+N362,VLOOKUP(A362,Eligibility!$A$3:$F$423,6,0))</f>
        <v>0</v>
      </c>
      <c r="T362" s="155"/>
      <c r="U362" s="155"/>
      <c r="V362" s="39"/>
      <c r="W362" s="155"/>
      <c r="X362" s="143"/>
      <c r="Y362" s="143"/>
      <c r="Z362" s="10"/>
      <c r="AA362" s="155"/>
      <c r="AB362" s="155"/>
      <c r="AC362" s="143"/>
      <c r="AD362" s="16"/>
      <c r="AE362" s="16"/>
      <c r="AF362" s="143"/>
      <c r="AG362" s="143"/>
      <c r="AH362" s="143"/>
      <c r="AI362" s="143"/>
      <c r="AJ362" s="143"/>
      <c r="AK362" s="16"/>
      <c r="AL362" s="16"/>
      <c r="AM362" s="143"/>
      <c r="AN362" s="177">
        <f>SUM(P362:AM362)-O362</f>
        <v>50366</v>
      </c>
    </row>
    <row r="363" spans="1:40" ht="15" thickBot="1" x14ac:dyDescent="0.4">
      <c r="A363" s="40">
        <v>5740</v>
      </c>
      <c r="B363" s="79" t="s">
        <v>391</v>
      </c>
      <c r="C363" s="46">
        <v>178935</v>
      </c>
      <c r="D363" s="97">
        <v>0</v>
      </c>
      <c r="E363" s="10">
        <f>C363+D363</f>
        <v>178935</v>
      </c>
      <c r="F363" s="23">
        <v>192084</v>
      </c>
      <c r="G363" s="23">
        <v>0</v>
      </c>
      <c r="H363" s="16">
        <f>F363+G363</f>
        <v>192084</v>
      </c>
      <c r="I363" s="16">
        <f>E363-H363</f>
        <v>-13149</v>
      </c>
      <c r="J363" s="23">
        <v>0</v>
      </c>
      <c r="K363" s="23">
        <v>0</v>
      </c>
      <c r="L363" s="46">
        <v>0</v>
      </c>
      <c r="M363" s="46">
        <v>0</v>
      </c>
      <c r="N363" s="46">
        <v>0</v>
      </c>
      <c r="O363" s="46">
        <v>0</v>
      </c>
      <c r="P363" s="78">
        <f>I363-M363-J363-K363-N363-L363</f>
        <v>-13149</v>
      </c>
      <c r="Q363" s="155"/>
      <c r="R363" s="155"/>
      <c r="S363" s="45">
        <f>IF(-$P363&lt;VLOOKUP(A363,Eligibility!$A$3:$F$423,6,0),-P363,VLOOKUP(A363,Eligibility!$A$3:$F$423,6,0))</f>
        <v>13149</v>
      </c>
      <c r="T363" s="155"/>
      <c r="U363" s="155"/>
      <c r="V363" s="39"/>
      <c r="W363" s="155"/>
      <c r="X363" s="143"/>
      <c r="Y363" s="143"/>
      <c r="Z363" s="10"/>
      <c r="AA363" s="155"/>
      <c r="AB363" s="155"/>
      <c r="AC363" s="143"/>
      <c r="AD363" s="16"/>
      <c r="AE363" s="16"/>
      <c r="AF363" s="143"/>
      <c r="AG363" s="143"/>
      <c r="AH363" s="143"/>
      <c r="AI363" s="143"/>
      <c r="AJ363" s="143"/>
      <c r="AK363" s="16"/>
      <c r="AL363" s="16"/>
      <c r="AM363" s="143"/>
      <c r="AN363" s="177">
        <f>SUM(P363:AM363)-O363</f>
        <v>0</v>
      </c>
    </row>
    <row r="364" spans="1:40" ht="15" thickBot="1" x14ac:dyDescent="0.4">
      <c r="A364" s="40">
        <v>5747</v>
      </c>
      <c r="B364" s="79" t="s">
        <v>392</v>
      </c>
      <c r="C364" s="46">
        <v>806216</v>
      </c>
      <c r="D364" s="97">
        <v>0</v>
      </c>
      <c r="E364" s="10">
        <f>C364+D364</f>
        <v>806216</v>
      </c>
      <c r="F364" s="23">
        <v>1045182</v>
      </c>
      <c r="G364" s="23">
        <v>0</v>
      </c>
      <c r="H364" s="16">
        <f>F364+G364</f>
        <v>1045182</v>
      </c>
      <c r="I364" s="16">
        <f>E364-H364</f>
        <v>-238966</v>
      </c>
      <c r="J364" s="23">
        <v>60684</v>
      </c>
      <c r="K364" s="23">
        <v>0</v>
      </c>
      <c r="L364" s="46">
        <v>0</v>
      </c>
      <c r="M364" s="46">
        <v>35295.85</v>
      </c>
      <c r="N364" s="46">
        <v>0</v>
      </c>
      <c r="O364" s="46">
        <v>0</v>
      </c>
      <c r="P364" s="78">
        <f>I364-M364-J364-K364-N364-L364</f>
        <v>-334945.84999999998</v>
      </c>
      <c r="Q364" s="155"/>
      <c r="R364" s="155"/>
      <c r="S364" s="45">
        <f>IF(-$P364&lt;VLOOKUP(A364,Eligibility!$A$3:$F$423,6,0),-P364,VLOOKUP(A364,Eligibility!$A$3:$F$423,6,0))</f>
        <v>334945.84999999998</v>
      </c>
      <c r="T364" s="155"/>
      <c r="U364" s="155"/>
      <c r="V364" s="39"/>
      <c r="W364" s="155"/>
      <c r="X364" s="143"/>
      <c r="Y364" s="143"/>
      <c r="Z364" s="10"/>
      <c r="AA364" s="155"/>
      <c r="AB364" s="155"/>
      <c r="AC364" s="143"/>
      <c r="AD364" s="16"/>
      <c r="AE364" s="16"/>
      <c r="AF364" s="143"/>
      <c r="AG364" s="143"/>
      <c r="AH364" s="143"/>
      <c r="AI364" s="143"/>
      <c r="AJ364" s="143"/>
      <c r="AK364" s="16"/>
      <c r="AL364" s="16"/>
      <c r="AM364" s="143"/>
      <c r="AN364" s="177">
        <f>SUM(P364:AM364)-O364</f>
        <v>0</v>
      </c>
    </row>
    <row r="365" spans="1:40" ht="15" thickBot="1" x14ac:dyDescent="0.4">
      <c r="A365" s="40">
        <v>5754</v>
      </c>
      <c r="B365" s="79" t="s">
        <v>393</v>
      </c>
      <c r="C365" s="46">
        <v>588772</v>
      </c>
      <c r="D365" s="97">
        <v>0</v>
      </c>
      <c r="E365" s="10">
        <f>C365+D365</f>
        <v>588772</v>
      </c>
      <c r="F365" s="23">
        <v>504818</v>
      </c>
      <c r="G365" s="23">
        <v>0</v>
      </c>
      <c r="H365" s="16">
        <f>F365+G365</f>
        <v>504818</v>
      </c>
      <c r="I365" s="16">
        <f>E365-H365</f>
        <v>83954</v>
      </c>
      <c r="J365" s="23">
        <v>0</v>
      </c>
      <c r="K365" s="23">
        <v>0</v>
      </c>
      <c r="L365" s="46">
        <v>0</v>
      </c>
      <c r="M365" s="46">
        <v>0</v>
      </c>
      <c r="N365" s="46">
        <v>0</v>
      </c>
      <c r="O365" s="46">
        <v>0</v>
      </c>
      <c r="P365" s="78">
        <f>I365-M365-J365-K365-N365-L365</f>
        <v>83954</v>
      </c>
      <c r="Q365" s="155"/>
      <c r="R365" s="155"/>
      <c r="S365" s="45">
        <f>IF(J365+K365+L365+M365+N365&lt;VLOOKUP(A365,Eligibility!$A$3:$F$423,6,0),J365+K365+L365+M365+N365,VLOOKUP(A365,Eligibility!$A$3:$F$423,6,0))</f>
        <v>0</v>
      </c>
      <c r="T365" s="155"/>
      <c r="U365" s="155"/>
      <c r="V365" s="39"/>
      <c r="W365" s="155"/>
      <c r="X365" s="143"/>
      <c r="Y365" s="143"/>
      <c r="Z365" s="10"/>
      <c r="AA365" s="155"/>
      <c r="AB365" s="155"/>
      <c r="AC365" s="143"/>
      <c r="AD365" s="16"/>
      <c r="AE365" s="16"/>
      <c r="AF365" s="143"/>
      <c r="AG365" s="143"/>
      <c r="AH365" s="143"/>
      <c r="AI365" s="143"/>
      <c r="AJ365" s="143"/>
      <c r="AK365" s="16"/>
      <c r="AL365" s="16"/>
      <c r="AM365" s="143"/>
      <c r="AN365" s="177">
        <f>SUM(P365:AM365)-O365</f>
        <v>83954</v>
      </c>
    </row>
    <row r="366" spans="1:40" ht="15" thickBot="1" x14ac:dyDescent="0.4">
      <c r="A366" s="40">
        <v>126</v>
      </c>
      <c r="B366" s="79" t="s">
        <v>394</v>
      </c>
      <c r="C366" s="46">
        <v>2991151</v>
      </c>
      <c r="D366" s="97">
        <v>0</v>
      </c>
      <c r="E366" s="10">
        <f>C366+D366</f>
        <v>2991151</v>
      </c>
      <c r="F366" s="23">
        <v>329696</v>
      </c>
      <c r="G366" s="23">
        <v>0</v>
      </c>
      <c r="H366" s="16">
        <f>F366+G366</f>
        <v>329696</v>
      </c>
      <c r="I366" s="16">
        <f>E366-H366</f>
        <v>2661455</v>
      </c>
      <c r="J366" s="23">
        <v>63726</v>
      </c>
      <c r="K366" s="23">
        <v>0</v>
      </c>
      <c r="L366" s="46">
        <v>0</v>
      </c>
      <c r="M366" s="46">
        <v>0</v>
      </c>
      <c r="N366" s="46">
        <v>1</v>
      </c>
      <c r="O366" s="46">
        <v>0</v>
      </c>
      <c r="P366" s="78">
        <f>I366-M366-J366-K366-N366-L366</f>
        <v>2597728</v>
      </c>
      <c r="Q366" s="155"/>
      <c r="R366" s="155"/>
      <c r="S366" s="45">
        <f>IF(J366+K366+L366+M366+N366&lt;VLOOKUP(A366,Eligibility!$A$3:$F$423,6,0),J366+K366+L366+M366+N366,VLOOKUP(A366,Eligibility!$A$3:$F$423,6,0))</f>
        <v>63727</v>
      </c>
      <c r="T366" s="155"/>
      <c r="U366" s="155"/>
      <c r="V366" s="39"/>
      <c r="W366" s="155"/>
      <c r="X366" s="143"/>
      <c r="Y366" s="143"/>
      <c r="Z366" s="10"/>
      <c r="AA366" s="155"/>
      <c r="AB366" s="155"/>
      <c r="AC366" s="143"/>
      <c r="AD366" s="16"/>
      <c r="AE366" s="16"/>
      <c r="AF366" s="143"/>
      <c r="AG366" s="143"/>
      <c r="AH366" s="143"/>
      <c r="AI366" s="143"/>
      <c r="AJ366" s="143"/>
      <c r="AK366" s="16"/>
      <c r="AL366" s="16"/>
      <c r="AM366" s="143"/>
      <c r="AN366" s="177">
        <f>SUM(P366:AM366)-O366</f>
        <v>2661455</v>
      </c>
    </row>
    <row r="367" spans="1:40" ht="15" thickBot="1" x14ac:dyDescent="0.4">
      <c r="A367" s="40">
        <v>5780</v>
      </c>
      <c r="B367" s="79" t="s">
        <v>395</v>
      </c>
      <c r="C367" s="46">
        <v>852017</v>
      </c>
      <c r="D367" s="97">
        <v>0</v>
      </c>
      <c r="E367" s="10">
        <f>C367+D367</f>
        <v>852017</v>
      </c>
      <c r="F367" s="23">
        <v>448283</v>
      </c>
      <c r="G367" s="23">
        <v>0</v>
      </c>
      <c r="H367" s="16">
        <f>F367+G367</f>
        <v>448283</v>
      </c>
      <c r="I367" s="16">
        <f>E367-H367</f>
        <v>403734</v>
      </c>
      <c r="J367" s="23">
        <v>0</v>
      </c>
      <c r="K367" s="23">
        <v>0</v>
      </c>
      <c r="L367" s="46">
        <v>0</v>
      </c>
      <c r="M367" s="46">
        <v>0</v>
      </c>
      <c r="N367" s="46">
        <v>0</v>
      </c>
      <c r="O367" s="46">
        <v>0</v>
      </c>
      <c r="P367" s="78">
        <f>I367-M367-J367-K367-N367-L367</f>
        <v>403734</v>
      </c>
      <c r="Q367" s="155"/>
      <c r="R367" s="155"/>
      <c r="S367" s="45">
        <f>IF(J367+K367+L367+M367+N367&lt;VLOOKUP(A367,Eligibility!$A$3:$F$423,6,0),J367+K367+L367+M367+N367,VLOOKUP(A367,Eligibility!$A$3:$F$423,6,0))</f>
        <v>0</v>
      </c>
      <c r="T367" s="155"/>
      <c r="U367" s="155"/>
      <c r="V367" s="39"/>
      <c r="W367" s="155"/>
      <c r="X367" s="143"/>
      <c r="Y367" s="143"/>
      <c r="Z367" s="10"/>
      <c r="AA367" s="155"/>
      <c r="AB367" s="155"/>
      <c r="AC367" s="143"/>
      <c r="AD367" s="16"/>
      <c r="AE367" s="16"/>
      <c r="AF367" s="143"/>
      <c r="AG367" s="143"/>
      <c r="AH367" s="143"/>
      <c r="AI367" s="143"/>
      <c r="AJ367" s="143"/>
      <c r="AK367" s="16"/>
      <c r="AL367" s="16"/>
      <c r="AM367" s="143"/>
      <c r="AN367" s="177">
        <f>SUM(P367:AM367)-O367</f>
        <v>403734</v>
      </c>
    </row>
    <row r="368" spans="1:40" ht="15" thickBot="1" x14ac:dyDescent="0.4">
      <c r="A368" s="40">
        <v>4375</v>
      </c>
      <c r="B368" s="79" t="s">
        <v>396</v>
      </c>
      <c r="C368" s="46">
        <v>303694</v>
      </c>
      <c r="D368" s="97">
        <v>0</v>
      </c>
      <c r="E368" s="10">
        <f>C368+D368</f>
        <v>303694</v>
      </c>
      <c r="F368" s="23">
        <v>622871</v>
      </c>
      <c r="G368" s="23">
        <v>0</v>
      </c>
      <c r="H368" s="16">
        <f>F368+G368</f>
        <v>622871</v>
      </c>
      <c r="I368" s="16">
        <f>E368-H368</f>
        <v>-319177</v>
      </c>
      <c r="J368" s="23">
        <v>0</v>
      </c>
      <c r="K368" s="23">
        <v>0</v>
      </c>
      <c r="L368" s="46">
        <v>0</v>
      </c>
      <c r="M368" s="46">
        <v>0</v>
      </c>
      <c r="N368" s="46">
        <v>0</v>
      </c>
      <c r="O368" s="46">
        <v>0</v>
      </c>
      <c r="P368" s="78">
        <f>I368-M368-J368-K368-N368-L368</f>
        <v>-319177</v>
      </c>
      <c r="Q368" s="155"/>
      <c r="R368" s="155"/>
      <c r="S368" s="45">
        <f>IF(-$P368&lt;VLOOKUP(A368,Eligibility!$A$3:$F$423,6,0),-P368,VLOOKUP(A368,Eligibility!$A$3:$F$423,6,0))</f>
        <v>319177</v>
      </c>
      <c r="T368" s="155"/>
      <c r="U368" s="155"/>
      <c r="V368" s="39"/>
      <c r="W368" s="155"/>
      <c r="X368" s="143"/>
      <c r="Y368" s="143"/>
      <c r="Z368" s="10"/>
      <c r="AA368" s="155"/>
      <c r="AB368" s="155"/>
      <c r="AC368" s="143"/>
      <c r="AD368" s="16"/>
      <c r="AE368" s="16"/>
      <c r="AF368" s="143"/>
      <c r="AG368" s="143"/>
      <c r="AH368" s="143"/>
      <c r="AI368" s="143"/>
      <c r="AJ368" s="143"/>
      <c r="AK368" s="16"/>
      <c r="AL368" s="16"/>
      <c r="AM368" s="143"/>
      <c r="AN368" s="177">
        <f>SUM(P368:AM368)-O368</f>
        <v>0</v>
      </c>
    </row>
    <row r="369" spans="1:40" ht="15" thickBot="1" x14ac:dyDescent="0.4">
      <c r="A369" s="40">
        <v>5810</v>
      </c>
      <c r="B369" s="79" t="s">
        <v>49</v>
      </c>
      <c r="C369" s="46">
        <v>661247</v>
      </c>
      <c r="D369" s="97">
        <v>0</v>
      </c>
      <c r="E369" s="10">
        <f>C369+D369</f>
        <v>661247</v>
      </c>
      <c r="F369" s="23">
        <v>690796</v>
      </c>
      <c r="G369" s="23">
        <v>0</v>
      </c>
      <c r="H369" s="16">
        <f>F369+G369</f>
        <v>690796</v>
      </c>
      <c r="I369" s="16">
        <f>E369-H369</f>
        <v>-29549</v>
      </c>
      <c r="J369" s="23">
        <v>17246</v>
      </c>
      <c r="K369" s="23">
        <v>0</v>
      </c>
      <c r="L369" s="46">
        <v>0</v>
      </c>
      <c r="M369" s="46">
        <v>0</v>
      </c>
      <c r="N369" s="46">
        <v>0</v>
      </c>
      <c r="O369" s="46">
        <v>0</v>
      </c>
      <c r="P369" s="78">
        <f>I369-M369-J369-K369-N369-L369</f>
        <v>-46795</v>
      </c>
      <c r="Q369" s="155"/>
      <c r="R369" s="155"/>
      <c r="S369" s="45">
        <f>IF(-$P369&lt;VLOOKUP(A369,Eligibility!$A$3:$F$423,6,0),-P369,VLOOKUP(A369,Eligibility!$A$3:$F$423,6,0))</f>
        <v>46795</v>
      </c>
      <c r="T369" s="155"/>
      <c r="U369" s="155"/>
      <c r="V369" s="39"/>
      <c r="W369" s="155"/>
      <c r="X369" s="143"/>
      <c r="Y369" s="143"/>
      <c r="Z369" s="10"/>
      <c r="AA369" s="155"/>
      <c r="AB369" s="155"/>
      <c r="AC369" s="143"/>
      <c r="AD369" s="16"/>
      <c r="AE369" s="16"/>
      <c r="AF369" s="143"/>
      <c r="AG369" s="143"/>
      <c r="AH369" s="143"/>
      <c r="AI369" s="143"/>
      <c r="AJ369" s="143"/>
      <c r="AK369" s="16"/>
      <c r="AL369" s="16"/>
      <c r="AM369" s="143"/>
      <c r="AN369" s="177">
        <f>SUM(P369:AM369)-O369</f>
        <v>0</v>
      </c>
    </row>
    <row r="370" spans="1:40" ht="15" thickBot="1" x14ac:dyDescent="0.4">
      <c r="A370" s="40">
        <v>5817</v>
      </c>
      <c r="B370" s="79" t="s">
        <v>397</v>
      </c>
      <c r="C370" s="46">
        <v>316327</v>
      </c>
      <c r="D370" s="97">
        <v>0</v>
      </c>
      <c r="E370" s="10">
        <f>C370+D370</f>
        <v>316327</v>
      </c>
      <c r="F370" s="23">
        <v>1419752</v>
      </c>
      <c r="G370" s="23">
        <v>0</v>
      </c>
      <c r="H370" s="16">
        <f>F370+G370</f>
        <v>1419752</v>
      </c>
      <c r="I370" s="16">
        <f>E370-H370</f>
        <v>-1103425</v>
      </c>
      <c r="J370" s="23">
        <v>0</v>
      </c>
      <c r="K370" s="23">
        <v>12977</v>
      </c>
      <c r="L370" s="46">
        <v>0</v>
      </c>
      <c r="M370" s="46">
        <v>0</v>
      </c>
      <c r="N370" s="46">
        <v>0</v>
      </c>
      <c r="O370" s="46">
        <v>0</v>
      </c>
      <c r="P370" s="78">
        <f>I370-M370-J370-K370-N370-L370</f>
        <v>-1116402</v>
      </c>
      <c r="Q370" s="155">
        <v>277943</v>
      </c>
      <c r="R370" s="155">
        <v>291076</v>
      </c>
      <c r="S370" s="45">
        <f>IF(-$P370&lt;VLOOKUP(A370,Eligibility!$A$3:$F$423,6,0),-P370,VLOOKUP(A370,Eligibility!$A$3:$F$423,6,0))</f>
        <v>407507</v>
      </c>
      <c r="T370" s="155">
        <v>5345</v>
      </c>
      <c r="U370" s="155">
        <v>3341</v>
      </c>
      <c r="V370" s="39">
        <f>4677-2543</f>
        <v>2134</v>
      </c>
      <c r="W370" s="155">
        <v>30745</v>
      </c>
      <c r="X370" s="143"/>
      <c r="Y370" s="143"/>
      <c r="Z370" s="10"/>
      <c r="AA370" s="155">
        <f>57712+32980+3014+4605</f>
        <v>98311</v>
      </c>
      <c r="AB370" s="155"/>
      <c r="AC370" s="143"/>
      <c r="AD370" s="10"/>
      <c r="AE370" s="16"/>
      <c r="AF370" s="143"/>
      <c r="AG370" s="143"/>
      <c r="AH370" s="143"/>
      <c r="AI370" s="143"/>
      <c r="AJ370" s="143"/>
      <c r="AK370" s="10"/>
      <c r="AL370" s="16"/>
      <c r="AM370" s="143"/>
      <c r="AN370" s="177">
        <f>SUM(P370:AM370)-O370</f>
        <v>0</v>
      </c>
    </row>
    <row r="371" spans="1:40" ht="15" thickBot="1" x14ac:dyDescent="0.4">
      <c r="A371" s="40">
        <v>5824</v>
      </c>
      <c r="B371" s="79" t="s">
        <v>398</v>
      </c>
      <c r="C371" s="46">
        <v>1821287</v>
      </c>
      <c r="D371" s="97">
        <v>0</v>
      </c>
      <c r="E371" s="10">
        <f>C371+D371</f>
        <v>1821287</v>
      </c>
      <c r="F371" s="23">
        <v>1161961</v>
      </c>
      <c r="G371" s="23">
        <v>0</v>
      </c>
      <c r="H371" s="16">
        <f>F371+G371</f>
        <v>1161961</v>
      </c>
      <c r="I371" s="16">
        <f>E371-H371</f>
        <v>659326</v>
      </c>
      <c r="J371" s="23">
        <v>455032</v>
      </c>
      <c r="K371" s="23">
        <v>12977</v>
      </c>
      <c r="L371" s="46">
        <v>0</v>
      </c>
      <c r="M371" s="46">
        <v>35295.85</v>
      </c>
      <c r="N371" s="46">
        <v>0</v>
      </c>
      <c r="O371" s="46">
        <v>0</v>
      </c>
      <c r="P371" s="78">
        <f>I371-M371-J371-K371-N371-L371</f>
        <v>156021.15</v>
      </c>
      <c r="Q371" s="155"/>
      <c r="R371" s="155"/>
      <c r="S371" s="45">
        <f>IF(J371+K371+L371+M371+N371&lt;VLOOKUP(A371,Eligibility!$A$3:$F$423,6,0),J371+K371+L371+M371+N371,VLOOKUP(A371,Eligibility!$A$3:$F$423,6,0))</f>
        <v>503304.85</v>
      </c>
      <c r="T371" s="155"/>
      <c r="U371" s="155"/>
      <c r="V371" s="39"/>
      <c r="W371" s="155"/>
      <c r="X371" s="143"/>
      <c r="Y371" s="143"/>
      <c r="Z371" s="10"/>
      <c r="AA371" s="155"/>
      <c r="AB371" s="155"/>
      <c r="AC371" s="143"/>
      <c r="AD371" s="16"/>
      <c r="AE371" s="16"/>
      <c r="AF371" s="143"/>
      <c r="AG371" s="143"/>
      <c r="AH371" s="143"/>
      <c r="AI371" s="143"/>
      <c r="AJ371" s="143"/>
      <c r="AK371" s="16"/>
      <c r="AL371" s="16"/>
      <c r="AM371" s="143"/>
      <c r="AN371" s="177">
        <f>SUM(P371:AM371)-O371</f>
        <v>659326</v>
      </c>
    </row>
    <row r="372" spans="1:40" ht="15" thickBot="1" x14ac:dyDescent="0.4">
      <c r="A372" s="40">
        <v>5859</v>
      </c>
      <c r="B372" s="79" t="s">
        <v>399</v>
      </c>
      <c r="C372" s="46">
        <v>2481523</v>
      </c>
      <c r="D372" s="97">
        <v>0</v>
      </c>
      <c r="E372" s="10">
        <f>C372+D372</f>
        <v>2481523</v>
      </c>
      <c r="F372" s="23">
        <v>403671</v>
      </c>
      <c r="G372" s="23">
        <v>0</v>
      </c>
      <c r="H372" s="16">
        <f>F372+G372</f>
        <v>403671</v>
      </c>
      <c r="I372" s="16">
        <f>E372-H372</f>
        <v>2077852</v>
      </c>
      <c r="J372" s="23">
        <v>8300</v>
      </c>
      <c r="K372" s="23">
        <v>12977</v>
      </c>
      <c r="L372" s="46">
        <v>0</v>
      </c>
      <c r="M372" s="46">
        <v>0</v>
      </c>
      <c r="N372" s="46">
        <v>0</v>
      </c>
      <c r="O372" s="46">
        <v>0</v>
      </c>
      <c r="P372" s="78">
        <f>I372-M372-J372-K372-N372-L372</f>
        <v>2056575</v>
      </c>
      <c r="Q372" s="155"/>
      <c r="R372" s="155"/>
      <c r="S372" s="45">
        <f>IF(J372+K372+L372+M372+N372&lt;VLOOKUP(A372,Eligibility!$A$3:$F$423,6,0),J372+K372+L372+M372+N372,VLOOKUP(A372,Eligibility!$A$3:$F$423,6,0))</f>
        <v>21277</v>
      </c>
      <c r="T372" s="155"/>
      <c r="U372" s="155"/>
      <c r="V372" s="39"/>
      <c r="W372" s="155"/>
      <c r="X372" s="143"/>
      <c r="Y372" s="143"/>
      <c r="Z372" s="10"/>
      <c r="AA372" s="155"/>
      <c r="AB372" s="155"/>
      <c r="AC372" s="143"/>
      <c r="AD372" s="16"/>
      <c r="AE372" s="16"/>
      <c r="AF372" s="143"/>
      <c r="AG372" s="143"/>
      <c r="AH372" s="143"/>
      <c r="AI372" s="143"/>
      <c r="AJ372" s="143"/>
      <c r="AK372" s="16"/>
      <c r="AL372" s="16"/>
      <c r="AM372" s="143"/>
      <c r="AN372" s="177">
        <f>SUM(P372:AM372)-O372</f>
        <v>2077852</v>
      </c>
    </row>
    <row r="373" spans="1:40" ht="15" thickBot="1" x14ac:dyDescent="0.4">
      <c r="A373" s="40">
        <v>5852</v>
      </c>
      <c r="B373" s="79" t="s">
        <v>400</v>
      </c>
      <c r="C373" s="46">
        <v>2762271</v>
      </c>
      <c r="D373" s="97">
        <v>0</v>
      </c>
      <c r="E373" s="10">
        <f>C373+D373</f>
        <v>2762271</v>
      </c>
      <c r="F373" s="23">
        <v>379641</v>
      </c>
      <c r="G373" s="23">
        <v>8125</v>
      </c>
      <c r="H373" s="16">
        <f>F373+G373</f>
        <v>387766</v>
      </c>
      <c r="I373" s="16">
        <f>E373-H373</f>
        <v>2374505</v>
      </c>
      <c r="J373" s="23">
        <v>35784</v>
      </c>
      <c r="K373" s="23">
        <v>0</v>
      </c>
      <c r="L373" s="46">
        <v>0</v>
      </c>
      <c r="M373" s="46">
        <v>0</v>
      </c>
      <c r="N373" s="46">
        <v>0</v>
      </c>
      <c r="O373" s="46">
        <v>0</v>
      </c>
      <c r="P373" s="78">
        <f>I373-M373-J373-K373-N373-L373</f>
        <v>2338721</v>
      </c>
      <c r="Q373" s="155"/>
      <c r="R373" s="155"/>
      <c r="S373" s="45">
        <f>IF(J373+K373+L373+M373+N373&lt;VLOOKUP(A373,Eligibility!$A$3:$F$423,6,0),J373+K373+L373+M373+N373,VLOOKUP(A373,Eligibility!$A$3:$F$423,6,0))</f>
        <v>35784</v>
      </c>
      <c r="T373" s="155"/>
      <c r="U373" s="155"/>
      <c r="V373" s="39"/>
      <c r="W373" s="155"/>
      <c r="X373" s="143"/>
      <c r="Y373" s="143"/>
      <c r="Z373" s="10"/>
      <c r="AA373" s="155"/>
      <c r="AB373" s="155"/>
      <c r="AC373" s="143"/>
      <c r="AD373" s="16"/>
      <c r="AE373" s="16"/>
      <c r="AF373" s="143"/>
      <c r="AG373" s="143"/>
      <c r="AH373" s="143"/>
      <c r="AI373" s="143"/>
      <c r="AJ373" s="143"/>
      <c r="AK373" s="16"/>
      <c r="AL373" s="16"/>
      <c r="AM373" s="143"/>
      <c r="AN373" s="177">
        <f>SUM(P373:AM373)-O373</f>
        <v>2374505</v>
      </c>
    </row>
    <row r="374" spans="1:40" ht="15" thickBot="1" x14ac:dyDescent="0.4">
      <c r="A374" s="40">
        <v>238</v>
      </c>
      <c r="B374" s="79" t="s">
        <v>401</v>
      </c>
      <c r="C374" s="46">
        <v>710871</v>
      </c>
      <c r="D374" s="97">
        <v>0</v>
      </c>
      <c r="E374" s="10">
        <f>C374+D374</f>
        <v>710871</v>
      </c>
      <c r="F374" s="23">
        <v>1359654</v>
      </c>
      <c r="G374" s="23">
        <v>0</v>
      </c>
      <c r="H374" s="16">
        <f>F374+G374</f>
        <v>1359654</v>
      </c>
      <c r="I374" s="16">
        <f>E374-H374</f>
        <v>-648783</v>
      </c>
      <c r="J374" s="23">
        <v>8300</v>
      </c>
      <c r="K374" s="23">
        <v>0</v>
      </c>
      <c r="L374" s="46">
        <v>0</v>
      </c>
      <c r="M374" s="46">
        <v>0</v>
      </c>
      <c r="N374" s="46">
        <v>0</v>
      </c>
      <c r="O374" s="46">
        <v>0</v>
      </c>
      <c r="P374" s="78">
        <f>I374-M374-J374-K374-N374-L374</f>
        <v>-657083</v>
      </c>
      <c r="Q374" s="155"/>
      <c r="R374" s="155"/>
      <c r="S374" s="45">
        <f>IF(-$P374&lt;VLOOKUP(A374,Eligibility!$A$3:$F$423,6,0),-P374,VLOOKUP(A374,Eligibility!$A$3:$F$423,6,0))</f>
        <v>657083</v>
      </c>
      <c r="T374" s="155"/>
      <c r="U374" s="155"/>
      <c r="V374" s="39"/>
      <c r="W374" s="155"/>
      <c r="X374" s="143"/>
      <c r="Y374" s="143"/>
      <c r="Z374" s="10"/>
      <c r="AA374" s="155"/>
      <c r="AB374" s="155"/>
      <c r="AC374" s="143"/>
      <c r="AD374" s="16"/>
      <c r="AE374" s="16"/>
      <c r="AF374" s="143"/>
      <c r="AG374" s="143"/>
      <c r="AH374" s="143"/>
      <c r="AI374" s="143"/>
      <c r="AJ374" s="143"/>
      <c r="AK374" s="16"/>
      <c r="AL374" s="16"/>
      <c r="AM374" s="143"/>
      <c r="AN374" s="177">
        <f>SUM(P374:AM374)-O374</f>
        <v>0</v>
      </c>
    </row>
    <row r="375" spans="1:40" ht="15" thickBot="1" x14ac:dyDescent="0.4">
      <c r="A375" s="40">
        <v>5866</v>
      </c>
      <c r="B375" s="79" t="s">
        <v>402</v>
      </c>
      <c r="C375" s="46">
        <v>1236618</v>
      </c>
      <c r="D375" s="97">
        <v>0</v>
      </c>
      <c r="E375" s="10">
        <f>C375+D375</f>
        <v>1236618</v>
      </c>
      <c r="F375" s="23">
        <v>797445</v>
      </c>
      <c r="G375" s="23">
        <v>0</v>
      </c>
      <c r="H375" s="16">
        <f>F375+G375</f>
        <v>797445</v>
      </c>
      <c r="I375" s="16">
        <f>E375-H375</f>
        <v>439173</v>
      </c>
      <c r="J375" s="23">
        <v>176238</v>
      </c>
      <c r="K375" s="23">
        <v>0</v>
      </c>
      <c r="L375" s="46">
        <v>0</v>
      </c>
      <c r="M375" s="46">
        <v>0</v>
      </c>
      <c r="N375" s="46">
        <v>0</v>
      </c>
      <c r="O375" s="46">
        <v>0</v>
      </c>
      <c r="P375" s="78">
        <f>I375-M375-J375-K375-N375-L375</f>
        <v>262935</v>
      </c>
      <c r="Q375" s="155"/>
      <c r="R375" s="155"/>
      <c r="S375" s="45">
        <f>IF(J375+K375+L375+M375+N375&lt;VLOOKUP(A375,Eligibility!$A$3:$F$423,6,0),J375+K375+L375+M375+N375,VLOOKUP(A375,Eligibility!$A$3:$F$423,6,0))</f>
        <v>176238</v>
      </c>
      <c r="T375" s="155"/>
      <c r="U375" s="155"/>
      <c r="V375" s="39"/>
      <c r="W375" s="155"/>
      <c r="X375" s="143"/>
      <c r="Y375" s="143"/>
      <c r="Z375" s="10"/>
      <c r="AA375" s="155"/>
      <c r="AB375" s="155"/>
      <c r="AC375" s="143"/>
      <c r="AD375" s="16"/>
      <c r="AE375" s="16"/>
      <c r="AF375" s="143">
        <v>0</v>
      </c>
      <c r="AG375" s="143"/>
      <c r="AH375" s="143"/>
      <c r="AI375" s="143"/>
      <c r="AJ375" s="143"/>
      <c r="AK375" s="16"/>
      <c r="AL375" s="16"/>
      <c r="AM375" s="143"/>
      <c r="AN375" s="177">
        <f>SUM(P375:AM375)-O375</f>
        <v>439173</v>
      </c>
    </row>
    <row r="376" spans="1:40" ht="15" thickBot="1" x14ac:dyDescent="0.4">
      <c r="A376" s="40">
        <v>5901</v>
      </c>
      <c r="B376" s="79" t="s">
        <v>403</v>
      </c>
      <c r="C376" s="46">
        <v>1043974</v>
      </c>
      <c r="D376" s="97">
        <v>145118</v>
      </c>
      <c r="E376" s="10">
        <f>C376+D376</f>
        <v>1189092</v>
      </c>
      <c r="F376" s="23">
        <v>1581693</v>
      </c>
      <c r="G376" s="23">
        <v>0</v>
      </c>
      <c r="H376" s="16">
        <f>F376+G376</f>
        <v>1581693</v>
      </c>
      <c r="I376" s="16">
        <f>E376-H376</f>
        <v>-392601</v>
      </c>
      <c r="J376" s="23">
        <v>216028.1</v>
      </c>
      <c r="K376" s="23">
        <v>51908</v>
      </c>
      <c r="L376" s="46">
        <v>83401.5</v>
      </c>
      <c r="M376" s="46">
        <v>0</v>
      </c>
      <c r="N376" s="46">
        <v>0</v>
      </c>
      <c r="O376" s="46">
        <v>0</v>
      </c>
      <c r="P376" s="78">
        <f>I376-M376-J376-K376-N376-L376</f>
        <v>-743938.6</v>
      </c>
      <c r="Q376" s="155"/>
      <c r="R376" s="155"/>
      <c r="S376" s="45">
        <f>IF(-$P376&lt;VLOOKUP(A376,Eligibility!$A$3:$F$423,6,0),-P376,VLOOKUP(A376,Eligibility!$A$3:$F$423,6,0))</f>
        <v>743938.6</v>
      </c>
      <c r="T376" s="155"/>
      <c r="U376" s="155"/>
      <c r="V376" s="39"/>
      <c r="W376" s="155"/>
      <c r="X376" s="143"/>
      <c r="Y376" s="143"/>
      <c r="Z376" s="10"/>
      <c r="AA376" s="155"/>
      <c r="AB376" s="155"/>
      <c r="AC376" s="143"/>
      <c r="AD376" s="16"/>
      <c r="AE376" s="16"/>
      <c r="AF376" s="143"/>
      <c r="AG376" s="143"/>
      <c r="AH376" s="143"/>
      <c r="AI376" s="143"/>
      <c r="AJ376" s="143"/>
      <c r="AK376" s="16"/>
      <c r="AL376" s="16"/>
      <c r="AM376" s="143"/>
      <c r="AN376" s="177">
        <f>SUM(P376:AM376)-O376</f>
        <v>0</v>
      </c>
    </row>
    <row r="377" spans="1:40" ht="15" thickBot="1" x14ac:dyDescent="0.4">
      <c r="A377" s="40">
        <v>5985</v>
      </c>
      <c r="B377" s="79" t="s">
        <v>404</v>
      </c>
      <c r="C377" s="46">
        <v>791686</v>
      </c>
      <c r="D377" s="97">
        <v>0</v>
      </c>
      <c r="E377" s="10">
        <f>C377+D377</f>
        <v>791686</v>
      </c>
      <c r="F377" s="23">
        <v>810770</v>
      </c>
      <c r="G377" s="23">
        <v>0</v>
      </c>
      <c r="H377" s="16">
        <f>F377+G377</f>
        <v>810770</v>
      </c>
      <c r="I377" s="16">
        <f>E377-H377</f>
        <v>-19084</v>
      </c>
      <c r="J377" s="23">
        <v>72026</v>
      </c>
      <c r="K377" s="23">
        <v>0</v>
      </c>
      <c r="L377" s="46">
        <v>0</v>
      </c>
      <c r="M377" s="46">
        <v>0</v>
      </c>
      <c r="N377" s="46">
        <v>0</v>
      </c>
      <c r="O377" s="46">
        <v>0</v>
      </c>
      <c r="P377" s="78">
        <f>I377-M377-J377-K377-N377-L377</f>
        <v>-91110</v>
      </c>
      <c r="Q377" s="155"/>
      <c r="R377" s="155"/>
      <c r="S377" s="45">
        <f>IF(-$P377&lt;VLOOKUP(A377,Eligibility!$A$3:$F$423,6,0),-P377,VLOOKUP(A377,Eligibility!$A$3:$F$423,6,0))</f>
        <v>91110</v>
      </c>
      <c r="T377" s="155"/>
      <c r="U377" s="155"/>
      <c r="V377" s="39"/>
      <c r="W377" s="155"/>
      <c r="X377" s="143"/>
      <c r="Y377" s="143"/>
      <c r="Z377" s="10"/>
      <c r="AA377" s="155"/>
      <c r="AB377" s="155"/>
      <c r="AC377" s="143"/>
      <c r="AD377" s="16"/>
      <c r="AE377" s="16"/>
      <c r="AF377" s="143"/>
      <c r="AG377" s="143"/>
      <c r="AH377" s="143"/>
      <c r="AI377" s="143"/>
      <c r="AJ377" s="143"/>
      <c r="AK377" s="16"/>
      <c r="AL377" s="16"/>
      <c r="AM377" s="143"/>
      <c r="AN377" s="177">
        <f>SUM(P377:AM377)-O377</f>
        <v>0</v>
      </c>
    </row>
    <row r="378" spans="1:40" ht="15" thickBot="1" x14ac:dyDescent="0.4">
      <c r="A378" s="40">
        <v>5992</v>
      </c>
      <c r="B378" s="79" t="s">
        <v>405</v>
      </c>
      <c r="C378" s="46">
        <v>165946</v>
      </c>
      <c r="D378" s="97">
        <v>0</v>
      </c>
      <c r="E378" s="10">
        <f>C378+D378</f>
        <v>165946</v>
      </c>
      <c r="F378" s="23">
        <v>366396</v>
      </c>
      <c r="G378" s="23">
        <v>0</v>
      </c>
      <c r="H378" s="16">
        <f>F378+G378</f>
        <v>366396</v>
      </c>
      <c r="I378" s="16">
        <f>E378-H378</f>
        <v>-200450</v>
      </c>
      <c r="J378" s="23">
        <v>24900</v>
      </c>
      <c r="K378" s="23">
        <v>0</v>
      </c>
      <c r="L378" s="46">
        <v>0</v>
      </c>
      <c r="M378" s="46">
        <v>0</v>
      </c>
      <c r="N378" s="46">
        <v>0</v>
      </c>
      <c r="O378" s="46">
        <v>0</v>
      </c>
      <c r="P378" s="78">
        <f>I378-M378-J378-K378-N378-L378</f>
        <v>-225350</v>
      </c>
      <c r="Q378" s="155"/>
      <c r="R378" s="155"/>
      <c r="S378" s="45">
        <f>IF(-$P378&lt;VLOOKUP(A378,Eligibility!$A$3:$F$423,6,0),-P378,VLOOKUP(A378,Eligibility!$A$3:$F$423,6,0))</f>
        <v>0</v>
      </c>
      <c r="T378" s="155">
        <v>27560</v>
      </c>
      <c r="U378" s="155">
        <v>17225</v>
      </c>
      <c r="V378" s="38">
        <v>24116</v>
      </c>
      <c r="W378" s="155">
        <v>26579</v>
      </c>
      <c r="X378" s="143">
        <v>35403</v>
      </c>
      <c r="Y378" s="143">
        <v>34491</v>
      </c>
      <c r="Z378" s="10">
        <f>34948.22-315</f>
        <v>34633.22</v>
      </c>
      <c r="AA378" s="155">
        <f>17513.23+5417+5842.55-3430</f>
        <v>25342.78</v>
      </c>
      <c r="AB378" s="155"/>
      <c r="AC378" s="143"/>
      <c r="AD378" s="16"/>
      <c r="AE378" s="16"/>
      <c r="AF378" s="143"/>
      <c r="AG378" s="143"/>
      <c r="AH378" s="143"/>
      <c r="AI378" s="143"/>
      <c r="AJ378" s="143"/>
      <c r="AK378" s="16"/>
      <c r="AL378" s="16"/>
      <c r="AM378" s="143"/>
      <c r="AN378" s="177">
        <f>SUM(P378:AM378)-O378</f>
        <v>0</v>
      </c>
    </row>
    <row r="379" spans="1:40" ht="15" thickBot="1" x14ac:dyDescent="0.4">
      <c r="A379" s="40">
        <v>6022</v>
      </c>
      <c r="B379" s="79" t="s">
        <v>406</v>
      </c>
      <c r="C379" s="46">
        <v>961360</v>
      </c>
      <c r="D379" s="97">
        <v>0</v>
      </c>
      <c r="E379" s="10">
        <f>C379+D379</f>
        <v>961360</v>
      </c>
      <c r="F379" s="23">
        <v>895263</v>
      </c>
      <c r="G379" s="23">
        <v>0</v>
      </c>
      <c r="H379" s="16">
        <f>F379+G379</f>
        <v>895263</v>
      </c>
      <c r="I379" s="16">
        <f>E379-H379</f>
        <v>66097</v>
      </c>
      <c r="J379" s="23">
        <v>8300</v>
      </c>
      <c r="K379" s="23">
        <v>0</v>
      </c>
      <c r="L379" s="46">
        <v>0</v>
      </c>
      <c r="M379" s="46">
        <v>0</v>
      </c>
      <c r="N379" s="46">
        <v>0</v>
      </c>
      <c r="O379" s="46">
        <v>0</v>
      </c>
      <c r="P379" s="78">
        <f>I379-M379-J379-K379-N379-L379</f>
        <v>57797</v>
      </c>
      <c r="Q379" s="155"/>
      <c r="R379" s="155"/>
      <c r="S379" s="45">
        <f>IF(J379+K379+L379+M379+N379&lt;VLOOKUP(A379,Eligibility!$A$3:$F$423,6,0),J379+K379+L379+M379+N379,VLOOKUP(A379,Eligibility!$A$3:$F$423,6,0))</f>
        <v>8300</v>
      </c>
      <c r="T379" s="155"/>
      <c r="U379" s="155"/>
      <c r="V379" s="39"/>
      <c r="W379" s="155"/>
      <c r="X379" s="143"/>
      <c r="Y379" s="143"/>
      <c r="Z379" s="10"/>
      <c r="AA379" s="155"/>
      <c r="AB379" s="155"/>
      <c r="AC379" s="143"/>
      <c r="AD379" s="16"/>
      <c r="AE379" s="16"/>
      <c r="AF379" s="143"/>
      <c r="AG379" s="143"/>
      <c r="AH379" s="143"/>
      <c r="AI379" s="143"/>
      <c r="AJ379" s="143"/>
      <c r="AK379" s="16"/>
      <c r="AL379" s="16"/>
      <c r="AM379" s="143"/>
      <c r="AN379" s="177">
        <f>SUM(P379:AM379)-O379</f>
        <v>66097</v>
      </c>
    </row>
    <row r="380" spans="1:40" ht="15" thickBot="1" x14ac:dyDescent="0.4">
      <c r="A380" s="40">
        <v>6027</v>
      </c>
      <c r="B380" s="79" t="s">
        <v>407</v>
      </c>
      <c r="C380" s="46">
        <v>969030</v>
      </c>
      <c r="D380" s="97">
        <v>0</v>
      </c>
      <c r="E380" s="10">
        <f>C380+D380</f>
        <v>969030</v>
      </c>
      <c r="F380" s="23">
        <v>222263</v>
      </c>
      <c r="G380" s="23">
        <v>0</v>
      </c>
      <c r="H380" s="16">
        <f>F380+G380</f>
        <v>222263</v>
      </c>
      <c r="I380" s="16">
        <f>E380-H380</f>
        <v>746767</v>
      </c>
      <c r="J380" s="23">
        <v>37350</v>
      </c>
      <c r="K380" s="23">
        <v>77862</v>
      </c>
      <c r="L380" s="46">
        <v>0</v>
      </c>
      <c r="M380" s="46">
        <v>0</v>
      </c>
      <c r="N380" s="46">
        <v>0</v>
      </c>
      <c r="O380" s="46">
        <v>0</v>
      </c>
      <c r="P380" s="78">
        <f>I380-M380-J380-K380-N380-L380</f>
        <v>631555</v>
      </c>
      <c r="Q380" s="155"/>
      <c r="R380" s="155"/>
      <c r="S380" s="45">
        <f>IF(J380+K380+L380+M380+N380&lt;VLOOKUP(A380,Eligibility!$A$3:$F$423,6,0),J380+K380+L380+M380+N380,VLOOKUP(A380,Eligibility!$A$3:$F$423,6,0))</f>
        <v>115212</v>
      </c>
      <c r="T380" s="155"/>
      <c r="U380" s="155"/>
      <c r="V380" s="39"/>
      <c r="W380" s="155"/>
      <c r="X380" s="143"/>
      <c r="Y380" s="143"/>
      <c r="Z380" s="10"/>
      <c r="AA380" s="155"/>
      <c r="AB380" s="155"/>
      <c r="AC380" s="143"/>
      <c r="AD380" s="16"/>
      <c r="AE380" s="16"/>
      <c r="AF380" s="143"/>
      <c r="AG380" s="143"/>
      <c r="AH380" s="143"/>
      <c r="AI380" s="143"/>
      <c r="AJ380" s="143"/>
      <c r="AK380" s="16"/>
      <c r="AL380" s="16"/>
      <c r="AM380" s="143"/>
      <c r="AN380" s="177">
        <f>SUM(P380:AM380)-O380</f>
        <v>746767</v>
      </c>
    </row>
    <row r="381" spans="1:40" ht="15" thickBot="1" x14ac:dyDescent="0.4">
      <c r="A381" s="40">
        <v>6069</v>
      </c>
      <c r="B381" s="79" t="s">
        <v>408</v>
      </c>
      <c r="C381" s="46">
        <v>0</v>
      </c>
      <c r="D381" s="97">
        <v>0</v>
      </c>
      <c r="E381" s="10">
        <f>C381+D381</f>
        <v>0</v>
      </c>
      <c r="F381" s="23">
        <v>75785</v>
      </c>
      <c r="G381" s="23">
        <v>0</v>
      </c>
      <c r="H381" s="16">
        <f>F381+G381</f>
        <v>75785</v>
      </c>
      <c r="I381" s="16">
        <f>E381-H381</f>
        <v>-75785</v>
      </c>
      <c r="J381" s="23">
        <v>0</v>
      </c>
      <c r="K381" s="23">
        <v>0</v>
      </c>
      <c r="L381" s="46">
        <v>0</v>
      </c>
      <c r="M381" s="46">
        <v>0</v>
      </c>
      <c r="N381" s="46">
        <v>0</v>
      </c>
      <c r="O381" s="46">
        <v>0</v>
      </c>
      <c r="P381" s="78">
        <f>I381-M381-J381-K381-N381-L381</f>
        <v>-75785</v>
      </c>
      <c r="Q381" s="155"/>
      <c r="R381" s="155"/>
      <c r="S381" s="45">
        <f>IF(-$P381&lt;VLOOKUP(A381,Eligibility!$A$3:$F$423,6,0),-P381,VLOOKUP(A381,Eligibility!$A$3:$F$423,6,0))</f>
        <v>0</v>
      </c>
      <c r="T381" s="155"/>
      <c r="U381" s="155"/>
      <c r="V381" s="39"/>
      <c r="W381" s="155"/>
      <c r="X381" s="143"/>
      <c r="Y381" s="143"/>
      <c r="Z381" s="10"/>
      <c r="AA381" s="155">
        <v>51198</v>
      </c>
      <c r="AB381" s="155">
        <v>210</v>
      </c>
      <c r="AC381" s="143">
        <v>2795</v>
      </c>
      <c r="AD381" s="16">
        <v>245</v>
      </c>
      <c r="AE381" s="16">
        <v>10680</v>
      </c>
      <c r="AF381" s="143">
        <v>1980</v>
      </c>
      <c r="AG381" s="143">
        <v>1981</v>
      </c>
      <c r="AH381" s="143">
        <v>1974</v>
      </c>
      <c r="AI381" s="143">
        <v>1978</v>
      </c>
      <c r="AJ381" s="143">
        <v>1978</v>
      </c>
      <c r="AK381" s="16">
        <f>765.62+0.38</f>
        <v>766</v>
      </c>
      <c r="AL381" s="16"/>
      <c r="AM381" s="143"/>
      <c r="AN381" s="177">
        <f>SUM(P381:AM381)-O381</f>
        <v>0</v>
      </c>
    </row>
    <row r="382" spans="1:40" ht="15" thickBot="1" x14ac:dyDescent="0.4">
      <c r="A382" s="40">
        <v>6104</v>
      </c>
      <c r="B382" s="79" t="s">
        <v>409</v>
      </c>
      <c r="C382" s="46">
        <v>252149</v>
      </c>
      <c r="D382" s="97">
        <v>12977</v>
      </c>
      <c r="E382" s="10">
        <f>C382+D382</f>
        <v>265126</v>
      </c>
      <c r="F382" s="23">
        <v>199717</v>
      </c>
      <c r="G382" s="23">
        <v>0</v>
      </c>
      <c r="H382" s="16">
        <f>F382+G382</f>
        <v>199717</v>
      </c>
      <c r="I382" s="16">
        <f>E382-H382</f>
        <v>65409</v>
      </c>
      <c r="J382" s="23">
        <v>29050</v>
      </c>
      <c r="K382" s="23">
        <v>0</v>
      </c>
      <c r="L382" s="46">
        <v>0</v>
      </c>
      <c r="M382" s="46">
        <v>0</v>
      </c>
      <c r="N382" s="46">
        <v>0</v>
      </c>
      <c r="O382" s="46">
        <v>0</v>
      </c>
      <c r="P382" s="78">
        <f>I382-M382-J382-K382-N382-L382</f>
        <v>36359</v>
      </c>
      <c r="Q382" s="155"/>
      <c r="R382" s="155"/>
      <c r="S382" s="45">
        <f>IF(J382+K382+L382+M382+N382&lt;VLOOKUP(A382,Eligibility!$A$3:$F$423,6,0),J382+K382+L382+M382+N382,VLOOKUP(A382,Eligibility!$A$3:$F$423,6,0))</f>
        <v>29050</v>
      </c>
      <c r="T382" s="155"/>
      <c r="U382" s="155"/>
      <c r="V382" s="39"/>
      <c r="W382" s="155"/>
      <c r="X382" s="143"/>
      <c r="Y382" s="143"/>
      <c r="Z382" s="10"/>
      <c r="AA382" s="155"/>
      <c r="AB382" s="155"/>
      <c r="AC382" s="143"/>
      <c r="AD382" s="16"/>
      <c r="AE382" s="16"/>
      <c r="AF382" s="143"/>
      <c r="AG382" s="143"/>
      <c r="AH382" s="143"/>
      <c r="AI382" s="143"/>
      <c r="AJ382" s="143"/>
      <c r="AK382" s="16"/>
      <c r="AL382" s="16"/>
      <c r="AM382" s="143"/>
      <c r="AN382" s="177">
        <f>SUM(P382:AM382)-O382</f>
        <v>65409</v>
      </c>
    </row>
    <row r="383" spans="1:40" ht="15" thickBot="1" x14ac:dyDescent="0.4">
      <c r="A383" s="40">
        <v>6113</v>
      </c>
      <c r="B383" s="79" t="s">
        <v>410</v>
      </c>
      <c r="C383" s="46">
        <v>1355528</v>
      </c>
      <c r="D383" s="97">
        <v>12977</v>
      </c>
      <c r="E383" s="10">
        <f>C383+D383</f>
        <v>1368505</v>
      </c>
      <c r="F383" s="23">
        <v>807341</v>
      </c>
      <c r="G383" s="23">
        <v>12977</v>
      </c>
      <c r="H383" s="16">
        <f>F383+G383</f>
        <v>820318</v>
      </c>
      <c r="I383" s="16">
        <f>E383-H383</f>
        <v>548187</v>
      </c>
      <c r="J383" s="23">
        <v>69305</v>
      </c>
      <c r="K383" s="23">
        <v>0</v>
      </c>
      <c r="L383" s="46">
        <v>0</v>
      </c>
      <c r="M383" s="46">
        <v>0</v>
      </c>
      <c r="N383" s="46">
        <v>0</v>
      </c>
      <c r="O383" s="46">
        <v>0</v>
      </c>
      <c r="P383" s="78">
        <f>I383-M383-J383-K383-N383-L383</f>
        <v>478882</v>
      </c>
      <c r="Q383" s="155"/>
      <c r="R383" s="155"/>
      <c r="S383" s="45">
        <f>IF(J383+K383+L383+M383+N383&lt;VLOOKUP(A383,Eligibility!$A$3:$F$423,6,0),J383+K383+L383+M383+N383,VLOOKUP(A383,Eligibility!$A$3:$F$423,6,0))</f>
        <v>69305</v>
      </c>
      <c r="T383" s="155"/>
      <c r="U383" s="155"/>
      <c r="V383" s="39"/>
      <c r="W383" s="155"/>
      <c r="X383" s="143"/>
      <c r="Y383" s="143"/>
      <c r="Z383" s="10"/>
      <c r="AA383" s="155"/>
      <c r="AB383" s="155"/>
      <c r="AC383" s="143"/>
      <c r="AD383" s="16"/>
      <c r="AE383" s="16"/>
      <c r="AF383" s="143"/>
      <c r="AG383" s="143"/>
      <c r="AH383" s="143"/>
      <c r="AI383" s="143"/>
      <c r="AJ383" s="143"/>
      <c r="AK383" s="16"/>
      <c r="AL383" s="16"/>
      <c r="AM383" s="143"/>
      <c r="AN383" s="177">
        <f>SUM(P383:AM383)-O383</f>
        <v>548187</v>
      </c>
    </row>
    <row r="384" spans="1:40" ht="15" thickBot="1" x14ac:dyDescent="0.4">
      <c r="A384" s="40">
        <v>6083</v>
      </c>
      <c r="B384" s="79" t="s">
        <v>411</v>
      </c>
      <c r="C384" s="46">
        <v>639946</v>
      </c>
      <c r="D384" s="97">
        <v>0</v>
      </c>
      <c r="E384" s="10">
        <f>C384+D384</f>
        <v>639946</v>
      </c>
      <c r="F384" s="23">
        <v>601386</v>
      </c>
      <c r="G384" s="23">
        <v>0</v>
      </c>
      <c r="H384" s="16">
        <f>F384+G384</f>
        <v>601386</v>
      </c>
      <c r="I384" s="16">
        <f>E384-H384</f>
        <v>38560</v>
      </c>
      <c r="J384" s="23">
        <v>8946</v>
      </c>
      <c r="K384" s="23">
        <v>25954</v>
      </c>
      <c r="L384" s="46">
        <v>0</v>
      </c>
      <c r="M384" s="46">
        <v>0</v>
      </c>
      <c r="N384" s="46">
        <v>0</v>
      </c>
      <c r="O384" s="46">
        <v>0</v>
      </c>
      <c r="P384" s="78">
        <f>I384-M384-J384-K384-N384-L384</f>
        <v>3660</v>
      </c>
      <c r="Q384" s="155"/>
      <c r="R384" s="155"/>
      <c r="S384" s="45">
        <f>IF(J384+K384+L384+M384+N384&lt;VLOOKUP(A384,Eligibility!$A$3:$F$423,6,0),J384+K384+L384+M384+N384,VLOOKUP(A384,Eligibility!$A$3:$F$423,6,0))</f>
        <v>34900</v>
      </c>
      <c r="T384" s="155"/>
      <c r="U384" s="155"/>
      <c r="V384" s="39"/>
      <c r="W384" s="155"/>
      <c r="X384" s="143"/>
      <c r="Y384" s="143"/>
      <c r="Z384" s="10"/>
      <c r="AA384" s="155"/>
      <c r="AB384" s="155"/>
      <c r="AC384" s="143"/>
      <c r="AD384" s="16"/>
      <c r="AE384" s="16"/>
      <c r="AF384" s="143"/>
      <c r="AG384" s="143"/>
      <c r="AH384" s="143"/>
      <c r="AI384" s="143"/>
      <c r="AJ384" s="143"/>
      <c r="AK384" s="16"/>
      <c r="AL384" s="16"/>
      <c r="AM384" s="143"/>
      <c r="AN384" s="177">
        <f>SUM(P384:AM384)-O384</f>
        <v>38560</v>
      </c>
    </row>
    <row r="385" spans="1:40" ht="15" thickBot="1" x14ac:dyDescent="0.4">
      <c r="A385" s="40">
        <v>6118</v>
      </c>
      <c r="B385" s="79" t="s">
        <v>412</v>
      </c>
      <c r="C385" s="46">
        <v>486398</v>
      </c>
      <c r="D385" s="97">
        <v>0</v>
      </c>
      <c r="E385" s="10">
        <f>C385+D385</f>
        <v>486398</v>
      </c>
      <c r="F385" s="23">
        <v>738754</v>
      </c>
      <c r="G385" s="23">
        <v>0</v>
      </c>
      <c r="H385" s="16">
        <f>F385+G385</f>
        <v>738754</v>
      </c>
      <c r="I385" s="16">
        <f>E385-H385</f>
        <v>-252356</v>
      </c>
      <c r="J385" s="23">
        <v>35138</v>
      </c>
      <c r="K385" s="23">
        <v>38931</v>
      </c>
      <c r="L385" s="46">
        <v>0</v>
      </c>
      <c r="M385" s="46">
        <v>0</v>
      </c>
      <c r="N385" s="46">
        <v>0</v>
      </c>
      <c r="O385" s="46">
        <v>0</v>
      </c>
      <c r="P385" s="78">
        <f>I385-M385-J385-K385-N385-L385</f>
        <v>-326425</v>
      </c>
      <c r="Q385" s="155"/>
      <c r="R385" s="155"/>
      <c r="S385" s="45">
        <f>IF(-$P385&lt;VLOOKUP(A385,Eligibility!$A$3:$F$423,6,0),-P385,VLOOKUP(A385,Eligibility!$A$3:$F$423,6,0))</f>
        <v>326425</v>
      </c>
      <c r="T385" s="155"/>
      <c r="U385" s="155"/>
      <c r="V385" s="39"/>
      <c r="W385" s="155"/>
      <c r="X385" s="143"/>
      <c r="Y385" s="143"/>
      <c r="Z385" s="10"/>
      <c r="AA385" s="155"/>
      <c r="AB385" s="155"/>
      <c r="AC385" s="143"/>
      <c r="AD385" s="16"/>
      <c r="AE385" s="16"/>
      <c r="AF385" s="143"/>
      <c r="AG385" s="143"/>
      <c r="AH385" s="143"/>
      <c r="AI385" s="143"/>
      <c r="AJ385" s="143"/>
      <c r="AK385" s="16"/>
      <c r="AL385" s="16"/>
      <c r="AM385" s="143"/>
      <c r="AN385" s="177">
        <f>SUM(P385:AM385)-O385</f>
        <v>0</v>
      </c>
    </row>
    <row r="386" spans="1:40" ht="15" thickBot="1" x14ac:dyDescent="0.4">
      <c r="A386" s="40">
        <v>6125</v>
      </c>
      <c r="B386" s="79" t="s">
        <v>413</v>
      </c>
      <c r="C386" s="46">
        <v>713561</v>
      </c>
      <c r="D386" s="97">
        <v>3604</v>
      </c>
      <c r="E386" s="10">
        <f>C386+D386</f>
        <v>717165</v>
      </c>
      <c r="F386" s="23">
        <v>3042982</v>
      </c>
      <c r="G386" s="23">
        <v>0</v>
      </c>
      <c r="H386" s="16">
        <f>F386+G386</f>
        <v>3042982</v>
      </c>
      <c r="I386" s="16">
        <f>E386-H386</f>
        <v>-2325817</v>
      </c>
      <c r="J386" s="23">
        <v>1642224</v>
      </c>
      <c r="K386" s="23">
        <v>58396.5</v>
      </c>
      <c r="L386" s="46">
        <v>0</v>
      </c>
      <c r="M386" s="46">
        <v>35295.85</v>
      </c>
      <c r="N386" s="46">
        <v>0</v>
      </c>
      <c r="O386" s="46">
        <v>0</v>
      </c>
      <c r="P386" s="78">
        <f>I386-M386-J386-K386-N386-L386</f>
        <v>-4061733.35</v>
      </c>
      <c r="Q386" s="155"/>
      <c r="R386" s="155"/>
      <c r="S386" s="45">
        <f>IF(-$P386&lt;VLOOKUP(A386,Eligibility!$A$3:$F$423,6,0),-P386,VLOOKUP(A386,Eligibility!$A$3:$F$423,6,0))</f>
        <v>4061733.35</v>
      </c>
      <c r="T386" s="155"/>
      <c r="U386" s="155"/>
      <c r="V386" s="39"/>
      <c r="W386" s="155"/>
      <c r="X386" s="143"/>
      <c r="Y386" s="143"/>
      <c r="Z386" s="10"/>
      <c r="AA386" s="155"/>
      <c r="AB386" s="155"/>
      <c r="AC386" s="143"/>
      <c r="AD386" s="16"/>
      <c r="AE386" s="16"/>
      <c r="AF386" s="143"/>
      <c r="AG386" s="143"/>
      <c r="AH386" s="143"/>
      <c r="AI386" s="143"/>
      <c r="AJ386" s="143"/>
      <c r="AK386" s="16"/>
      <c r="AL386" s="16"/>
      <c r="AM386" s="143"/>
      <c r="AN386" s="177">
        <f>SUM(P386:AM386)-O386</f>
        <v>0</v>
      </c>
    </row>
    <row r="387" spans="1:40" ht="15" thickBot="1" x14ac:dyDescent="0.4">
      <c r="A387" s="40">
        <v>6174</v>
      </c>
      <c r="B387" s="79" t="s">
        <v>414</v>
      </c>
      <c r="C387" s="46">
        <v>11141092</v>
      </c>
      <c r="D387" s="97">
        <v>38955</v>
      </c>
      <c r="E387" s="10">
        <f>C387+D387</f>
        <v>11180047</v>
      </c>
      <c r="F387" s="23">
        <v>5908203</v>
      </c>
      <c r="G387" s="23">
        <v>61727</v>
      </c>
      <c r="H387" s="16">
        <f>F387+G387</f>
        <v>5969930</v>
      </c>
      <c r="I387" s="16">
        <f>E387-H387</f>
        <v>5210117</v>
      </c>
      <c r="J387" s="23">
        <v>2441611.2999999998</v>
      </c>
      <c r="K387" s="23">
        <v>434202.02</v>
      </c>
      <c r="L387" s="46">
        <v>0</v>
      </c>
      <c r="M387" s="46">
        <v>0</v>
      </c>
      <c r="N387" s="46">
        <v>0</v>
      </c>
      <c r="O387" s="46">
        <v>0</v>
      </c>
      <c r="P387" s="78">
        <f>I387-M387-J387-K387-N387-L387</f>
        <v>2334303.6800000002</v>
      </c>
      <c r="Q387" s="155"/>
      <c r="R387" s="155"/>
      <c r="S387" s="45">
        <f>IF(J387+K387+L387+M387+N387&lt;VLOOKUP(A387,Eligibility!$A$3:$F$423,6,0),J387+K387+L387+M387+N387,VLOOKUP(A387,Eligibility!$A$3:$F$423,6,0))</f>
        <v>2875813.32</v>
      </c>
      <c r="T387" s="155"/>
      <c r="U387" s="155"/>
      <c r="V387" s="39"/>
      <c r="W387" s="155"/>
      <c r="X387" s="143"/>
      <c r="Y387" s="143"/>
      <c r="Z387" s="10"/>
      <c r="AA387" s="155"/>
      <c r="AB387" s="155"/>
      <c r="AC387" s="143"/>
      <c r="AD387" s="16"/>
      <c r="AE387" s="16"/>
      <c r="AF387" s="143"/>
      <c r="AG387" s="143"/>
      <c r="AH387" s="143"/>
      <c r="AI387" s="143"/>
      <c r="AJ387" s="143"/>
      <c r="AK387" s="16"/>
      <c r="AL387" s="16"/>
      <c r="AM387" s="143"/>
      <c r="AN387" s="177">
        <f>SUM(P387:AM387)-O387</f>
        <v>5210117</v>
      </c>
    </row>
    <row r="388" spans="1:40" ht="15" thickBot="1" x14ac:dyDescent="0.4">
      <c r="A388" s="40">
        <v>6181</v>
      </c>
      <c r="B388" s="79" t="s">
        <v>415</v>
      </c>
      <c r="C388" s="46">
        <v>1922752</v>
      </c>
      <c r="D388" s="97">
        <v>0</v>
      </c>
      <c r="E388" s="10">
        <f>C388+D388</f>
        <v>1922752</v>
      </c>
      <c r="F388" s="23">
        <v>424047</v>
      </c>
      <c r="G388" s="23">
        <v>3965</v>
      </c>
      <c r="H388" s="16">
        <f>F388+G388</f>
        <v>428012</v>
      </c>
      <c r="I388" s="16">
        <f>E388-H388</f>
        <v>1494740</v>
      </c>
      <c r="J388" s="23">
        <v>34999</v>
      </c>
      <c r="K388" s="23">
        <v>0</v>
      </c>
      <c r="L388" s="46">
        <v>18330</v>
      </c>
      <c r="M388" s="46">
        <v>0</v>
      </c>
      <c r="N388" s="46">
        <v>0</v>
      </c>
      <c r="O388" s="46">
        <v>0</v>
      </c>
      <c r="P388" s="78">
        <f>I388-M388-J388-K388-N388-L388</f>
        <v>1441411</v>
      </c>
      <c r="Q388" s="155"/>
      <c r="R388" s="155"/>
      <c r="S388" s="45">
        <f>IF(J388+K388+L388+M388+N388&lt;VLOOKUP(A388,Eligibility!$A$3:$F$423,6,0),J388+K388+L388+M388+N388,VLOOKUP(A388,Eligibility!$A$3:$F$423,6,0))</f>
        <v>53329</v>
      </c>
      <c r="T388" s="155"/>
      <c r="U388" s="155"/>
      <c r="V388" s="39"/>
      <c r="W388" s="155"/>
      <c r="X388" s="143"/>
      <c r="Y388" s="143"/>
      <c r="Z388" s="10"/>
      <c r="AA388" s="155"/>
      <c r="AB388" s="155"/>
      <c r="AC388" s="143"/>
      <c r="AD388" s="16"/>
      <c r="AE388" s="16"/>
      <c r="AF388" s="143"/>
      <c r="AG388" s="143"/>
      <c r="AH388" s="143"/>
      <c r="AI388" s="143"/>
      <c r="AJ388" s="143"/>
      <c r="AK388" s="16"/>
      <c r="AL388" s="16"/>
      <c r="AM388" s="143"/>
      <c r="AN388" s="177">
        <f>SUM(P388:AM388)-O388</f>
        <v>1494740</v>
      </c>
    </row>
    <row r="389" spans="1:40" ht="15" thickBot="1" x14ac:dyDescent="0.4">
      <c r="A389" s="40">
        <v>6195</v>
      </c>
      <c r="B389" s="79" t="s">
        <v>416</v>
      </c>
      <c r="C389" s="46">
        <v>920030</v>
      </c>
      <c r="D389" s="97">
        <v>0</v>
      </c>
      <c r="E389" s="10">
        <f>C389+D389</f>
        <v>920030</v>
      </c>
      <c r="F389" s="23">
        <v>1093992</v>
      </c>
      <c r="G389" s="23">
        <v>0</v>
      </c>
      <c r="H389" s="16">
        <f>F389+G389</f>
        <v>1093992</v>
      </c>
      <c r="I389" s="16">
        <f>E389-H389</f>
        <v>-173962</v>
      </c>
      <c r="J389" s="23">
        <v>504460</v>
      </c>
      <c r="K389" s="23">
        <v>0</v>
      </c>
      <c r="L389" s="46">
        <v>0</v>
      </c>
      <c r="M389" s="46">
        <v>0</v>
      </c>
      <c r="N389" s="46">
        <v>0</v>
      </c>
      <c r="O389" s="46">
        <v>0</v>
      </c>
      <c r="P389" s="78">
        <f>I389-M389-J389-K389-N389-L389</f>
        <v>-678422</v>
      </c>
      <c r="Q389" s="155"/>
      <c r="R389" s="155"/>
      <c r="S389" s="45">
        <f>IF(-$P389&lt;VLOOKUP(A389,Eligibility!$A$3:$F$423,6,0),-P389,VLOOKUP(A389,Eligibility!$A$3:$F$423,6,0))</f>
        <v>678422</v>
      </c>
      <c r="T389" s="155"/>
      <c r="U389" s="155"/>
      <c r="V389" s="39"/>
      <c r="W389" s="155"/>
      <c r="X389" s="143"/>
      <c r="Y389" s="143"/>
      <c r="Z389" s="10"/>
      <c r="AA389" s="155"/>
      <c r="AB389" s="155"/>
      <c r="AC389" s="143"/>
      <c r="AD389" s="16"/>
      <c r="AE389" s="16"/>
      <c r="AF389" s="143"/>
      <c r="AG389" s="143"/>
      <c r="AH389" s="143"/>
      <c r="AI389" s="143"/>
      <c r="AJ389" s="143"/>
      <c r="AK389" s="16"/>
      <c r="AL389" s="16"/>
      <c r="AM389" s="143"/>
      <c r="AN389" s="177">
        <f>SUM(P389:AM389)-O389</f>
        <v>0</v>
      </c>
    </row>
    <row r="390" spans="1:40" ht="15" thickBot="1" x14ac:dyDescent="0.4">
      <c r="A390" s="40">
        <v>6216</v>
      </c>
      <c r="B390" s="79" t="s">
        <v>417</v>
      </c>
      <c r="C390" s="46">
        <v>596662</v>
      </c>
      <c r="D390" s="97">
        <v>0</v>
      </c>
      <c r="E390" s="10">
        <f>C390+D390</f>
        <v>596662</v>
      </c>
      <c r="F390" s="23">
        <v>1831893</v>
      </c>
      <c r="G390" s="23">
        <v>0</v>
      </c>
      <c r="H390" s="16">
        <f>F390+G390</f>
        <v>1831893</v>
      </c>
      <c r="I390" s="16">
        <f>E390-H390</f>
        <v>-1235231</v>
      </c>
      <c r="J390" s="23">
        <v>650912</v>
      </c>
      <c r="K390" s="23">
        <v>191789.5</v>
      </c>
      <c r="L390" s="46">
        <v>0</v>
      </c>
      <c r="M390" s="46">
        <v>0</v>
      </c>
      <c r="N390" s="46">
        <v>0</v>
      </c>
      <c r="O390" s="46">
        <v>0</v>
      </c>
      <c r="P390" s="78">
        <f>I390-M390-J390-K390-N390-L390</f>
        <v>-2077932.5</v>
      </c>
      <c r="Q390" s="155"/>
      <c r="R390" s="155"/>
      <c r="S390" s="45">
        <f>IF(-$P390&lt;VLOOKUP(A390,Eligibility!$A$3:$F$423,6,0),-P390,VLOOKUP(A390,Eligibility!$A$3:$F$423,6,0))</f>
        <v>2077932.5</v>
      </c>
      <c r="T390" s="155"/>
      <c r="U390" s="155"/>
      <c r="V390" s="39"/>
      <c r="W390" s="155"/>
      <c r="X390" s="143"/>
      <c r="Y390" s="143"/>
      <c r="Z390" s="10"/>
      <c r="AA390" s="155"/>
      <c r="AB390" s="155"/>
      <c r="AC390" s="143"/>
      <c r="AD390" s="16"/>
      <c r="AE390" s="16"/>
      <c r="AF390" s="143"/>
      <c r="AG390" s="143"/>
      <c r="AH390" s="143"/>
      <c r="AI390" s="143"/>
      <c r="AJ390" s="143"/>
      <c r="AK390" s="16"/>
      <c r="AL390" s="16"/>
      <c r="AM390" s="143"/>
      <c r="AN390" s="177">
        <f>SUM(P390:AM390)-O390</f>
        <v>0</v>
      </c>
    </row>
    <row r="391" spans="1:40" ht="15" thickBot="1" x14ac:dyDescent="0.4">
      <c r="A391" s="40">
        <v>6223</v>
      </c>
      <c r="B391" s="79" t="s">
        <v>418</v>
      </c>
      <c r="C391" s="46">
        <v>2143221</v>
      </c>
      <c r="D391" s="97">
        <v>0</v>
      </c>
      <c r="E391" s="10">
        <f>C391+D391</f>
        <v>2143221</v>
      </c>
      <c r="F391" s="23">
        <v>4998557</v>
      </c>
      <c r="G391" s="23">
        <v>0</v>
      </c>
      <c r="H391" s="16">
        <f>F391+G391</f>
        <v>4998557</v>
      </c>
      <c r="I391" s="16">
        <f>E391-H391</f>
        <v>-2855336</v>
      </c>
      <c r="J391" s="23">
        <v>1423871</v>
      </c>
      <c r="K391" s="23">
        <v>112116</v>
      </c>
      <c r="L391" s="46">
        <v>0</v>
      </c>
      <c r="M391" s="46">
        <v>21177.51</v>
      </c>
      <c r="N391" s="46">
        <v>0</v>
      </c>
      <c r="O391" s="46">
        <v>0</v>
      </c>
      <c r="P391" s="78">
        <f>I391-M391-J391-K391-N391-L391</f>
        <v>-4412500.51</v>
      </c>
      <c r="Q391" s="155"/>
      <c r="R391" s="155"/>
      <c r="S391" s="45">
        <f>IF(-$P391&lt;VLOOKUP(A391,Eligibility!$A$3:$F$423,6,0),-P391,VLOOKUP(A391,Eligibility!$A$3:$F$423,6,0))</f>
        <v>4412500.51</v>
      </c>
      <c r="T391" s="155"/>
      <c r="U391" s="155"/>
      <c r="V391" s="39"/>
      <c r="W391" s="155"/>
      <c r="X391" s="143"/>
      <c r="Y391" s="143"/>
      <c r="Z391" s="10"/>
      <c r="AA391" s="155"/>
      <c r="AB391" s="155"/>
      <c r="AC391" s="143"/>
      <c r="AD391" s="16"/>
      <c r="AE391" s="16"/>
      <c r="AF391" s="143"/>
      <c r="AG391" s="143"/>
      <c r="AH391" s="143"/>
      <c r="AI391" s="143"/>
      <c r="AJ391" s="143"/>
      <c r="AK391" s="16"/>
      <c r="AL391" s="16"/>
      <c r="AM391" s="143"/>
      <c r="AN391" s="177">
        <f>SUM(P391:AM391)-O391</f>
        <v>0</v>
      </c>
    </row>
    <row r="392" spans="1:40" ht="15" thickBot="1" x14ac:dyDescent="0.4">
      <c r="A392" s="40">
        <v>6230</v>
      </c>
      <c r="B392" s="79" t="s">
        <v>39</v>
      </c>
      <c r="C392" s="46">
        <v>181756</v>
      </c>
      <c r="D392" s="97">
        <v>0</v>
      </c>
      <c r="E392" s="10">
        <f>C392+D392</f>
        <v>181756</v>
      </c>
      <c r="F392" s="23">
        <v>418886</v>
      </c>
      <c r="G392" s="23">
        <v>0</v>
      </c>
      <c r="H392" s="16">
        <f>F392+G392</f>
        <v>418886</v>
      </c>
      <c r="I392" s="16">
        <f>E392-H392</f>
        <v>-237130</v>
      </c>
      <c r="J392" s="23">
        <v>34169</v>
      </c>
      <c r="K392" s="23">
        <v>0</v>
      </c>
      <c r="L392" s="46">
        <v>0</v>
      </c>
      <c r="M392" s="46">
        <v>0</v>
      </c>
      <c r="N392" s="46">
        <v>0</v>
      </c>
      <c r="O392" s="46">
        <v>0</v>
      </c>
      <c r="P392" s="78">
        <f>I392-M392-J392-K392-N392-L392</f>
        <v>-271299</v>
      </c>
      <c r="Q392" s="155">
        <v>20841</v>
      </c>
      <c r="R392" s="155">
        <v>21999</v>
      </c>
      <c r="S392" s="45">
        <f>IF(-$P392&lt;VLOOKUP(A392,Eligibility!$A$3:$F$423,6,0),-P392,VLOOKUP(A392,Eligibility!$A$3:$F$423,6,0))</f>
        <v>30798</v>
      </c>
      <c r="T392" s="155">
        <v>4463</v>
      </c>
      <c r="U392" s="155">
        <v>2790</v>
      </c>
      <c r="V392" s="38">
        <v>3905</v>
      </c>
      <c r="W392" s="155">
        <v>29422</v>
      </c>
      <c r="X392" s="143">
        <v>49338.47</v>
      </c>
      <c r="Y392" s="143">
        <v>50875</v>
      </c>
      <c r="Z392" s="11">
        <f>51548.28-7504</f>
        <v>44044.28</v>
      </c>
      <c r="AA392" s="155">
        <f>12688.25+135</f>
        <v>12823.25</v>
      </c>
      <c r="AB392" s="155"/>
      <c r="AC392" s="143"/>
      <c r="AD392" s="16"/>
      <c r="AE392" s="10"/>
      <c r="AF392" s="143"/>
      <c r="AG392" s="143"/>
      <c r="AH392" s="143"/>
      <c r="AI392" s="143"/>
      <c r="AJ392" s="143"/>
      <c r="AK392" s="16"/>
      <c r="AL392" s="16"/>
      <c r="AM392" s="143"/>
      <c r="AN392" s="177">
        <f>SUM(P392:AM392)-O392</f>
        <v>0</v>
      </c>
    </row>
    <row r="393" spans="1:40" ht="15" thickBot="1" x14ac:dyDescent="0.4">
      <c r="A393" s="40">
        <v>6237</v>
      </c>
      <c r="B393" s="79" t="s">
        <v>419</v>
      </c>
      <c r="C393" s="46">
        <v>931252</v>
      </c>
      <c r="D393" s="97">
        <v>0</v>
      </c>
      <c r="E393" s="10">
        <f>C393+D393</f>
        <v>931252</v>
      </c>
      <c r="F393" s="23">
        <v>1602587</v>
      </c>
      <c r="G393" s="23">
        <v>0</v>
      </c>
      <c r="H393" s="16">
        <f>F393+G393</f>
        <v>1602587</v>
      </c>
      <c r="I393" s="16">
        <f>E393-H393</f>
        <v>-671335</v>
      </c>
      <c r="J393" s="23">
        <v>17246</v>
      </c>
      <c r="K393" s="23">
        <v>0</v>
      </c>
      <c r="L393" s="46">
        <v>0</v>
      </c>
      <c r="M393" s="46">
        <v>0</v>
      </c>
      <c r="N393" s="46">
        <v>0</v>
      </c>
      <c r="O393" s="46">
        <v>0</v>
      </c>
      <c r="P393" s="78">
        <f>I393-M393-J393-K393-N393-L393</f>
        <v>-688581</v>
      </c>
      <c r="Q393" s="155"/>
      <c r="R393" s="155"/>
      <c r="S393" s="45">
        <f>IF(-$P393&lt;VLOOKUP(A393,Eligibility!$A$3:$F$423,6,0),-P393,VLOOKUP(A393,Eligibility!$A$3:$F$423,6,0))</f>
        <v>688581</v>
      </c>
      <c r="T393" s="155"/>
      <c r="U393" s="155"/>
      <c r="V393" s="39"/>
      <c r="W393" s="155"/>
      <c r="X393" s="143"/>
      <c r="Y393" s="143"/>
      <c r="Z393" s="10"/>
      <c r="AA393" s="155"/>
      <c r="AB393" s="155"/>
      <c r="AC393" s="143"/>
      <c r="AD393" s="16"/>
      <c r="AE393" s="16"/>
      <c r="AF393" s="143"/>
      <c r="AG393" s="143"/>
      <c r="AH393" s="143"/>
      <c r="AI393" s="143"/>
      <c r="AJ393" s="143"/>
      <c r="AK393" s="16"/>
      <c r="AL393" s="16"/>
      <c r="AM393" s="143"/>
      <c r="AN393" s="177">
        <f>SUM(P393:AM393)-O393</f>
        <v>0</v>
      </c>
    </row>
    <row r="394" spans="1:40" ht="15" thickBot="1" x14ac:dyDescent="0.4">
      <c r="A394" s="40">
        <v>6244</v>
      </c>
      <c r="B394" s="79" t="s">
        <v>420</v>
      </c>
      <c r="C394" s="46">
        <v>11075109</v>
      </c>
      <c r="D394" s="97">
        <v>56875</v>
      </c>
      <c r="E394" s="10">
        <f>C394+D394</f>
        <v>11131984</v>
      </c>
      <c r="F394" s="23">
        <v>1882325</v>
      </c>
      <c r="G394" s="23">
        <v>16250</v>
      </c>
      <c r="H394" s="16">
        <f>F394+G394</f>
        <v>1898575</v>
      </c>
      <c r="I394" s="16">
        <f>E394-H394</f>
        <v>9233409</v>
      </c>
      <c r="J394" s="23">
        <v>732936.3</v>
      </c>
      <c r="K394" s="23">
        <v>116793</v>
      </c>
      <c r="L394" s="46">
        <v>0</v>
      </c>
      <c r="M394" s="46">
        <v>0</v>
      </c>
      <c r="N394" s="46">
        <v>1</v>
      </c>
      <c r="O394" s="46">
        <v>0</v>
      </c>
      <c r="P394" s="78">
        <f>I394-M394-J394-K394-N394-L394</f>
        <v>8383678.7000000002</v>
      </c>
      <c r="Q394" s="155"/>
      <c r="R394" s="155"/>
      <c r="S394" s="45">
        <f>IF(J394+K394+L394+M394+N394&lt;VLOOKUP(A394,Eligibility!$A$3:$F$423,6,0),J394+K394+L394+M394+N394,VLOOKUP(A394,Eligibility!$A$3:$F$423,6,0))</f>
        <v>849730.3</v>
      </c>
      <c r="T394" s="155"/>
      <c r="U394" s="155"/>
      <c r="V394" s="39"/>
      <c r="W394" s="155"/>
      <c r="X394" s="143"/>
      <c r="Y394" s="143"/>
      <c r="Z394" s="10"/>
      <c r="AA394" s="155"/>
      <c r="AB394" s="155"/>
      <c r="AC394" s="143"/>
      <c r="AD394" s="16"/>
      <c r="AE394" s="16"/>
      <c r="AF394" s="143"/>
      <c r="AG394" s="143"/>
      <c r="AH394" s="143"/>
      <c r="AI394" s="143"/>
      <c r="AJ394" s="143"/>
      <c r="AK394" s="16"/>
      <c r="AL394" s="16"/>
      <c r="AM394" s="143"/>
      <c r="AN394" s="177">
        <f>SUM(P394:AM394)-O394</f>
        <v>9233409</v>
      </c>
    </row>
    <row r="395" spans="1:40" ht="15" thickBot="1" x14ac:dyDescent="0.4">
      <c r="A395" s="40">
        <v>6251</v>
      </c>
      <c r="B395" s="79" t="s">
        <v>421</v>
      </c>
      <c r="C395" s="46">
        <v>306040</v>
      </c>
      <c r="D395" s="97">
        <v>0</v>
      </c>
      <c r="E395" s="10">
        <f>C395+D395</f>
        <v>306040</v>
      </c>
      <c r="F395" s="23">
        <v>331340</v>
      </c>
      <c r="G395" s="23">
        <v>0</v>
      </c>
      <c r="H395" s="16">
        <f>F395+G395</f>
        <v>331340</v>
      </c>
      <c r="I395" s="16">
        <f>E395-H395</f>
        <v>-25300</v>
      </c>
      <c r="J395" s="23">
        <v>0</v>
      </c>
      <c r="K395" s="23">
        <v>0</v>
      </c>
      <c r="L395" s="46">
        <v>0</v>
      </c>
      <c r="M395" s="46">
        <v>0</v>
      </c>
      <c r="N395" s="46">
        <v>0</v>
      </c>
      <c r="O395" s="46">
        <v>0</v>
      </c>
      <c r="P395" s="78">
        <f>I395-M395-J395-K395-N395-L395</f>
        <v>-25300</v>
      </c>
      <c r="Q395" s="155"/>
      <c r="R395" s="155"/>
      <c r="S395" s="45">
        <f>IF(-$P395&lt;VLOOKUP(A395,Eligibility!$A$3:$F$423,6,0),-P395,VLOOKUP(A395,Eligibility!$A$3:$F$423,6,0))</f>
        <v>25300</v>
      </c>
      <c r="T395" s="155"/>
      <c r="U395" s="155"/>
      <c r="V395" s="39"/>
      <c r="W395" s="155"/>
      <c r="X395" s="143"/>
      <c r="Y395" s="143"/>
      <c r="Z395" s="10"/>
      <c r="AA395" s="155"/>
      <c r="AB395" s="155"/>
      <c r="AC395" s="143"/>
      <c r="AD395" s="16"/>
      <c r="AE395" s="16"/>
      <c r="AF395" s="143"/>
      <c r="AG395" s="143"/>
      <c r="AH395" s="143"/>
      <c r="AI395" s="143"/>
      <c r="AJ395" s="143"/>
      <c r="AK395" s="16"/>
      <c r="AL395" s="16"/>
      <c r="AM395" s="143"/>
      <c r="AN395" s="177">
        <f>SUM(P395:AM395)-O395</f>
        <v>0</v>
      </c>
    </row>
    <row r="396" spans="1:40" ht="15" thickBot="1" x14ac:dyDescent="0.4">
      <c r="A396" s="40">
        <v>6293</v>
      </c>
      <c r="B396" s="79" t="s">
        <v>422</v>
      </c>
      <c r="C396" s="46">
        <v>713559</v>
      </c>
      <c r="D396" s="97">
        <v>0</v>
      </c>
      <c r="E396" s="10">
        <f>C396+D396</f>
        <v>713559</v>
      </c>
      <c r="F396" s="23">
        <v>602289</v>
      </c>
      <c r="G396" s="23">
        <v>0</v>
      </c>
      <c r="H396" s="16">
        <f>F396+G396</f>
        <v>602289</v>
      </c>
      <c r="I396" s="16">
        <f>E396-H396</f>
        <v>111270</v>
      </c>
      <c r="J396" s="23">
        <v>0</v>
      </c>
      <c r="K396" s="23">
        <v>0</v>
      </c>
      <c r="L396" s="46">
        <v>0</v>
      </c>
      <c r="M396" s="46">
        <v>0</v>
      </c>
      <c r="N396" s="46">
        <v>0</v>
      </c>
      <c r="O396" s="46">
        <v>0</v>
      </c>
      <c r="P396" s="78">
        <f>I396-M396-J396-K396-N396-L396</f>
        <v>111270</v>
      </c>
      <c r="Q396" s="155"/>
      <c r="R396" s="155"/>
      <c r="S396" s="45">
        <f>IF(J396+K396+L396+M396+N396&lt;VLOOKUP(A396,Eligibility!$A$3:$F$423,6,0),J396+K396+L396+M396+N396,VLOOKUP(A396,Eligibility!$A$3:$F$423,6,0))</f>
        <v>0</v>
      </c>
      <c r="T396" s="155"/>
      <c r="U396" s="155"/>
      <c r="V396" s="39"/>
      <c r="W396" s="155"/>
      <c r="X396" s="143"/>
      <c r="Y396" s="143"/>
      <c r="Z396" s="10"/>
      <c r="AA396" s="155"/>
      <c r="AB396" s="155"/>
      <c r="AC396" s="143"/>
      <c r="AD396" s="16"/>
      <c r="AE396" s="16"/>
      <c r="AF396" s="143"/>
      <c r="AG396" s="143"/>
      <c r="AH396" s="143"/>
      <c r="AI396" s="143"/>
      <c r="AJ396" s="143"/>
      <c r="AK396" s="16"/>
      <c r="AL396" s="16"/>
      <c r="AM396" s="143"/>
      <c r="AN396" s="177">
        <f>SUM(P396:AM396)-O396</f>
        <v>111270</v>
      </c>
    </row>
    <row r="397" spans="1:40" ht="15" thickBot="1" x14ac:dyDescent="0.4">
      <c r="A397" s="40">
        <v>6300</v>
      </c>
      <c r="B397" s="79" t="s">
        <v>423</v>
      </c>
      <c r="C397" s="46">
        <v>6221141</v>
      </c>
      <c r="D397" s="97">
        <v>266316</v>
      </c>
      <c r="E397" s="10">
        <f>C397+D397</f>
        <v>6487457</v>
      </c>
      <c r="F397" s="23">
        <v>10828139</v>
      </c>
      <c r="G397" s="23">
        <v>86102</v>
      </c>
      <c r="H397" s="16">
        <f>F397+G397</f>
        <v>10914241</v>
      </c>
      <c r="I397" s="16">
        <f>E397-H397</f>
        <v>-4426784</v>
      </c>
      <c r="J397" s="23">
        <v>3563866.48</v>
      </c>
      <c r="K397" s="23">
        <v>181678</v>
      </c>
      <c r="L397" s="46">
        <v>0</v>
      </c>
      <c r="M397" s="46">
        <v>7059.17</v>
      </c>
      <c r="N397" s="46">
        <v>0</v>
      </c>
      <c r="O397" s="46">
        <v>0</v>
      </c>
      <c r="P397" s="78">
        <f>I397-M397-J397-K397-N397-L397</f>
        <v>-8179387.6500000004</v>
      </c>
      <c r="Q397" s="155"/>
      <c r="R397" s="155"/>
      <c r="S397" s="45">
        <f>IF(-$P397&lt;VLOOKUP(A397,Eligibility!$A$3:$F$423,6,0),-P397,VLOOKUP(A397,Eligibility!$A$3:$F$423,6,0))</f>
        <v>8179387.6500000004</v>
      </c>
      <c r="T397" s="155"/>
      <c r="U397" s="155"/>
      <c r="V397" s="39"/>
      <c r="W397" s="155"/>
      <c r="X397" s="143"/>
      <c r="Y397" s="143"/>
      <c r="Z397" s="10"/>
      <c r="AA397" s="155"/>
      <c r="AB397" s="155"/>
      <c r="AC397" s="143"/>
      <c r="AD397" s="16"/>
      <c r="AE397" s="16"/>
      <c r="AF397" s="143"/>
      <c r="AG397" s="143"/>
      <c r="AH397" s="143"/>
      <c r="AI397" s="143"/>
      <c r="AJ397" s="143"/>
      <c r="AK397" s="16"/>
      <c r="AL397" s="16"/>
      <c r="AM397" s="143"/>
      <c r="AN397" s="177">
        <f>SUM(P397:AM397)-O397</f>
        <v>0</v>
      </c>
    </row>
    <row r="398" spans="1:40" ht="15" thickBot="1" x14ac:dyDescent="0.4">
      <c r="A398" s="40">
        <v>6307</v>
      </c>
      <c r="B398" s="79" t="s">
        <v>424</v>
      </c>
      <c r="C398" s="46">
        <v>1492246</v>
      </c>
      <c r="D398" s="97">
        <v>0</v>
      </c>
      <c r="E398" s="10">
        <f>C398+D398</f>
        <v>1492246</v>
      </c>
      <c r="F398" s="23">
        <v>3826264</v>
      </c>
      <c r="G398" s="23">
        <v>0</v>
      </c>
      <c r="H398" s="16">
        <f>F398+G398</f>
        <v>3826264</v>
      </c>
      <c r="I398" s="16">
        <f>E398-H398</f>
        <v>-2334018</v>
      </c>
      <c r="J398" s="23">
        <v>1947308</v>
      </c>
      <c r="K398" s="23">
        <v>317936.5</v>
      </c>
      <c r="L398" s="46">
        <v>0</v>
      </c>
      <c r="M398" s="46">
        <v>14118.34</v>
      </c>
      <c r="N398" s="46">
        <v>20000</v>
      </c>
      <c r="O398" s="46">
        <v>0</v>
      </c>
      <c r="P398" s="78">
        <f>I398-M398-J398-K398-N398-L398</f>
        <v>-4633380.84</v>
      </c>
      <c r="Q398" s="155"/>
      <c r="R398" s="155"/>
      <c r="S398" s="45">
        <f>IF(-$P398&lt;VLOOKUP(A398,Eligibility!$A$3:$F$423,6,0),-P398,VLOOKUP(A398,Eligibility!$A$3:$F$423,6,0))</f>
        <v>4633380.84</v>
      </c>
      <c r="T398" s="155"/>
      <c r="U398" s="155"/>
      <c r="V398" s="39"/>
      <c r="W398" s="155"/>
      <c r="X398" s="143"/>
      <c r="Y398" s="143"/>
      <c r="Z398" s="10"/>
      <c r="AA398" s="155"/>
      <c r="AB398" s="155"/>
      <c r="AC398" s="143"/>
      <c r="AD398" s="16"/>
      <c r="AE398" s="16"/>
      <c r="AF398" s="143"/>
      <c r="AG398" s="143"/>
      <c r="AH398" s="143"/>
      <c r="AI398" s="143"/>
      <c r="AJ398" s="143"/>
      <c r="AK398" s="16"/>
      <c r="AL398" s="16"/>
      <c r="AM398" s="143"/>
      <c r="AN398" s="177">
        <f>SUM(P398:AM398)-O398</f>
        <v>0</v>
      </c>
    </row>
    <row r="399" spans="1:40" ht="15" thickBot="1" x14ac:dyDescent="0.4">
      <c r="A399" s="40">
        <v>6328</v>
      </c>
      <c r="B399" s="79" t="s">
        <v>425</v>
      </c>
      <c r="C399" s="46">
        <v>155954</v>
      </c>
      <c r="D399" s="97">
        <v>0</v>
      </c>
      <c r="E399" s="10">
        <f>C399+D399</f>
        <v>155954</v>
      </c>
      <c r="F399" s="23">
        <v>2575223</v>
      </c>
      <c r="G399" s="23">
        <v>0</v>
      </c>
      <c r="H399" s="16">
        <f>F399+G399</f>
        <v>2575223</v>
      </c>
      <c r="I399" s="16">
        <f>E399-H399</f>
        <v>-2419269</v>
      </c>
      <c r="J399" s="23">
        <v>205934</v>
      </c>
      <c r="K399" s="23">
        <v>25954</v>
      </c>
      <c r="L399" s="46">
        <v>0</v>
      </c>
      <c r="M399" s="46">
        <v>0</v>
      </c>
      <c r="N399" s="46">
        <v>290504</v>
      </c>
      <c r="O399" s="46">
        <v>0</v>
      </c>
      <c r="P399" s="78">
        <f>I399-M399-J399-K399-N399-L399</f>
        <v>-2941661</v>
      </c>
      <c r="Q399" s="155"/>
      <c r="R399" s="155"/>
      <c r="S399" s="45">
        <f>IF(-$P399&lt;VLOOKUP(A399,Eligibility!$A$3:$F$423,6,0),-P399,VLOOKUP(A399,Eligibility!$A$3:$F$423,6,0))</f>
        <v>2941661</v>
      </c>
      <c r="T399" s="155"/>
      <c r="U399" s="155"/>
      <c r="V399" s="39"/>
      <c r="W399" s="155"/>
      <c r="X399" s="143"/>
      <c r="Y399" s="143"/>
      <c r="Z399" s="10"/>
      <c r="AA399" s="155"/>
      <c r="AB399" s="155"/>
      <c r="AC399" s="143"/>
      <c r="AD399" s="16"/>
      <c r="AE399" s="16"/>
      <c r="AF399" s="143"/>
      <c r="AG399" s="143"/>
      <c r="AH399" s="143"/>
      <c r="AI399" s="143"/>
      <c r="AJ399" s="143"/>
      <c r="AK399" s="16"/>
      <c r="AL399" s="16"/>
      <c r="AM399" s="143"/>
      <c r="AN399" s="177">
        <f>SUM(P399:AM399)-O399</f>
        <v>0</v>
      </c>
    </row>
    <row r="400" spans="1:40" ht="15" thickBot="1" x14ac:dyDescent="0.4">
      <c r="A400" s="40">
        <v>6370</v>
      </c>
      <c r="B400" s="79" t="s">
        <v>426</v>
      </c>
      <c r="C400" s="46">
        <v>1925254</v>
      </c>
      <c r="D400" s="97">
        <v>0</v>
      </c>
      <c r="E400" s="10">
        <f>C400+D400</f>
        <v>1925254</v>
      </c>
      <c r="F400" s="23">
        <v>1180335</v>
      </c>
      <c r="G400" s="23">
        <v>0</v>
      </c>
      <c r="H400" s="16">
        <f>F400+G400</f>
        <v>1180335</v>
      </c>
      <c r="I400" s="16">
        <f>E400-H400</f>
        <v>744919</v>
      </c>
      <c r="J400" s="23">
        <v>296314</v>
      </c>
      <c r="K400" s="23">
        <v>142747</v>
      </c>
      <c r="L400" s="46">
        <v>0</v>
      </c>
      <c r="M400" s="46">
        <v>0</v>
      </c>
      <c r="N400" s="46">
        <v>0</v>
      </c>
      <c r="O400" s="46">
        <v>0</v>
      </c>
      <c r="P400" s="78">
        <f>I400-M400-J400-K400-N400-L400</f>
        <v>305858</v>
      </c>
      <c r="Q400" s="155"/>
      <c r="R400" s="155"/>
      <c r="S400" s="45">
        <f>IF(J400+K400+L400+M400+N400&lt;VLOOKUP(A400,Eligibility!$A$3:$F$423,6,0),J400+K400+L400+M400+N400,VLOOKUP(A400,Eligibility!$A$3:$F$423,6,0))</f>
        <v>439061</v>
      </c>
      <c r="T400" s="155"/>
      <c r="U400" s="155"/>
      <c r="V400" s="39"/>
      <c r="W400" s="155"/>
      <c r="X400" s="143"/>
      <c r="Y400" s="143"/>
      <c r="Z400" s="10"/>
      <c r="AA400" s="155"/>
      <c r="AB400" s="155"/>
      <c r="AC400" s="143"/>
      <c r="AD400" s="16"/>
      <c r="AE400" s="16"/>
      <c r="AF400" s="143"/>
      <c r="AG400" s="143"/>
      <c r="AH400" s="143"/>
      <c r="AI400" s="143"/>
      <c r="AJ400" s="143"/>
      <c r="AK400" s="16"/>
      <c r="AL400" s="16"/>
      <c r="AM400" s="143"/>
      <c r="AN400" s="177">
        <f>SUM(P400:AM400)-O400</f>
        <v>744919</v>
      </c>
    </row>
    <row r="401" spans="1:40" ht="15" thickBot="1" x14ac:dyDescent="0.4">
      <c r="A401" s="40">
        <v>6321</v>
      </c>
      <c r="B401" s="79" t="s">
        <v>427</v>
      </c>
      <c r="C401" s="46">
        <v>460004</v>
      </c>
      <c r="D401" s="97">
        <v>0</v>
      </c>
      <c r="E401" s="10">
        <f>C401+D401</f>
        <v>460004</v>
      </c>
      <c r="F401" s="23">
        <v>1054714</v>
      </c>
      <c r="G401" s="23">
        <v>0</v>
      </c>
      <c r="H401" s="16">
        <f>F401+G401</f>
        <v>1054714</v>
      </c>
      <c r="I401" s="16">
        <f>E401-H401</f>
        <v>-594710</v>
      </c>
      <c r="J401" s="23">
        <v>73134</v>
      </c>
      <c r="K401" s="23">
        <v>12977</v>
      </c>
      <c r="L401" s="46">
        <v>0</v>
      </c>
      <c r="M401" s="46">
        <v>0</v>
      </c>
      <c r="N401" s="46">
        <v>0</v>
      </c>
      <c r="O401" s="46">
        <v>0</v>
      </c>
      <c r="P401" s="78">
        <f>I401-M401-J401-K401-N401-L401</f>
        <v>-680821</v>
      </c>
      <c r="Q401" s="155"/>
      <c r="R401" s="155"/>
      <c r="S401" s="45">
        <f>IF(-$P401&lt;VLOOKUP(A401,Eligibility!$A$3:$F$423,6,0),-P401,VLOOKUP(A401,Eligibility!$A$3:$F$423,6,0))</f>
        <v>680821</v>
      </c>
      <c r="T401" s="155"/>
      <c r="U401" s="155"/>
      <c r="V401" s="39"/>
      <c r="W401" s="155"/>
      <c r="X401" s="143"/>
      <c r="Y401" s="143"/>
      <c r="Z401" s="10"/>
      <c r="AA401" s="155"/>
      <c r="AB401" s="155"/>
      <c r="AC401" s="143"/>
      <c r="AD401" s="16"/>
      <c r="AE401" s="16"/>
      <c r="AF401" s="143"/>
      <c r="AG401" s="143"/>
      <c r="AH401" s="143"/>
      <c r="AI401" s="143"/>
      <c r="AJ401" s="143"/>
      <c r="AK401" s="16"/>
      <c r="AL401" s="16"/>
      <c r="AM401" s="143"/>
      <c r="AN401" s="177">
        <f>SUM(P401:AM401)-O401</f>
        <v>0</v>
      </c>
    </row>
    <row r="402" spans="1:40" ht="15" thickBot="1" x14ac:dyDescent="0.4">
      <c r="A402" s="40">
        <v>6335</v>
      </c>
      <c r="B402" s="79" t="s">
        <v>428</v>
      </c>
      <c r="C402" s="46">
        <v>587421</v>
      </c>
      <c r="D402" s="97">
        <v>0</v>
      </c>
      <c r="E402" s="10">
        <f>C402+D402</f>
        <v>587421</v>
      </c>
      <c r="F402" s="23">
        <v>1789545</v>
      </c>
      <c r="G402" s="23">
        <v>0</v>
      </c>
      <c r="H402" s="16">
        <f>F402+G402</f>
        <v>1789545</v>
      </c>
      <c r="I402" s="16">
        <f>E402-H402</f>
        <v>-1202124</v>
      </c>
      <c r="J402" s="23">
        <v>72026</v>
      </c>
      <c r="K402" s="23">
        <v>0</v>
      </c>
      <c r="L402" s="46">
        <v>0</v>
      </c>
      <c r="M402" s="46">
        <v>7059.17</v>
      </c>
      <c r="N402" s="46">
        <v>0</v>
      </c>
      <c r="O402" s="46">
        <v>0</v>
      </c>
      <c r="P402" s="78">
        <f>I402-M402-J402-K402-N402-L402</f>
        <v>-1281209.17</v>
      </c>
      <c r="Q402" s="155"/>
      <c r="R402" s="155"/>
      <c r="S402" s="45">
        <f>IF(-$P402&lt;VLOOKUP(A402,Eligibility!$A$3:$F$423,6,0),-P402,VLOOKUP(A402,Eligibility!$A$3:$F$423,6,0))</f>
        <v>1281209.17</v>
      </c>
      <c r="T402" s="155"/>
      <c r="U402" s="155"/>
      <c r="V402" s="39"/>
      <c r="W402" s="155"/>
      <c r="X402" s="143"/>
      <c r="Y402" s="143"/>
      <c r="Z402" s="10"/>
      <c r="AA402" s="155"/>
      <c r="AB402" s="155"/>
      <c r="AC402" s="143"/>
      <c r="AD402" s="16"/>
      <c r="AE402" s="16"/>
      <c r="AF402" s="143"/>
      <c r="AG402" s="143"/>
      <c r="AH402" s="143"/>
      <c r="AI402" s="143"/>
      <c r="AJ402" s="143"/>
      <c r="AK402" s="16"/>
      <c r="AL402" s="16"/>
      <c r="AM402" s="143"/>
      <c r="AN402" s="177">
        <f>SUM(P402:AM402)-O402</f>
        <v>0</v>
      </c>
    </row>
    <row r="403" spans="1:40" ht="15" thickBot="1" x14ac:dyDescent="0.4">
      <c r="A403" s="40">
        <v>6354</v>
      </c>
      <c r="B403" s="79" t="s">
        <v>429</v>
      </c>
      <c r="C403" s="46">
        <v>466069</v>
      </c>
      <c r="D403" s="97">
        <v>0</v>
      </c>
      <c r="E403" s="10">
        <f>C403+D403</f>
        <v>466069</v>
      </c>
      <c r="F403" s="23">
        <v>512186</v>
      </c>
      <c r="G403" s="23">
        <v>0</v>
      </c>
      <c r="H403" s="16">
        <f>F403+G403</f>
        <v>512186</v>
      </c>
      <c r="I403" s="16">
        <f>E403-H403</f>
        <v>-46117</v>
      </c>
      <c r="J403" s="23">
        <v>16600</v>
      </c>
      <c r="K403" s="23">
        <v>0</v>
      </c>
      <c r="L403" s="46">
        <v>0</v>
      </c>
      <c r="M403" s="46">
        <v>0</v>
      </c>
      <c r="N403" s="46">
        <v>10000</v>
      </c>
      <c r="O403" s="46">
        <v>0</v>
      </c>
      <c r="P403" s="78">
        <f>I403-M403-J403-K403-N403-L403</f>
        <v>-72717</v>
      </c>
      <c r="Q403" s="155"/>
      <c r="R403" s="155"/>
      <c r="S403" s="45">
        <f>IF(-$P403&lt;VLOOKUP(A403,Eligibility!$A$3:$F$423,6,0),-P403,VLOOKUP(A403,Eligibility!$A$3:$F$423,6,0))</f>
        <v>72717</v>
      </c>
      <c r="T403" s="155"/>
      <c r="U403" s="155"/>
      <c r="V403" s="39"/>
      <c r="W403" s="155"/>
      <c r="X403" s="143"/>
      <c r="Y403" s="143"/>
      <c r="Z403" s="10"/>
      <c r="AA403" s="155"/>
      <c r="AB403" s="155"/>
      <c r="AC403" s="143"/>
      <c r="AD403" s="16"/>
      <c r="AE403" s="16"/>
      <c r="AF403" s="143"/>
      <c r="AG403" s="143"/>
      <c r="AH403" s="143"/>
      <c r="AI403" s="143"/>
      <c r="AJ403" s="143"/>
      <c r="AK403" s="16"/>
      <c r="AL403" s="16"/>
      <c r="AM403" s="143"/>
      <c r="AN403" s="177">
        <f>SUM(P403:AM403)-O403</f>
        <v>0</v>
      </c>
    </row>
    <row r="404" spans="1:40" ht="15" thickBot="1" x14ac:dyDescent="0.4">
      <c r="A404" s="40">
        <v>6384</v>
      </c>
      <c r="B404" s="79" t="s">
        <v>430</v>
      </c>
      <c r="C404" s="46">
        <v>537526</v>
      </c>
      <c r="D404" s="97">
        <v>0</v>
      </c>
      <c r="E404" s="10">
        <f>C404+D404</f>
        <v>537526</v>
      </c>
      <c r="F404" s="23">
        <v>640947</v>
      </c>
      <c r="G404" s="23">
        <v>0</v>
      </c>
      <c r="H404" s="16">
        <f>F404+G404</f>
        <v>640947</v>
      </c>
      <c r="I404" s="16">
        <f>E404-H404</f>
        <v>-103421</v>
      </c>
      <c r="J404" s="23">
        <v>118048</v>
      </c>
      <c r="K404" s="23">
        <v>0</v>
      </c>
      <c r="L404" s="46">
        <v>0</v>
      </c>
      <c r="M404" s="46">
        <v>0</v>
      </c>
      <c r="N404" s="46">
        <v>0</v>
      </c>
      <c r="O404" s="46">
        <v>0</v>
      </c>
      <c r="P404" s="78">
        <f>I404-M404-J404-K404-N404-L404</f>
        <v>-221469</v>
      </c>
      <c r="Q404" s="155"/>
      <c r="R404" s="155"/>
      <c r="S404" s="45">
        <f>IF(-$P404&lt;VLOOKUP(A404,Eligibility!$A$3:$F$423,6,0),-P404,VLOOKUP(A404,Eligibility!$A$3:$F$423,6,0))</f>
        <v>221469</v>
      </c>
      <c r="T404" s="155"/>
      <c r="U404" s="155"/>
      <c r="V404" s="39"/>
      <c r="W404" s="155"/>
      <c r="X404" s="143"/>
      <c r="Y404" s="143"/>
      <c r="Z404" s="10"/>
      <c r="AA404" s="155"/>
      <c r="AB404" s="155"/>
      <c r="AC404" s="143"/>
      <c r="AD404" s="16"/>
      <c r="AE404" s="16"/>
      <c r="AF404" s="143"/>
      <c r="AG404" s="143"/>
      <c r="AH404" s="143"/>
      <c r="AI404" s="143"/>
      <c r="AJ404" s="143"/>
      <c r="AK404" s="16"/>
      <c r="AL404" s="16"/>
      <c r="AM404" s="143"/>
      <c r="AN404" s="177">
        <f>SUM(P404:AM404)-O404</f>
        <v>0</v>
      </c>
    </row>
    <row r="405" spans="1:40" ht="15" thickBot="1" x14ac:dyDescent="0.4">
      <c r="A405" s="40">
        <v>6412</v>
      </c>
      <c r="B405" s="79" t="s">
        <v>431</v>
      </c>
      <c r="C405" s="46">
        <v>1604128</v>
      </c>
      <c r="D405" s="97">
        <v>0</v>
      </c>
      <c r="E405" s="10">
        <f>C405+D405</f>
        <v>1604128</v>
      </c>
      <c r="F405" s="23">
        <v>461140</v>
      </c>
      <c r="G405" s="23">
        <v>0</v>
      </c>
      <c r="H405" s="16">
        <f>F405+G405</f>
        <v>461140</v>
      </c>
      <c r="I405" s="16">
        <f>E405-H405</f>
        <v>1142988</v>
      </c>
      <c r="J405" s="23">
        <v>0</v>
      </c>
      <c r="K405" s="23">
        <v>0</v>
      </c>
      <c r="L405" s="46">
        <v>0</v>
      </c>
      <c r="M405" s="46">
        <v>0</v>
      </c>
      <c r="N405" s="46">
        <v>0</v>
      </c>
      <c r="O405" s="46">
        <v>0</v>
      </c>
      <c r="P405" s="78">
        <f>I405-M405-J405-K405-N405-L405</f>
        <v>1142988</v>
      </c>
      <c r="Q405" s="155"/>
      <c r="R405" s="155"/>
      <c r="S405" s="45">
        <f>IF(J405+K405+L405+M405+N405&lt;VLOOKUP(A405,Eligibility!$A$3:$F$423,6,0),J405+K405+L405+M405+N405,VLOOKUP(A405,Eligibility!$A$3:$F$423,6,0))</f>
        <v>0</v>
      </c>
      <c r="T405" s="155"/>
      <c r="U405" s="155"/>
      <c r="V405" s="39"/>
      <c r="W405" s="155"/>
      <c r="X405" s="143"/>
      <c r="Y405" s="143"/>
      <c r="Z405" s="10"/>
      <c r="AA405" s="155"/>
      <c r="AB405" s="155"/>
      <c r="AC405" s="143"/>
      <c r="AD405" s="16"/>
      <c r="AE405" s="16"/>
      <c r="AF405" s="143"/>
      <c r="AG405" s="143"/>
      <c r="AH405" s="143"/>
      <c r="AI405" s="143"/>
      <c r="AJ405" s="143"/>
      <c r="AK405" s="16"/>
      <c r="AL405" s="16"/>
      <c r="AM405" s="143"/>
      <c r="AN405" s="177">
        <f>SUM(P405:AM405)-O405</f>
        <v>1142988</v>
      </c>
    </row>
    <row r="406" spans="1:40" ht="15" thickBot="1" x14ac:dyDescent="0.4">
      <c r="A406" s="40">
        <v>6440</v>
      </c>
      <c r="B406" s="79" t="s">
        <v>432</v>
      </c>
      <c r="C406" s="46">
        <v>91091</v>
      </c>
      <c r="D406" s="97">
        <v>0</v>
      </c>
      <c r="E406" s="10">
        <f>C406+D406</f>
        <v>91091</v>
      </c>
      <c r="F406" s="23">
        <v>161136</v>
      </c>
      <c r="G406" s="23">
        <v>0</v>
      </c>
      <c r="H406" s="16">
        <f>F406+G406</f>
        <v>161136</v>
      </c>
      <c r="I406" s="16">
        <f>E406-H406</f>
        <v>-70045</v>
      </c>
      <c r="J406" s="23">
        <v>8300</v>
      </c>
      <c r="K406" s="23">
        <v>0</v>
      </c>
      <c r="L406" s="46">
        <v>0</v>
      </c>
      <c r="M406" s="46">
        <v>0</v>
      </c>
      <c r="N406" s="46">
        <v>0</v>
      </c>
      <c r="O406" s="46">
        <v>0</v>
      </c>
      <c r="P406" s="78">
        <f>I406-M406-J406-K406-N406-L406</f>
        <v>-78345</v>
      </c>
      <c r="Q406" s="155">
        <v>15844</v>
      </c>
      <c r="R406" s="155">
        <v>15107</v>
      </c>
      <c r="S406" s="45">
        <f>IF(-$P406&lt;VLOOKUP(A406,Eligibility!$A$3:$F$423,6,0),-P406,VLOOKUP(A406,Eligibility!$A$3:$F$423,6,0))</f>
        <v>21150</v>
      </c>
      <c r="T406" s="155"/>
      <c r="U406" s="155">
        <f>2251+6121</f>
        <v>8372</v>
      </c>
      <c r="V406" s="39">
        <f>30503-9841-2790</f>
        <v>17872</v>
      </c>
      <c r="W406" s="155"/>
      <c r="X406" s="143"/>
      <c r="Y406" s="143"/>
      <c r="Z406" s="10"/>
      <c r="AA406" s="155"/>
      <c r="AB406" s="155"/>
      <c r="AC406" s="143"/>
      <c r="AD406" s="16"/>
      <c r="AE406" s="16"/>
      <c r="AF406" s="143"/>
      <c r="AG406" s="143"/>
      <c r="AH406" s="143"/>
      <c r="AI406" s="143"/>
      <c r="AJ406" s="143"/>
      <c r="AK406" s="16"/>
      <c r="AL406" s="16"/>
      <c r="AM406" s="143"/>
      <c r="AN406" s="177">
        <f>SUM(P406:AM406)-O406</f>
        <v>0</v>
      </c>
    </row>
    <row r="407" spans="1:40" ht="15" thickBot="1" x14ac:dyDescent="0.4">
      <c r="A407" s="40">
        <v>6419</v>
      </c>
      <c r="B407" s="79" t="s">
        <v>433</v>
      </c>
      <c r="C407" s="46">
        <v>24375</v>
      </c>
      <c r="D407" s="97">
        <v>16250</v>
      </c>
      <c r="E407" s="10">
        <f>C407+D407</f>
        <v>40625</v>
      </c>
      <c r="F407" s="23">
        <v>294860</v>
      </c>
      <c r="G407" s="23">
        <v>32500</v>
      </c>
      <c r="H407" s="16">
        <f>F407+G407</f>
        <v>327360</v>
      </c>
      <c r="I407" s="16">
        <f>E407-H407</f>
        <v>-286735</v>
      </c>
      <c r="J407" s="23">
        <v>26192</v>
      </c>
      <c r="K407" s="23">
        <v>90839</v>
      </c>
      <c r="L407" s="46">
        <v>0</v>
      </c>
      <c r="M407" s="46">
        <v>0</v>
      </c>
      <c r="N407" s="46">
        <v>0</v>
      </c>
      <c r="O407" s="46">
        <v>0</v>
      </c>
      <c r="P407" s="78">
        <f>I407-M407-J407-K407-N407-L407</f>
        <v>-403766</v>
      </c>
      <c r="Q407" s="155"/>
      <c r="R407" s="155"/>
      <c r="S407" s="45">
        <f>IF(-$P407&lt;VLOOKUP(A407,Eligibility!$A$3:$F$423,6,0),-P407,VLOOKUP(A407,Eligibility!$A$3:$F$423,6,0))</f>
        <v>403766</v>
      </c>
      <c r="T407" s="155"/>
      <c r="U407" s="155"/>
      <c r="V407" s="39"/>
      <c r="W407" s="155"/>
      <c r="X407" s="143"/>
      <c r="Y407" s="143"/>
      <c r="Z407" s="10"/>
      <c r="AA407" s="155"/>
      <c r="AB407" s="155"/>
      <c r="AC407" s="143"/>
      <c r="AD407" s="16"/>
      <c r="AE407" s="16"/>
      <c r="AF407" s="143"/>
      <c r="AG407" s="143"/>
      <c r="AH407" s="143"/>
      <c r="AI407" s="143"/>
      <c r="AJ407" s="143"/>
      <c r="AK407" s="16"/>
      <c r="AL407" s="16"/>
      <c r="AM407" s="143"/>
      <c r="AN407" s="177">
        <f>SUM(P407:AM407)-O407</f>
        <v>0</v>
      </c>
    </row>
    <row r="408" spans="1:40" ht="15" thickBot="1" x14ac:dyDescent="0.4">
      <c r="A408" s="40">
        <v>6426</v>
      </c>
      <c r="B408" s="79" t="s">
        <v>434</v>
      </c>
      <c r="C408" s="46">
        <v>842346</v>
      </c>
      <c r="D408" s="97">
        <v>0</v>
      </c>
      <c r="E408" s="10">
        <f>C408+D408</f>
        <v>842346</v>
      </c>
      <c r="F408" s="23">
        <v>528962</v>
      </c>
      <c r="G408" s="23">
        <v>0</v>
      </c>
      <c r="H408" s="16">
        <f>F408+G408</f>
        <v>528962</v>
      </c>
      <c r="I408" s="16">
        <f>E408-H408</f>
        <v>313384</v>
      </c>
      <c r="J408" s="23">
        <v>29696</v>
      </c>
      <c r="K408" s="23">
        <v>12977</v>
      </c>
      <c r="L408" s="46">
        <v>0</v>
      </c>
      <c r="M408" s="46">
        <v>0</v>
      </c>
      <c r="N408" s="46">
        <v>0</v>
      </c>
      <c r="O408" s="46">
        <v>0</v>
      </c>
      <c r="P408" s="78">
        <f>I408-M408-J408-K408-N408-L408</f>
        <v>270711</v>
      </c>
      <c r="Q408" s="155"/>
      <c r="R408" s="155"/>
      <c r="S408" s="45">
        <f>IF(J408+K408+L408+M408+N408&lt;VLOOKUP(A408,Eligibility!$A$3:$F$423,6,0),J408+K408+L408+M408+N408,VLOOKUP(A408,Eligibility!$A$3:$F$423,6,0))</f>
        <v>42673</v>
      </c>
      <c r="T408" s="155"/>
      <c r="U408" s="155"/>
      <c r="V408" s="39"/>
      <c r="W408" s="155"/>
      <c r="X408" s="143"/>
      <c r="Y408" s="143"/>
      <c r="Z408" s="10"/>
      <c r="AA408" s="155"/>
      <c r="AB408" s="155"/>
      <c r="AC408" s="143"/>
      <c r="AD408" s="16"/>
      <c r="AE408" s="16"/>
      <c r="AF408" s="143"/>
      <c r="AG408" s="143"/>
      <c r="AH408" s="143"/>
      <c r="AI408" s="143"/>
      <c r="AJ408" s="143"/>
      <c r="AK408" s="16"/>
      <c r="AL408" s="16"/>
      <c r="AM408" s="143"/>
      <c r="AN408" s="177">
        <f>SUM(P408:AM408)-O408</f>
        <v>313384</v>
      </c>
    </row>
    <row r="409" spans="1:40" ht="15" thickBot="1" x14ac:dyDescent="0.4">
      <c r="A409" s="40">
        <v>6461</v>
      </c>
      <c r="B409" s="79" t="s">
        <v>435</v>
      </c>
      <c r="C409" s="46">
        <v>496561</v>
      </c>
      <c r="D409" s="97">
        <v>0</v>
      </c>
      <c r="E409" s="10">
        <f>C409+D409</f>
        <v>496561</v>
      </c>
      <c r="F409" s="23">
        <v>2147294</v>
      </c>
      <c r="G409" s="23">
        <v>0</v>
      </c>
      <c r="H409" s="16">
        <f>F409+G409</f>
        <v>2147294</v>
      </c>
      <c r="I409" s="16">
        <f>E409-H409</f>
        <v>-1650733</v>
      </c>
      <c r="J409" s="23">
        <v>127084</v>
      </c>
      <c r="K409" s="23">
        <v>64885</v>
      </c>
      <c r="L409" s="46">
        <v>0</v>
      </c>
      <c r="M409" s="46">
        <v>7059.17</v>
      </c>
      <c r="N409" s="46">
        <v>10343</v>
      </c>
      <c r="O409" s="46">
        <v>0</v>
      </c>
      <c r="P409" s="78">
        <f>I409-M409-J409-K409-N409-L409</f>
        <v>-1860104.17</v>
      </c>
      <c r="Q409" s="155"/>
      <c r="R409" s="155"/>
      <c r="S409" s="45">
        <f>IF(-$P409&lt;VLOOKUP(A409,Eligibility!$A$3:$F$423,6,0),-P409,VLOOKUP(A409,Eligibility!$A$3:$F$423,6,0))</f>
        <v>1860104.17</v>
      </c>
      <c r="T409" s="155"/>
      <c r="U409" s="155"/>
      <c r="V409" s="39"/>
      <c r="W409" s="155"/>
      <c r="X409" s="143"/>
      <c r="Y409" s="143"/>
      <c r="Z409" s="10"/>
      <c r="AA409" s="155"/>
      <c r="AB409" s="155"/>
      <c r="AC409" s="143"/>
      <c r="AD409" s="16"/>
      <c r="AE409" s="16"/>
      <c r="AF409" s="143"/>
      <c r="AG409" s="143"/>
      <c r="AH409" s="143"/>
      <c r="AI409" s="143"/>
      <c r="AJ409" s="143"/>
      <c r="AK409" s="16"/>
      <c r="AL409" s="16"/>
      <c r="AM409" s="143"/>
      <c r="AN409" s="177">
        <f>SUM(P409:AM409)-O409</f>
        <v>0</v>
      </c>
    </row>
    <row r="410" spans="1:40" ht="15" thickBot="1" x14ac:dyDescent="0.4">
      <c r="A410" s="40">
        <v>6470</v>
      </c>
      <c r="B410" s="79" t="s">
        <v>436</v>
      </c>
      <c r="C410" s="46">
        <v>3071065</v>
      </c>
      <c r="D410" s="97">
        <v>131579</v>
      </c>
      <c r="E410" s="10">
        <f>C410+D410</f>
        <v>3202644</v>
      </c>
      <c r="F410" s="23">
        <v>1219475</v>
      </c>
      <c r="G410" s="23">
        <v>35931</v>
      </c>
      <c r="H410" s="16">
        <f>F410+G410</f>
        <v>1255406</v>
      </c>
      <c r="I410" s="16">
        <f>E410-H410</f>
        <v>1947238</v>
      </c>
      <c r="J410" s="23">
        <v>326628.59999999998</v>
      </c>
      <c r="K410" s="23">
        <v>19465.5</v>
      </c>
      <c r="L410" s="46">
        <v>0</v>
      </c>
      <c r="M410" s="46">
        <v>0</v>
      </c>
      <c r="N410" s="46">
        <v>0</v>
      </c>
      <c r="O410" s="46">
        <v>0</v>
      </c>
      <c r="P410" s="78">
        <f>I410-M410-J410-K410-N410-L410</f>
        <v>1601143.9</v>
      </c>
      <c r="Q410" s="155"/>
      <c r="R410" s="155"/>
      <c r="S410" s="45">
        <f>IF(J410+K410+L410+M410+N410&lt;VLOOKUP(A410,Eligibility!$A$3:$F$423,6,0),J410+K410+L410+M410+N410,VLOOKUP(A410,Eligibility!$A$3:$F$423,6,0))</f>
        <v>346094.1</v>
      </c>
      <c r="T410" s="155"/>
      <c r="U410" s="155"/>
      <c r="V410" s="39"/>
      <c r="W410" s="155"/>
      <c r="X410" s="143"/>
      <c r="Y410" s="143"/>
      <c r="Z410" s="10"/>
      <c r="AA410" s="155"/>
      <c r="AB410" s="155"/>
      <c r="AC410" s="143"/>
      <c r="AD410" s="16"/>
      <c r="AE410" s="16"/>
      <c r="AF410" s="143"/>
      <c r="AG410" s="143"/>
      <c r="AH410" s="143"/>
      <c r="AI410" s="143"/>
      <c r="AJ410" s="143"/>
      <c r="AK410" s="16"/>
      <c r="AL410" s="16"/>
      <c r="AM410" s="143"/>
      <c r="AN410" s="177">
        <f>SUM(P410:AM410)-O410</f>
        <v>1947238</v>
      </c>
    </row>
    <row r="411" spans="1:40" ht="15" thickBot="1" x14ac:dyDescent="0.4">
      <c r="A411" s="40">
        <v>6475</v>
      </c>
      <c r="B411" s="79" t="s">
        <v>40</v>
      </c>
      <c r="C411" s="46">
        <v>686817</v>
      </c>
      <c r="D411" s="97">
        <v>0</v>
      </c>
      <c r="E411" s="10">
        <f>C411+D411</f>
        <v>686817</v>
      </c>
      <c r="F411" s="23">
        <v>837231</v>
      </c>
      <c r="G411" s="23">
        <v>0</v>
      </c>
      <c r="H411" s="16">
        <f>F411+G411</f>
        <v>837231</v>
      </c>
      <c r="I411" s="16">
        <f>E411-H411</f>
        <v>-150414</v>
      </c>
      <c r="J411" s="23">
        <v>16600</v>
      </c>
      <c r="K411" s="23">
        <v>0</v>
      </c>
      <c r="L411" s="46">
        <v>0</v>
      </c>
      <c r="M411" s="46">
        <v>0</v>
      </c>
      <c r="N411" s="46">
        <v>0</v>
      </c>
      <c r="O411" s="46">
        <v>0</v>
      </c>
      <c r="P411" s="78">
        <f>I411-M411-J411-K411-N411-L411</f>
        <v>-167014</v>
      </c>
      <c r="Q411" s="155"/>
      <c r="R411" s="155">
        <f>49176-6184-12097-9297+3882+3160</f>
        <v>28640</v>
      </c>
      <c r="S411" s="45">
        <f>IF(-$P411&lt;VLOOKUP(A411,Eligibility!$A$3:$F$423,6,0),-P411,VLOOKUP(A411,Eligibility!$A$3:$F$423,6,0))-4416-3876</f>
        <v>138374</v>
      </c>
      <c r="T411" s="155"/>
      <c r="U411" s="155"/>
      <c r="V411" s="39"/>
      <c r="W411" s="155"/>
      <c r="X411" s="143"/>
      <c r="Y411" s="143"/>
      <c r="Z411" s="10"/>
      <c r="AA411" s="155"/>
      <c r="AB411" s="155"/>
      <c r="AC411" s="143"/>
      <c r="AD411" s="16"/>
      <c r="AE411" s="16"/>
      <c r="AF411" s="143"/>
      <c r="AG411" s="143"/>
      <c r="AH411" s="143"/>
      <c r="AI411" s="143"/>
      <c r="AJ411" s="143"/>
      <c r="AK411" s="16"/>
      <c r="AL411" s="16"/>
      <c r="AM411" s="143"/>
      <c r="AN411" s="177">
        <f>SUM(P411:AM411)-O411</f>
        <v>0</v>
      </c>
    </row>
    <row r="412" spans="1:40" ht="15" thickBot="1" x14ac:dyDescent="0.4">
      <c r="A412" s="40">
        <v>6482</v>
      </c>
      <c r="B412" s="79" t="s">
        <v>437</v>
      </c>
      <c r="C412" s="46">
        <v>1824267</v>
      </c>
      <c r="D412" s="97">
        <v>0</v>
      </c>
      <c r="E412" s="10">
        <f>C412+D412</f>
        <v>1824267</v>
      </c>
      <c r="F412" s="23">
        <v>810760</v>
      </c>
      <c r="G412" s="23">
        <v>0</v>
      </c>
      <c r="H412" s="16">
        <f>F412+G412</f>
        <v>810760</v>
      </c>
      <c r="I412" s="16">
        <f>E412-H412</f>
        <v>1013507</v>
      </c>
      <c r="J412" s="23">
        <v>0</v>
      </c>
      <c r="K412" s="23">
        <v>0</v>
      </c>
      <c r="L412" s="46">
        <v>0</v>
      </c>
      <c r="M412" s="46">
        <v>0</v>
      </c>
      <c r="N412" s="46">
        <v>6318</v>
      </c>
      <c r="O412" s="46">
        <v>0</v>
      </c>
      <c r="P412" s="78">
        <f>I412-M412-J412-K412-N412-L412</f>
        <v>1007189</v>
      </c>
      <c r="Q412" s="155"/>
      <c r="R412" s="155"/>
      <c r="S412" s="45">
        <f>IF(J412+K412+L412+M412+N412&lt;VLOOKUP(A412,Eligibility!$A$3:$F$423,6,0),J412+K412+L412+M412+N412,VLOOKUP(A412,Eligibility!$A$3:$F$423,6,0))</f>
        <v>5522</v>
      </c>
      <c r="T412" s="155"/>
      <c r="U412" s="155"/>
      <c r="V412" s="39">
        <v>796</v>
      </c>
      <c r="W412" s="155"/>
      <c r="X412" s="143"/>
      <c r="Y412" s="143"/>
      <c r="Z412" s="10"/>
      <c r="AA412" s="155"/>
      <c r="AB412" s="155"/>
      <c r="AC412" s="143"/>
      <c r="AD412" s="16"/>
      <c r="AE412" s="16"/>
      <c r="AF412" s="143"/>
      <c r="AG412" s="143"/>
      <c r="AH412" s="143"/>
      <c r="AI412" s="143"/>
      <c r="AJ412" s="143"/>
      <c r="AK412" s="16"/>
      <c r="AL412" s="16"/>
      <c r="AM412" s="143"/>
      <c r="AN412" s="177">
        <f>SUM(P412:AM412)-O412</f>
        <v>1013507</v>
      </c>
    </row>
    <row r="413" spans="1:40" ht="15" thickBot="1" x14ac:dyDescent="0.4">
      <c r="A413" s="40">
        <v>6545</v>
      </c>
      <c r="B413" s="79" t="s">
        <v>438</v>
      </c>
      <c r="C413" s="46">
        <v>958377</v>
      </c>
      <c r="D413" s="97">
        <v>0</v>
      </c>
      <c r="E413" s="10">
        <f>C413+D413</f>
        <v>958377</v>
      </c>
      <c r="F413" s="23">
        <v>768423</v>
      </c>
      <c r="G413" s="23">
        <v>0</v>
      </c>
      <c r="H413" s="16">
        <f>F413+G413</f>
        <v>768423</v>
      </c>
      <c r="I413" s="16">
        <f>E413-H413</f>
        <v>189954</v>
      </c>
      <c r="J413" s="23">
        <v>8946</v>
      </c>
      <c r="K413" s="23">
        <v>0</v>
      </c>
      <c r="L413" s="46">
        <v>0</v>
      </c>
      <c r="M413" s="46">
        <v>0</v>
      </c>
      <c r="N413" s="46">
        <v>0</v>
      </c>
      <c r="O413" s="46">
        <v>0</v>
      </c>
      <c r="P413" s="78">
        <f>I413-M413-J413-K413-N413-L413</f>
        <v>181008</v>
      </c>
      <c r="Q413" s="155"/>
      <c r="R413" s="155"/>
      <c r="S413" s="45">
        <f>IF(J413+K413+L413+M413+N413&lt;VLOOKUP(A413,Eligibility!$A$3:$F$423,6,0),J413+K413+L413+M413+N413,VLOOKUP(A413,Eligibility!$A$3:$F$423,6,0))</f>
        <v>8946</v>
      </c>
      <c r="T413" s="155"/>
      <c r="U413" s="155"/>
      <c r="V413" s="39"/>
      <c r="W413" s="155"/>
      <c r="X413" s="143"/>
      <c r="Y413" s="143"/>
      <c r="Z413" s="10"/>
      <c r="AA413" s="155"/>
      <c r="AB413" s="155"/>
      <c r="AC413" s="143"/>
      <c r="AD413" s="16"/>
      <c r="AE413" s="16"/>
      <c r="AF413" s="143"/>
      <c r="AG413" s="143"/>
      <c r="AH413" s="143"/>
      <c r="AI413" s="143"/>
      <c r="AJ413" s="143"/>
      <c r="AK413" s="16"/>
      <c r="AL413" s="16"/>
      <c r="AM413" s="143"/>
      <c r="AN413" s="177">
        <f>SUM(P413:AM413)-O413</f>
        <v>189954</v>
      </c>
    </row>
    <row r="414" spans="1:40" ht="15" thickBot="1" x14ac:dyDescent="0.4">
      <c r="A414" s="40">
        <v>6608</v>
      </c>
      <c r="B414" s="79" t="s">
        <v>439</v>
      </c>
      <c r="C414" s="46">
        <v>2563189</v>
      </c>
      <c r="D414" s="97">
        <v>0</v>
      </c>
      <c r="E414" s="10">
        <f>C414+D414</f>
        <v>2563189</v>
      </c>
      <c r="F414" s="23">
        <v>640633</v>
      </c>
      <c r="G414" s="23">
        <v>0</v>
      </c>
      <c r="H414" s="16">
        <f>F414+G414</f>
        <v>640633</v>
      </c>
      <c r="I414" s="16">
        <f>E414-H414</f>
        <v>1922556</v>
      </c>
      <c r="J414" s="23">
        <v>130588</v>
      </c>
      <c r="K414" s="23">
        <v>0</v>
      </c>
      <c r="L414" s="46">
        <v>0</v>
      </c>
      <c r="M414" s="46">
        <v>7059.17</v>
      </c>
      <c r="N414" s="46">
        <v>0</v>
      </c>
      <c r="O414" s="46">
        <v>0</v>
      </c>
      <c r="P414" s="78">
        <f>I414-M414-J414-K414-N414-L414</f>
        <v>1784908.83</v>
      </c>
      <c r="Q414" s="155"/>
      <c r="R414" s="155"/>
      <c r="S414" s="45">
        <f>IF(J414+K414+L414+M414+N414&lt;VLOOKUP(A414,Eligibility!$A$3:$F$423,6,0),J414+K414+L414+M414+N414,VLOOKUP(A414,Eligibility!$A$3:$F$423,6,0))</f>
        <v>137647.17000000001</v>
      </c>
      <c r="T414" s="155"/>
      <c r="U414" s="155"/>
      <c r="V414" s="39"/>
      <c r="W414" s="155"/>
      <c r="X414" s="143"/>
      <c r="Y414" s="143"/>
      <c r="Z414" s="10"/>
      <c r="AA414" s="155"/>
      <c r="AB414" s="155"/>
      <c r="AC414" s="143"/>
      <c r="AD414" s="16"/>
      <c r="AE414" s="16"/>
      <c r="AF414" s="143"/>
      <c r="AG414" s="143"/>
      <c r="AH414" s="143"/>
      <c r="AI414" s="143"/>
      <c r="AJ414" s="143"/>
      <c r="AK414" s="16"/>
      <c r="AL414" s="16"/>
      <c r="AM414" s="143"/>
      <c r="AN414" s="177">
        <f>SUM(P414:AM414)-O414</f>
        <v>1922556</v>
      </c>
    </row>
    <row r="415" spans="1:40" ht="15" thickBot="1" x14ac:dyDescent="0.4">
      <c r="A415" s="40">
        <v>6615</v>
      </c>
      <c r="B415" s="79" t="s">
        <v>13</v>
      </c>
      <c r="C415" s="46">
        <v>74855</v>
      </c>
      <c r="D415" s="97">
        <v>0</v>
      </c>
      <c r="E415" s="10">
        <f>C415+D415</f>
        <v>74855</v>
      </c>
      <c r="F415" s="23">
        <v>254470</v>
      </c>
      <c r="G415" s="23">
        <v>0</v>
      </c>
      <c r="H415" s="16">
        <f>F415+G415</f>
        <v>254470</v>
      </c>
      <c r="I415" s="16">
        <f>E415-H415</f>
        <v>-179615</v>
      </c>
      <c r="J415" s="23">
        <v>0</v>
      </c>
      <c r="K415" s="23">
        <v>0</v>
      </c>
      <c r="L415" s="46">
        <v>0</v>
      </c>
      <c r="M415" s="46">
        <v>0</v>
      </c>
      <c r="N415" s="46">
        <v>0</v>
      </c>
      <c r="O415" s="46">
        <v>0</v>
      </c>
      <c r="P415" s="78">
        <f>I415-M415-J415-K415-N415-L415</f>
        <v>-179615</v>
      </c>
      <c r="Q415" s="155">
        <v>6256</v>
      </c>
      <c r="R415" s="155">
        <v>7746</v>
      </c>
      <c r="S415" s="45">
        <f>IF(-$P415&lt;VLOOKUP(A415,Eligibility!$A$3:$F$423,6,0),-P415,VLOOKUP(A415,Eligibility!$A$3:$F$423,6,0))</f>
        <v>10845</v>
      </c>
      <c r="T415" s="155">
        <v>10573</v>
      </c>
      <c r="U415" s="155">
        <v>6608</v>
      </c>
      <c r="V415" s="39">
        <v>9251</v>
      </c>
      <c r="W415" s="155">
        <v>18579</v>
      </c>
      <c r="X415" s="164">
        <v>34518</v>
      </c>
      <c r="Y415" s="143">
        <v>31498.83</v>
      </c>
      <c r="Z415" s="169">
        <v>34073.17</v>
      </c>
      <c r="AA415" s="155"/>
      <c r="AB415" s="155"/>
      <c r="AC415" s="143"/>
      <c r="AD415" s="16">
        <v>2492</v>
      </c>
      <c r="AE415" s="10">
        <f>7172.79+2.21</f>
        <v>7175</v>
      </c>
      <c r="AF415" s="143"/>
      <c r="AG415" s="143"/>
      <c r="AH415" s="143"/>
      <c r="AI415" s="143"/>
      <c r="AJ415" s="143"/>
      <c r="AK415" s="16"/>
      <c r="AL415" s="16"/>
      <c r="AM415" s="143"/>
      <c r="AN415" s="177">
        <f>SUM(P415:AM415)-O415</f>
        <v>0</v>
      </c>
    </row>
    <row r="416" spans="1:40" ht="15" thickBot="1" x14ac:dyDescent="0.4">
      <c r="A416" s="40">
        <v>6678</v>
      </c>
      <c r="B416" s="79" t="s">
        <v>440</v>
      </c>
      <c r="C416" s="46">
        <v>917694</v>
      </c>
      <c r="D416" s="97">
        <v>0</v>
      </c>
      <c r="E416" s="10">
        <f>C416+D416</f>
        <v>917694</v>
      </c>
      <c r="F416" s="23">
        <v>1248113</v>
      </c>
      <c r="G416" s="23">
        <v>0</v>
      </c>
      <c r="H416" s="16">
        <f>F416+G416</f>
        <v>1248113</v>
      </c>
      <c r="I416" s="16">
        <f>E416-H416</f>
        <v>-330419</v>
      </c>
      <c r="J416" s="23">
        <v>58100</v>
      </c>
      <c r="K416" s="23">
        <v>0</v>
      </c>
      <c r="L416" s="46">
        <v>0</v>
      </c>
      <c r="M416" s="46">
        <v>0</v>
      </c>
      <c r="N416" s="46">
        <v>0</v>
      </c>
      <c r="O416" s="46">
        <v>0</v>
      </c>
      <c r="P416" s="78">
        <f>I416-M416-J416-K416-N416-L416</f>
        <v>-388519</v>
      </c>
      <c r="Q416" s="155"/>
      <c r="R416" s="155">
        <v>136363</v>
      </c>
      <c r="S416" s="45">
        <f>IF(-$P416&lt;VLOOKUP(A416,Eligibility!$A$3:$F$423,6,0),-P416,VLOOKUP(A416,Eligibility!$A$3:$F$423,6,0))</f>
        <v>192303</v>
      </c>
      <c r="T416" s="155"/>
      <c r="U416" s="155"/>
      <c r="V416" s="39">
        <v>59853</v>
      </c>
      <c r="W416" s="155"/>
      <c r="X416" s="143"/>
      <c r="Y416" s="143"/>
      <c r="Z416" s="10"/>
      <c r="AA416" s="155"/>
      <c r="AB416" s="155"/>
      <c r="AC416" s="143"/>
      <c r="AD416" s="16"/>
      <c r="AE416" s="16"/>
      <c r="AF416" s="143"/>
      <c r="AG416" s="143"/>
      <c r="AH416" s="143"/>
      <c r="AI416" s="143"/>
      <c r="AJ416" s="143"/>
      <c r="AK416" s="16"/>
      <c r="AL416" s="16"/>
      <c r="AM416" s="143"/>
      <c r="AN416" s="177">
        <f>SUM(P416:AM416)-O416</f>
        <v>0</v>
      </c>
    </row>
    <row r="417" spans="1:40" ht="15" thickBot="1" x14ac:dyDescent="0.4">
      <c r="A417" s="40">
        <v>469</v>
      </c>
      <c r="B417" s="79" t="s">
        <v>441</v>
      </c>
      <c r="C417" s="46">
        <v>401530</v>
      </c>
      <c r="D417" s="97">
        <v>0</v>
      </c>
      <c r="E417" s="10">
        <f>C417+D417</f>
        <v>401530</v>
      </c>
      <c r="F417" s="23">
        <v>740852</v>
      </c>
      <c r="G417" s="23">
        <v>0</v>
      </c>
      <c r="H417" s="16">
        <f>F417+G417</f>
        <v>740852</v>
      </c>
      <c r="I417" s="16">
        <f>E417-H417</f>
        <v>-339322</v>
      </c>
      <c r="J417" s="23">
        <v>0</v>
      </c>
      <c r="K417" s="23">
        <v>0</v>
      </c>
      <c r="L417" s="46">
        <v>0</v>
      </c>
      <c r="M417" s="46">
        <v>0</v>
      </c>
      <c r="N417" s="46">
        <v>1</v>
      </c>
      <c r="O417" s="46">
        <v>0</v>
      </c>
      <c r="P417" s="78">
        <f>I417-M417-J417-K417-N417-L417</f>
        <v>-339323</v>
      </c>
      <c r="Q417" s="155"/>
      <c r="R417" s="155"/>
      <c r="S417" s="45">
        <f>IF(-$P417&lt;VLOOKUP(A417,Eligibility!$A$3:$F$423,6,0),-P417,VLOOKUP(A417,Eligibility!$A$3:$F$423,6,0))</f>
        <v>339323</v>
      </c>
      <c r="T417" s="155"/>
      <c r="U417" s="155"/>
      <c r="V417" s="39"/>
      <c r="W417" s="155"/>
      <c r="X417" s="143"/>
      <c r="Y417" s="143"/>
      <c r="Z417" s="10"/>
      <c r="AA417" s="155"/>
      <c r="AB417" s="155"/>
      <c r="AC417" s="143"/>
      <c r="AD417" s="16"/>
      <c r="AE417" s="16"/>
      <c r="AF417" s="143"/>
      <c r="AG417" s="143"/>
      <c r="AH417" s="143"/>
      <c r="AI417" s="143"/>
      <c r="AJ417" s="143"/>
      <c r="AK417" s="16"/>
      <c r="AL417" s="16"/>
      <c r="AM417" s="143"/>
      <c r="AN417" s="177">
        <f>SUM(P417:AM417)-O417</f>
        <v>0</v>
      </c>
    </row>
    <row r="418" spans="1:40" ht="15" thickBot="1" x14ac:dyDescent="0.4">
      <c r="A418" s="40">
        <v>6685</v>
      </c>
      <c r="B418" s="79" t="s">
        <v>442</v>
      </c>
      <c r="C418" s="46">
        <v>1510662</v>
      </c>
      <c r="D418" s="97">
        <v>0</v>
      </c>
      <c r="E418" s="10">
        <f>C418+D418</f>
        <v>1510662</v>
      </c>
      <c r="F418" s="23">
        <v>2770154</v>
      </c>
      <c r="G418" s="23">
        <v>0</v>
      </c>
      <c r="H418" s="16">
        <f>F418+G418</f>
        <v>2770154</v>
      </c>
      <c r="I418" s="16">
        <f>E418-H418</f>
        <v>-1259492</v>
      </c>
      <c r="J418" s="23">
        <v>1346039</v>
      </c>
      <c r="K418" s="23">
        <v>308582.5</v>
      </c>
      <c r="L418" s="46">
        <v>0</v>
      </c>
      <c r="M418" s="46">
        <v>7059.17</v>
      </c>
      <c r="N418" s="46">
        <v>0</v>
      </c>
      <c r="O418" s="46">
        <v>0</v>
      </c>
      <c r="P418" s="78">
        <f>I418-M418-J418-K418-N418-L418</f>
        <v>-2921172.67</v>
      </c>
      <c r="Q418" s="155"/>
      <c r="R418" s="155"/>
      <c r="S418" s="45">
        <f>IF(-$P418&lt;VLOOKUP(A418,Eligibility!$A$3:$F$423,6,0),-P418,VLOOKUP(A418,Eligibility!$A$3:$F$423,6,0))</f>
        <v>2921172.67</v>
      </c>
      <c r="T418" s="155"/>
      <c r="U418" s="155"/>
      <c r="V418" s="39"/>
      <c r="W418" s="155"/>
      <c r="X418" s="143"/>
      <c r="Y418" s="143"/>
      <c r="Z418" s="10"/>
      <c r="AA418" s="155"/>
      <c r="AB418" s="155"/>
      <c r="AC418" s="143"/>
      <c r="AD418" s="16"/>
      <c r="AE418" s="16"/>
      <c r="AF418" s="143"/>
      <c r="AG418" s="143"/>
      <c r="AH418" s="143"/>
      <c r="AI418" s="143"/>
      <c r="AJ418" s="143"/>
      <c r="AK418" s="16"/>
      <c r="AL418" s="16"/>
      <c r="AM418" s="143"/>
      <c r="AN418" s="177">
        <f>SUM(P418:AM418)-O418</f>
        <v>0</v>
      </c>
    </row>
    <row r="419" spans="1:40" ht="15" thickBot="1" x14ac:dyDescent="0.4">
      <c r="A419" s="40">
        <v>6692</v>
      </c>
      <c r="B419" s="79" t="s">
        <v>443</v>
      </c>
      <c r="C419" s="46">
        <v>1321857</v>
      </c>
      <c r="D419" s="97">
        <v>0</v>
      </c>
      <c r="E419" s="10">
        <f>C419+D419</f>
        <v>1321857</v>
      </c>
      <c r="F419" s="23">
        <v>1218138</v>
      </c>
      <c r="G419" s="23">
        <v>0</v>
      </c>
      <c r="H419" s="16">
        <f>F419+G419</f>
        <v>1218138</v>
      </c>
      <c r="I419" s="16">
        <f>E419-H419</f>
        <v>103719</v>
      </c>
      <c r="J419" s="23">
        <v>17246</v>
      </c>
      <c r="K419" s="23">
        <v>12977</v>
      </c>
      <c r="L419" s="46">
        <v>0</v>
      </c>
      <c r="M419" s="46">
        <v>0</v>
      </c>
      <c r="N419" s="46">
        <v>0</v>
      </c>
      <c r="O419" s="46">
        <v>0</v>
      </c>
      <c r="P419" s="78">
        <f>I419-M419-J419-K419-N419-L419</f>
        <v>73496</v>
      </c>
      <c r="Q419" s="155"/>
      <c r="R419" s="155"/>
      <c r="S419" s="45">
        <f>IF(J419+K419+L419+M419+N419&lt;VLOOKUP(A419,Eligibility!$A$3:$F$423,6,0),J419+K419+L419+M419+N419,VLOOKUP(A419,Eligibility!$A$3:$F$423,6,0))</f>
        <v>30223</v>
      </c>
      <c r="T419" s="155"/>
      <c r="U419" s="155"/>
      <c r="V419" s="39"/>
      <c r="W419" s="155"/>
      <c r="X419" s="143"/>
      <c r="Y419" s="143"/>
      <c r="Z419" s="10"/>
      <c r="AA419" s="155"/>
      <c r="AB419" s="155"/>
      <c r="AC419" s="143"/>
      <c r="AD419" s="16"/>
      <c r="AE419" s="16"/>
      <c r="AF419" s="143"/>
      <c r="AG419" s="143"/>
      <c r="AH419" s="143"/>
      <c r="AI419" s="143"/>
      <c r="AJ419" s="143"/>
      <c r="AK419" s="16"/>
      <c r="AL419" s="16"/>
      <c r="AM419" s="143"/>
      <c r="AN419" s="177">
        <f>SUM(P419:AM419)-O419</f>
        <v>103719</v>
      </c>
    </row>
    <row r="420" spans="1:40" ht="15" thickBot="1" x14ac:dyDescent="0.4">
      <c r="A420" s="40">
        <v>6713</v>
      </c>
      <c r="B420" s="79" t="s">
        <v>444</v>
      </c>
      <c r="C420" s="46">
        <v>464447</v>
      </c>
      <c r="D420" s="97">
        <v>0</v>
      </c>
      <c r="E420" s="10">
        <f>C420+D420</f>
        <v>464447</v>
      </c>
      <c r="F420" s="23">
        <v>718753</v>
      </c>
      <c r="G420" s="23">
        <v>0</v>
      </c>
      <c r="H420" s="16">
        <f>F420+G420</f>
        <v>718753</v>
      </c>
      <c r="I420" s="16">
        <f>E420-H420</f>
        <v>-254306</v>
      </c>
      <c r="J420" s="23">
        <v>0</v>
      </c>
      <c r="K420" s="23">
        <v>0</v>
      </c>
      <c r="L420" s="46">
        <v>0</v>
      </c>
      <c r="M420" s="46">
        <v>0</v>
      </c>
      <c r="N420" s="46">
        <v>0</v>
      </c>
      <c r="O420" s="46">
        <v>0</v>
      </c>
      <c r="P420" s="78">
        <f>I420-M420-J420-K420-N420-L420</f>
        <v>-254306</v>
      </c>
      <c r="Q420" s="155"/>
      <c r="R420" s="155"/>
      <c r="S420" s="45">
        <f>IF(-$P420&lt;VLOOKUP(A420,Eligibility!$A$3:$F$423,6,0),-P420,VLOOKUP(A420,Eligibility!$A$3:$F$423,6,0))</f>
        <v>254306</v>
      </c>
      <c r="T420" s="155"/>
      <c r="U420" s="155"/>
      <c r="V420" s="39"/>
      <c r="W420" s="155"/>
      <c r="X420" s="143"/>
      <c r="Y420" s="143"/>
      <c r="Z420" s="10"/>
      <c r="AA420" s="155"/>
      <c r="AB420" s="155"/>
      <c r="AC420" s="143"/>
      <c r="AD420" s="16"/>
      <c r="AE420" s="16"/>
      <c r="AF420" s="143"/>
      <c r="AG420" s="143"/>
      <c r="AH420" s="143"/>
      <c r="AI420" s="143"/>
      <c r="AJ420" s="143"/>
      <c r="AK420" s="16"/>
      <c r="AL420" s="16"/>
      <c r="AM420" s="143"/>
      <c r="AN420" s="177">
        <f>SUM(P420:AM420)-O420</f>
        <v>0</v>
      </c>
    </row>
    <row r="421" spans="1:40" ht="15" thickBot="1" x14ac:dyDescent="0.4">
      <c r="A421" s="40">
        <v>6720</v>
      </c>
      <c r="B421" s="79" t="s">
        <v>445</v>
      </c>
      <c r="C421" s="46">
        <v>1111427</v>
      </c>
      <c r="D421" s="97">
        <v>0</v>
      </c>
      <c r="E421" s="10">
        <f>C421+D421</f>
        <v>1111427</v>
      </c>
      <c r="F421" s="23">
        <v>584627</v>
      </c>
      <c r="G421" s="23">
        <v>0</v>
      </c>
      <c r="H421" s="16">
        <f>F421+G421</f>
        <v>584627</v>
      </c>
      <c r="I421" s="16">
        <f>E421-H421</f>
        <v>526800</v>
      </c>
      <c r="J421" s="23">
        <v>0</v>
      </c>
      <c r="K421" s="23">
        <v>0</v>
      </c>
      <c r="L421" s="46">
        <v>0</v>
      </c>
      <c r="M421" s="46">
        <v>0</v>
      </c>
      <c r="N421" s="46">
        <v>12270</v>
      </c>
      <c r="O421" s="46">
        <v>0</v>
      </c>
      <c r="P421" s="78">
        <f>I421-M421-J421-K421-N421-L421</f>
        <v>514530</v>
      </c>
      <c r="Q421" s="155"/>
      <c r="R421" s="155"/>
      <c r="S421" s="45">
        <f>IF(J421+K421+L421+M421+N421&lt;VLOOKUP(A421,Eligibility!$A$3:$F$423,6,0),J421+K421+L421+M421+N421,VLOOKUP(A421,Eligibility!$A$3:$F$423,6,0))</f>
        <v>12270</v>
      </c>
      <c r="T421" s="155"/>
      <c r="U421" s="155"/>
      <c r="V421" s="39"/>
      <c r="W421" s="155"/>
      <c r="X421" s="143"/>
      <c r="Y421" s="143"/>
      <c r="Z421" s="10"/>
      <c r="AA421" s="155"/>
      <c r="AB421" s="155"/>
      <c r="AC421" s="143"/>
      <c r="AD421" s="16"/>
      <c r="AE421" s="16"/>
      <c r="AF421" s="143"/>
      <c r="AG421" s="143"/>
      <c r="AH421" s="143"/>
      <c r="AI421" s="143"/>
      <c r="AJ421" s="143"/>
      <c r="AK421" s="16"/>
      <c r="AL421" s="16"/>
      <c r="AM421" s="143"/>
      <c r="AN421" s="177">
        <f>SUM(P421:AM421)-O421</f>
        <v>526800</v>
      </c>
    </row>
    <row r="422" spans="1:40" ht="15" thickBot="1" x14ac:dyDescent="0.4">
      <c r="A422" s="40">
        <v>6734</v>
      </c>
      <c r="B422" s="79" t="s">
        <v>446</v>
      </c>
      <c r="C422" s="46">
        <v>554910</v>
      </c>
      <c r="D422" s="97">
        <v>0</v>
      </c>
      <c r="E422" s="10">
        <f>C422+D422</f>
        <v>554910</v>
      </c>
      <c r="F422" s="23">
        <v>667912</v>
      </c>
      <c r="G422" s="23">
        <v>0</v>
      </c>
      <c r="H422" s="16">
        <f>F422+G422</f>
        <v>667912</v>
      </c>
      <c r="I422" s="16">
        <f>E422-H422</f>
        <v>-113002</v>
      </c>
      <c r="J422" s="23">
        <v>259884</v>
      </c>
      <c r="K422" s="23">
        <v>21277</v>
      </c>
      <c r="L422" s="46">
        <v>0</v>
      </c>
      <c r="M422" s="46">
        <v>7059.17</v>
      </c>
      <c r="N422" s="46">
        <v>0</v>
      </c>
      <c r="O422" s="46">
        <v>0</v>
      </c>
      <c r="P422" s="78">
        <f>I422-M422-J422-K422-N422-L422</f>
        <v>-401222.17</v>
      </c>
      <c r="Q422" s="155"/>
      <c r="R422" s="155"/>
      <c r="S422" s="45">
        <f>IF(-$P422&lt;VLOOKUP(A422,Eligibility!$A$3:$F$423,6,0),-P422,VLOOKUP(A422,Eligibility!$A$3:$F$423,6,0))</f>
        <v>401222.17</v>
      </c>
      <c r="T422" s="155"/>
      <c r="U422" s="155"/>
      <c r="V422" s="39"/>
      <c r="W422" s="155"/>
      <c r="X422" s="143"/>
      <c r="Y422" s="143"/>
      <c r="Z422" s="10"/>
      <c r="AA422" s="155"/>
      <c r="AB422" s="155"/>
      <c r="AC422" s="143"/>
      <c r="AD422" s="16"/>
      <c r="AE422" s="16"/>
      <c r="AF422" s="143"/>
      <c r="AG422" s="143"/>
      <c r="AH422" s="143"/>
      <c r="AI422" s="143"/>
      <c r="AJ422" s="143"/>
      <c r="AK422" s="16"/>
      <c r="AL422" s="16"/>
      <c r="AM422" s="143"/>
      <c r="AN422" s="111">
        <f>SUM(P422:AM422)-O422</f>
        <v>0</v>
      </c>
    </row>
    <row r="423" spans="1:40" ht="15" thickBot="1" x14ac:dyDescent="0.4">
      <c r="A423" s="41">
        <v>6748</v>
      </c>
      <c r="B423" s="80" t="s">
        <v>447</v>
      </c>
      <c r="C423" s="88">
        <v>1082891</v>
      </c>
      <c r="D423" s="178">
        <v>0</v>
      </c>
      <c r="E423" s="42">
        <f>C423+D423</f>
        <v>1082891</v>
      </c>
      <c r="F423" s="131">
        <v>288389</v>
      </c>
      <c r="G423" s="131">
        <v>0</v>
      </c>
      <c r="H423" s="43">
        <f>F423+G423</f>
        <v>288389</v>
      </c>
      <c r="I423" s="43">
        <f>E423-H423</f>
        <v>794502</v>
      </c>
      <c r="J423" s="131">
        <v>0</v>
      </c>
      <c r="K423" s="131">
        <v>0</v>
      </c>
      <c r="L423" s="88">
        <v>0</v>
      </c>
      <c r="M423" s="88">
        <v>0</v>
      </c>
      <c r="N423" s="88">
        <v>0</v>
      </c>
      <c r="O423" s="88">
        <v>0</v>
      </c>
      <c r="P423" s="154">
        <f>I423-M423-J423-K423-N423-L423</f>
        <v>794502</v>
      </c>
      <c r="Q423" s="159"/>
      <c r="R423" s="159"/>
      <c r="S423" s="161">
        <f>IF(J423+K423+L423+M423+N423&lt;VLOOKUP(A423,Eligibility!$A$3:$F$423,6,0),J423+K423+L423+M423+N423,VLOOKUP(A423,Eligibility!$A$3:$F$423,6,0))</f>
        <v>0</v>
      </c>
      <c r="T423" s="159"/>
      <c r="U423" s="159"/>
      <c r="V423" s="42"/>
      <c r="W423" s="159"/>
      <c r="X423" s="146"/>
      <c r="Y423" s="146"/>
      <c r="Z423" s="42"/>
      <c r="AA423" s="159"/>
      <c r="AB423" s="159"/>
      <c r="AC423" s="146"/>
      <c r="AD423" s="43"/>
      <c r="AE423" s="43"/>
      <c r="AF423" s="146"/>
      <c r="AG423" s="146"/>
      <c r="AH423" s="146"/>
      <c r="AI423" s="146"/>
      <c r="AJ423" s="146"/>
      <c r="AK423" s="43"/>
      <c r="AL423" s="43"/>
      <c r="AM423" s="146"/>
      <c r="AN423" s="129">
        <f>SUM(P423:AM423)-O423</f>
        <v>794502</v>
      </c>
    </row>
    <row r="424" spans="1:40" x14ac:dyDescent="0.35">
      <c r="A424" s="33"/>
      <c r="B424" s="34"/>
      <c r="C424" s="25"/>
      <c r="D424" s="25"/>
      <c r="E424" s="25"/>
      <c r="F424" s="25"/>
      <c r="G424" s="25"/>
      <c r="H424" s="35"/>
      <c r="I424" s="38"/>
      <c r="J424" s="25"/>
      <c r="K424" s="25"/>
      <c r="L424" s="25"/>
      <c r="M424" s="25"/>
      <c r="N424" s="25"/>
      <c r="O424" s="25"/>
      <c r="P424" s="35"/>
      <c r="Q424" s="81"/>
      <c r="R424" s="39"/>
      <c r="S424" s="39"/>
      <c r="T424" s="38"/>
      <c r="U424" s="38"/>
      <c r="V424" s="38"/>
      <c r="W424" s="26"/>
      <c r="X424" s="25"/>
      <c r="Y424" s="25"/>
      <c r="Z424" s="25"/>
      <c r="AA424" s="25"/>
      <c r="AB424" s="25"/>
      <c r="AC424" s="25"/>
      <c r="AD424" s="35"/>
      <c r="AE424" s="35"/>
      <c r="AF424" s="25"/>
      <c r="AG424" s="39"/>
      <c r="AH424" s="39"/>
      <c r="AI424" s="26"/>
      <c r="AJ424" s="26"/>
      <c r="AK424" s="35"/>
      <c r="AL424" s="35"/>
      <c r="AM424" s="26"/>
      <c r="AN424" s="225"/>
    </row>
    <row r="425" spans="1:40" s="27" customFormat="1" x14ac:dyDescent="0.35">
      <c r="C425" s="84">
        <f>SUM(C3:C423)</f>
        <v>555862597</v>
      </c>
      <c r="D425" s="84">
        <f>SUM(D2:D423)</f>
        <v>1927243</v>
      </c>
      <c r="E425" s="27">
        <f>SUM(E2:E423)</f>
        <v>557789840</v>
      </c>
      <c r="F425" s="84">
        <f>SUM(F3:F423)</f>
        <v>555862597</v>
      </c>
      <c r="G425" s="84">
        <f>SUM(G3:G423)</f>
        <v>1927243</v>
      </c>
      <c r="H425" s="27">
        <f>SUM(H2:H423)</f>
        <v>557789840</v>
      </c>
      <c r="I425" s="16">
        <f>E425-H425</f>
        <v>0</v>
      </c>
      <c r="J425" s="83">
        <f t="shared" ref="J425:O425" si="0">SUM(J3:J423)</f>
        <v>120396282.53</v>
      </c>
      <c r="K425" s="83">
        <f t="shared" si="0"/>
        <v>18324933.760000002</v>
      </c>
      <c r="L425" s="83">
        <f t="shared" si="0"/>
        <v>3443097</v>
      </c>
      <c r="M425" s="83">
        <f t="shared" si="0"/>
        <v>1291828.1100000001</v>
      </c>
      <c r="N425" s="83">
        <f t="shared" si="0"/>
        <v>1457582</v>
      </c>
      <c r="O425" s="83">
        <f t="shared" si="0"/>
        <v>0</v>
      </c>
      <c r="P425" s="38">
        <f>I425-M425-J425-K425-N425-L425</f>
        <v>-144913723.40000001</v>
      </c>
      <c r="Q425" s="85">
        <f>SUM(Q3:Q423)</f>
        <v>1582244.68</v>
      </c>
      <c r="R425" s="85">
        <f>SUM(R2:R423)</f>
        <v>3817826</v>
      </c>
      <c r="S425" s="85">
        <f>SUM(S3:S423)</f>
        <v>356886831.38</v>
      </c>
      <c r="T425" s="85">
        <f>SUM(T2:T423)</f>
        <v>162361.5</v>
      </c>
      <c r="U425" s="85">
        <f>SUM(U3:U423)</f>
        <v>122427</v>
      </c>
      <c r="V425" s="85">
        <f t="shared" ref="V425:AC425" si="1">SUM(V2:V423)</f>
        <v>269741</v>
      </c>
      <c r="W425" s="85">
        <f t="shared" si="1"/>
        <v>399485</v>
      </c>
      <c r="X425" s="86">
        <f t="shared" si="1"/>
        <v>439205.63</v>
      </c>
      <c r="Y425" s="86">
        <f t="shared" si="1"/>
        <v>543955.32999999996</v>
      </c>
      <c r="Z425" s="85">
        <f t="shared" si="1"/>
        <v>724828.61</v>
      </c>
      <c r="AA425" s="85">
        <f t="shared" si="1"/>
        <v>2868822.06</v>
      </c>
      <c r="AB425" s="85">
        <f t="shared" si="1"/>
        <v>1611</v>
      </c>
      <c r="AC425" s="85">
        <f t="shared" si="1"/>
        <v>36097.72</v>
      </c>
      <c r="AD425" s="85">
        <f t="shared" ref="AD425:AM425" si="2">SUM(AD2:AD423)</f>
        <v>38218.17</v>
      </c>
      <c r="AE425" s="85">
        <f t="shared" si="2"/>
        <v>64821.17</v>
      </c>
      <c r="AF425" s="85">
        <f t="shared" si="2"/>
        <v>80581</v>
      </c>
      <c r="AG425" s="85">
        <f t="shared" si="2"/>
        <v>53558</v>
      </c>
      <c r="AH425" s="85">
        <f t="shared" si="2"/>
        <v>1974</v>
      </c>
      <c r="AI425" s="85">
        <f t="shared" si="2"/>
        <v>11464.04</v>
      </c>
      <c r="AJ425" s="85">
        <f t="shared" si="2"/>
        <v>2146.61</v>
      </c>
      <c r="AK425" s="85">
        <f t="shared" si="2"/>
        <v>16955.5</v>
      </c>
      <c r="AL425" s="85">
        <f t="shared" si="2"/>
        <v>0</v>
      </c>
      <c r="AM425" s="85">
        <f t="shared" si="2"/>
        <v>0</v>
      </c>
      <c r="AN425" s="179">
        <f>SUM(P425:AM425)</f>
        <v>223211432</v>
      </c>
    </row>
  </sheetData>
  <sortState xmlns:xlrd2="http://schemas.microsoft.com/office/spreadsheetml/2017/richdata2" ref="A3:AN423">
    <sortCondition ref="B3:B423"/>
  </sortState>
  <conditionalFormatting sqref="V2">
    <cfRule type="cellIs" dxfId="2" priority="157" stopIfTrue="1" operator="lessThan">
      <formula>0</formula>
    </cfRule>
  </conditionalFormatting>
  <conditionalFormatting sqref="S2 S424 S426:S65521">
    <cfRule type="expression" dxfId="1" priority="156" stopIfTrue="1">
      <formula>"($J$229+$K$229+$L$229+$M$229)&gt;$Q$229"</formula>
    </cfRule>
  </conditionalFormatting>
  <pageMargins left="0.7" right="0.7" top="0.75" bottom="0.75" header="0.3" footer="0.3"/>
  <pageSetup scale="10" orientation="landscape" r:id="rId1"/>
  <headerFooter>
    <oddFooter>Page &amp;P of &amp;N</oddFooter>
  </headerFooter>
  <colBreaks count="3" manualBreakCount="3">
    <brk id="12" max="429" man="1"/>
    <brk id="16" max="429" man="1"/>
    <brk id="3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31"/>
  <sheetViews>
    <sheetView zoomScale="90" zoomScaleNormal="90" workbookViewId="0">
      <pane xSplit="2" ySplit="2" topLeftCell="Q3" activePane="bottomRight" state="frozen"/>
      <selection pane="topRight" activeCell="C1" sqref="C1"/>
      <selection pane="bottomLeft" activeCell="A3" sqref="A3"/>
      <selection pane="bottomRight"/>
    </sheetView>
  </sheetViews>
  <sheetFormatPr defaultColWidth="9.1796875" defaultRowHeight="14.5" x14ac:dyDescent="0.35"/>
  <cols>
    <col min="1" max="1" width="8.7265625" style="12" customWidth="1"/>
    <col min="2" max="2" width="32.54296875" style="8" customWidth="1"/>
    <col min="3" max="6" width="17.7265625" style="15" bestFit="1" customWidth="1"/>
    <col min="7" max="7" width="17.7265625" style="15" customWidth="1"/>
    <col min="8" max="8" width="13.81640625" style="15" bestFit="1" customWidth="1"/>
    <col min="9" max="9" width="14.54296875" style="15" bestFit="1" customWidth="1"/>
    <col min="10" max="10" width="17.7265625" style="15" customWidth="1"/>
    <col min="11" max="11" width="22" style="9" customWidth="1"/>
    <col min="12" max="14" width="15" style="15" bestFit="1" customWidth="1"/>
    <col min="15" max="16" width="18.54296875" style="15" customWidth="1"/>
    <col min="17" max="17" width="15" style="15" bestFit="1" customWidth="1"/>
    <col min="18" max="19" width="17.7265625" style="15" customWidth="1"/>
    <col min="20" max="20" width="15" style="15" bestFit="1" customWidth="1"/>
    <col min="21" max="24" width="15" style="9" bestFit="1" customWidth="1"/>
    <col min="25" max="25" width="15" style="15" bestFit="1" customWidth="1"/>
    <col min="26" max="26" width="22.1796875" style="15" customWidth="1"/>
    <col min="27" max="27" width="25.1796875" style="9" customWidth="1"/>
    <col min="28" max="28" width="11.1796875" style="8" bestFit="1" customWidth="1"/>
    <col min="29" max="16384" width="9.1796875" style="8"/>
  </cols>
  <sheetData>
    <row r="1" spans="1:27" s="6" customFormat="1" ht="29" x14ac:dyDescent="0.35">
      <c r="A1" s="6">
        <f>Withholding!A1</f>
        <v>1</v>
      </c>
      <c r="B1" s="170" t="s">
        <v>513</v>
      </c>
      <c r="C1" s="148" t="s">
        <v>497</v>
      </c>
      <c r="D1" s="152" t="s">
        <v>498</v>
      </c>
      <c r="E1" s="152" t="s">
        <v>499</v>
      </c>
      <c r="F1" s="107" t="s">
        <v>500</v>
      </c>
      <c r="G1" s="107" t="s">
        <v>496</v>
      </c>
      <c r="H1" s="152" t="s">
        <v>16</v>
      </c>
      <c r="I1" s="152" t="s">
        <v>22</v>
      </c>
      <c r="J1" s="31" t="s">
        <v>25</v>
      </c>
      <c r="K1" s="152" t="s">
        <v>52</v>
      </c>
      <c r="L1" s="152" t="s">
        <v>453</v>
      </c>
      <c r="M1" s="152" t="s">
        <v>454</v>
      </c>
      <c r="N1" s="121" t="s">
        <v>455</v>
      </c>
      <c r="O1" s="152" t="s">
        <v>456</v>
      </c>
      <c r="P1" s="152" t="s">
        <v>501</v>
      </c>
      <c r="Q1" s="152" t="s">
        <v>18</v>
      </c>
      <c r="R1" s="121" t="s">
        <v>449</v>
      </c>
      <c r="S1" s="121" t="s">
        <v>451</v>
      </c>
      <c r="T1" s="153" t="s">
        <v>14</v>
      </c>
      <c r="U1" s="152" t="s">
        <v>15</v>
      </c>
      <c r="V1" s="152" t="s">
        <v>17</v>
      </c>
      <c r="W1" s="152" t="s">
        <v>19</v>
      </c>
      <c r="X1" s="152" t="s">
        <v>20</v>
      </c>
      <c r="Y1" s="121" t="s">
        <v>23</v>
      </c>
      <c r="Z1" s="121" t="s">
        <v>450</v>
      </c>
      <c r="AA1" s="152" t="s">
        <v>473</v>
      </c>
    </row>
    <row r="2" spans="1:27" x14ac:dyDescent="0.35">
      <c r="A2" s="7" t="s">
        <v>29</v>
      </c>
      <c r="B2" s="13" t="s">
        <v>30</v>
      </c>
      <c r="C2" s="149">
        <v>0</v>
      </c>
      <c r="D2" s="149">
        <v>0</v>
      </c>
      <c r="E2" s="149">
        <v>0</v>
      </c>
      <c r="F2" s="25">
        <v>0</v>
      </c>
      <c r="G2" s="25">
        <v>0</v>
      </c>
      <c r="H2" s="149">
        <v>0</v>
      </c>
      <c r="I2" s="149">
        <v>0</v>
      </c>
      <c r="J2" s="17">
        <v>0</v>
      </c>
      <c r="K2" s="149">
        <v>0</v>
      </c>
      <c r="L2" s="149">
        <v>0</v>
      </c>
      <c r="M2" s="149">
        <v>0</v>
      </c>
      <c r="N2" s="25">
        <v>0</v>
      </c>
      <c r="O2" s="149">
        <v>0</v>
      </c>
      <c r="P2" s="149"/>
      <c r="Q2" s="149">
        <v>0</v>
      </c>
      <c r="R2" s="25">
        <v>0</v>
      </c>
      <c r="S2" s="25">
        <v>0</v>
      </c>
      <c r="T2" s="149">
        <v>0</v>
      </c>
      <c r="U2" s="149">
        <v>0</v>
      </c>
      <c r="V2" s="149">
        <v>0</v>
      </c>
      <c r="W2" s="149">
        <v>0</v>
      </c>
      <c r="X2" s="149">
        <v>0</v>
      </c>
      <c r="Y2" s="25">
        <v>0</v>
      </c>
      <c r="Z2" s="25">
        <v>0</v>
      </c>
      <c r="AA2" s="149">
        <v>0</v>
      </c>
    </row>
    <row r="3" spans="1:27" x14ac:dyDescent="0.35">
      <c r="A3" s="19">
        <v>7</v>
      </c>
      <c r="B3" s="20" t="s">
        <v>55</v>
      </c>
      <c r="C3" s="150">
        <v>931913</v>
      </c>
      <c r="D3" s="150">
        <v>1651477</v>
      </c>
      <c r="E3" s="150">
        <v>1614619</v>
      </c>
      <c r="F3" s="10">
        <v>2260465</v>
      </c>
      <c r="G3" s="10">
        <v>103686</v>
      </c>
      <c r="H3" s="156">
        <v>0</v>
      </c>
      <c r="I3" s="150">
        <v>0</v>
      </c>
      <c r="J3" s="16">
        <v>0</v>
      </c>
      <c r="K3" s="150">
        <v>50712</v>
      </c>
      <c r="L3" s="150">
        <v>141610</v>
      </c>
      <c r="M3" s="150">
        <v>137970</v>
      </c>
      <c r="N3" s="10">
        <v>139788.89000000001</v>
      </c>
      <c r="O3" s="150">
        <v>561694</v>
      </c>
      <c r="P3" s="150">
        <v>2300</v>
      </c>
      <c r="Q3" s="150">
        <v>10565</v>
      </c>
      <c r="R3" s="16">
        <v>927</v>
      </c>
      <c r="S3" s="16">
        <v>0</v>
      </c>
      <c r="T3" s="150">
        <v>1294</v>
      </c>
      <c r="U3" s="150">
        <v>1294</v>
      </c>
      <c r="V3" s="150">
        <v>1290</v>
      </c>
      <c r="W3" s="150">
        <v>1293</v>
      </c>
      <c r="X3" s="150">
        <v>1293</v>
      </c>
      <c r="Y3" s="10">
        <v>2155</v>
      </c>
      <c r="Z3" s="16">
        <v>0</v>
      </c>
      <c r="AA3" s="150">
        <v>33115</v>
      </c>
    </row>
    <row r="4" spans="1:27" x14ac:dyDescent="0.35">
      <c r="A4" s="19">
        <v>14</v>
      </c>
      <c r="B4" s="20" t="s">
        <v>56</v>
      </c>
      <c r="C4" s="150">
        <v>835351</v>
      </c>
      <c r="D4" s="150">
        <v>1129755</v>
      </c>
      <c r="E4" s="150">
        <v>1228191</v>
      </c>
      <c r="F4" s="10">
        <v>1719468</v>
      </c>
      <c r="G4" s="10">
        <v>78871</v>
      </c>
      <c r="H4" s="156">
        <v>0</v>
      </c>
      <c r="I4" s="150">
        <v>0</v>
      </c>
      <c r="J4" s="16">
        <v>0</v>
      </c>
      <c r="K4" s="150">
        <v>106185</v>
      </c>
      <c r="L4" s="150">
        <v>138955</v>
      </c>
      <c r="M4" s="150">
        <v>240225</v>
      </c>
      <c r="N4" s="10">
        <v>189589.05</v>
      </c>
      <c r="O4" s="150">
        <v>1109290</v>
      </c>
      <c r="P4" s="150">
        <v>4543</v>
      </c>
      <c r="Q4" s="150">
        <v>129160</v>
      </c>
      <c r="R4" s="16">
        <v>11331</v>
      </c>
      <c r="S4" s="16">
        <v>0</v>
      </c>
      <c r="T4" s="150">
        <v>137195</v>
      </c>
      <c r="U4" s="150">
        <v>137196</v>
      </c>
      <c r="V4" s="150">
        <v>136758</v>
      </c>
      <c r="W4" s="150">
        <v>137049</v>
      </c>
      <c r="X4" s="150">
        <v>137050</v>
      </c>
      <c r="Y4" s="10">
        <v>228452</v>
      </c>
      <c r="Z4" s="16">
        <v>0</v>
      </c>
      <c r="AA4" s="150">
        <v>57951</v>
      </c>
    </row>
    <row r="5" spans="1:27" ht="18" customHeight="1" x14ac:dyDescent="0.35">
      <c r="A5" s="19">
        <v>63</v>
      </c>
      <c r="B5" s="20" t="s">
        <v>57</v>
      </c>
      <c r="C5" s="150">
        <v>400097</v>
      </c>
      <c r="D5" s="150">
        <v>721044</v>
      </c>
      <c r="E5" s="150">
        <v>700713</v>
      </c>
      <c r="F5" s="10">
        <v>980999</v>
      </c>
      <c r="G5" s="10">
        <v>44997</v>
      </c>
      <c r="H5" s="156">
        <v>0</v>
      </c>
      <c r="I5" s="150">
        <v>0</v>
      </c>
      <c r="J5" s="16">
        <v>0</v>
      </c>
      <c r="K5" s="150">
        <v>0</v>
      </c>
      <c r="L5" s="150">
        <v>0</v>
      </c>
      <c r="M5" s="150">
        <v>0</v>
      </c>
      <c r="N5" s="10">
        <v>0</v>
      </c>
      <c r="O5" s="150">
        <v>322028</v>
      </c>
      <c r="P5" s="150">
        <v>1319</v>
      </c>
      <c r="Q5" s="150">
        <v>7125</v>
      </c>
      <c r="R5" s="16">
        <v>625</v>
      </c>
      <c r="S5" s="16">
        <v>0</v>
      </c>
      <c r="T5" s="150">
        <v>26167</v>
      </c>
      <c r="U5" s="150">
        <v>26167</v>
      </c>
      <c r="V5" s="150">
        <v>26083</v>
      </c>
      <c r="W5" s="150">
        <v>26140</v>
      </c>
      <c r="X5" s="150">
        <v>26139</v>
      </c>
      <c r="Y5" s="10">
        <v>43574</v>
      </c>
      <c r="Z5" s="16">
        <v>0</v>
      </c>
      <c r="AA5" s="150">
        <v>17726</v>
      </c>
    </row>
    <row r="6" spans="1:27" x14ac:dyDescent="0.35">
      <c r="A6" s="19">
        <v>70</v>
      </c>
      <c r="B6" s="20" t="s">
        <v>58</v>
      </c>
      <c r="C6" s="150">
        <v>678079</v>
      </c>
      <c r="D6" s="150">
        <v>1137113</v>
      </c>
      <c r="E6" s="150">
        <v>1134495</v>
      </c>
      <c r="F6" s="10">
        <v>1588293</v>
      </c>
      <c r="G6" s="10">
        <v>72854</v>
      </c>
      <c r="H6" s="156">
        <v>0</v>
      </c>
      <c r="I6" s="150">
        <v>0</v>
      </c>
      <c r="J6" s="16">
        <v>0</v>
      </c>
      <c r="K6" s="150">
        <v>0</v>
      </c>
      <c r="L6" s="150">
        <v>83196</v>
      </c>
      <c r="M6" s="150">
        <v>81056</v>
      </c>
      <c r="N6" s="10">
        <v>82127.22</v>
      </c>
      <c r="O6" s="150">
        <v>520884</v>
      </c>
      <c r="P6" s="150">
        <v>2133</v>
      </c>
      <c r="Q6" s="150">
        <v>10130</v>
      </c>
      <c r="R6" s="16">
        <v>889</v>
      </c>
      <c r="S6" s="16">
        <v>0</v>
      </c>
      <c r="T6" s="150">
        <v>47070</v>
      </c>
      <c r="U6" s="150">
        <v>47070</v>
      </c>
      <c r="V6" s="150">
        <v>46921</v>
      </c>
      <c r="W6" s="150">
        <v>47020</v>
      </c>
      <c r="X6" s="150">
        <v>47020</v>
      </c>
      <c r="Y6" s="10">
        <v>78379</v>
      </c>
      <c r="Z6" s="16">
        <v>0</v>
      </c>
      <c r="AA6" s="150">
        <v>32013</v>
      </c>
    </row>
    <row r="7" spans="1:27" x14ac:dyDescent="0.35">
      <c r="A7" s="19">
        <v>84</v>
      </c>
      <c r="B7" s="20" t="s">
        <v>59</v>
      </c>
      <c r="C7" s="150">
        <v>109034</v>
      </c>
      <c r="D7" s="150">
        <v>283141</v>
      </c>
      <c r="E7" s="150">
        <v>245109</v>
      </c>
      <c r="F7" s="10">
        <v>343153</v>
      </c>
      <c r="G7" s="10">
        <v>15740</v>
      </c>
      <c r="H7" s="156">
        <v>0</v>
      </c>
      <c r="I7" s="150">
        <v>0</v>
      </c>
      <c r="J7" s="16">
        <v>0</v>
      </c>
      <c r="K7" s="150">
        <v>0</v>
      </c>
      <c r="L7" s="150">
        <v>22127</v>
      </c>
      <c r="M7" s="150">
        <v>21557</v>
      </c>
      <c r="N7" s="10">
        <v>21842.39</v>
      </c>
      <c r="O7" s="150">
        <v>163240</v>
      </c>
      <c r="P7" s="150">
        <v>669</v>
      </c>
      <c r="Q7" s="150">
        <v>24590</v>
      </c>
      <c r="R7" s="16">
        <v>2157</v>
      </c>
      <c r="S7" s="16">
        <v>188135</v>
      </c>
      <c r="T7" s="150">
        <v>11529</v>
      </c>
      <c r="U7" s="150">
        <v>11530</v>
      </c>
      <c r="V7" s="150">
        <v>11492</v>
      </c>
      <c r="W7" s="150">
        <v>11518</v>
      </c>
      <c r="X7" s="150">
        <v>11517</v>
      </c>
      <c r="Y7" s="10">
        <v>19199</v>
      </c>
      <c r="Z7" s="16">
        <v>0</v>
      </c>
      <c r="AA7" s="150">
        <v>8746</v>
      </c>
    </row>
    <row r="8" spans="1:27" x14ac:dyDescent="0.35">
      <c r="A8" s="19">
        <v>91</v>
      </c>
      <c r="B8" s="20" t="s">
        <v>60</v>
      </c>
      <c r="C8" s="150">
        <v>620606</v>
      </c>
      <c r="D8" s="150">
        <v>824861</v>
      </c>
      <c r="E8" s="150">
        <v>903417</v>
      </c>
      <c r="F8" s="10">
        <v>1264783</v>
      </c>
      <c r="G8" s="10">
        <v>58014</v>
      </c>
      <c r="H8" s="156">
        <v>0</v>
      </c>
      <c r="I8" s="150">
        <v>0</v>
      </c>
      <c r="J8" s="16">
        <v>0</v>
      </c>
      <c r="K8" s="150">
        <v>37621</v>
      </c>
      <c r="L8" s="150">
        <v>86736</v>
      </c>
      <c r="M8" s="150">
        <v>84506</v>
      </c>
      <c r="N8" s="10">
        <v>85621.440000000002</v>
      </c>
      <c r="O8" s="150">
        <v>407358</v>
      </c>
      <c r="P8" s="150">
        <v>1668</v>
      </c>
      <c r="Q8" s="150">
        <v>29185</v>
      </c>
      <c r="R8" s="16">
        <v>2560</v>
      </c>
      <c r="S8" s="16">
        <v>48787</v>
      </c>
      <c r="T8" s="150">
        <v>40807</v>
      </c>
      <c r="U8" s="150">
        <v>40806</v>
      </c>
      <c r="V8" s="150">
        <v>40677</v>
      </c>
      <c r="W8" s="150">
        <v>40764</v>
      </c>
      <c r="X8" s="150">
        <v>40763</v>
      </c>
      <c r="Y8" s="10">
        <v>67950</v>
      </c>
      <c r="Z8" s="16">
        <v>0</v>
      </c>
      <c r="AA8" s="150">
        <v>23234</v>
      </c>
    </row>
    <row r="9" spans="1:27" x14ac:dyDescent="0.35">
      <c r="A9" s="19">
        <v>105</v>
      </c>
      <c r="B9" s="20" t="s">
        <v>61</v>
      </c>
      <c r="C9" s="150">
        <v>455761</v>
      </c>
      <c r="D9" s="150">
        <v>731998</v>
      </c>
      <c r="E9" s="150">
        <v>742349</v>
      </c>
      <c r="F9" s="10">
        <v>1039289</v>
      </c>
      <c r="G9" s="10">
        <v>47671</v>
      </c>
      <c r="H9" s="156">
        <v>0</v>
      </c>
      <c r="I9" s="150">
        <v>0</v>
      </c>
      <c r="J9" s="16">
        <v>0</v>
      </c>
      <c r="K9" s="150">
        <v>29885</v>
      </c>
      <c r="L9" s="150">
        <v>47794</v>
      </c>
      <c r="M9" s="150">
        <v>46564</v>
      </c>
      <c r="N9" s="10">
        <v>47179</v>
      </c>
      <c r="O9" s="150">
        <v>324996</v>
      </c>
      <c r="P9" s="150">
        <v>1331</v>
      </c>
      <c r="Q9" s="150">
        <v>20635</v>
      </c>
      <c r="R9" s="16">
        <v>1810</v>
      </c>
      <c r="S9" s="16">
        <v>46230</v>
      </c>
      <c r="T9" s="150">
        <v>21893</v>
      </c>
      <c r="U9" s="150">
        <v>21892</v>
      </c>
      <c r="V9" s="150">
        <v>21822</v>
      </c>
      <c r="W9" s="150">
        <v>21869</v>
      </c>
      <c r="X9" s="150">
        <v>21870</v>
      </c>
      <c r="Y9" s="10">
        <v>36455</v>
      </c>
      <c r="Z9" s="16">
        <v>0</v>
      </c>
      <c r="AA9" s="150">
        <v>21498</v>
      </c>
    </row>
    <row r="10" spans="1:27" x14ac:dyDescent="0.35">
      <c r="A10" s="19">
        <v>112</v>
      </c>
      <c r="B10" s="20" t="s">
        <v>62</v>
      </c>
      <c r="C10" s="150">
        <v>1537625</v>
      </c>
      <c r="D10" s="150">
        <v>2930120</v>
      </c>
      <c r="E10" s="150">
        <v>2792340</v>
      </c>
      <c r="F10" s="10">
        <v>3909277</v>
      </c>
      <c r="G10" s="10">
        <v>179315</v>
      </c>
      <c r="H10" s="156">
        <v>0</v>
      </c>
      <c r="I10" s="150">
        <v>0</v>
      </c>
      <c r="J10" s="16">
        <v>0</v>
      </c>
      <c r="K10" s="150">
        <v>0</v>
      </c>
      <c r="L10" s="150">
        <v>167277</v>
      </c>
      <c r="M10" s="150">
        <v>185691</v>
      </c>
      <c r="N10" s="10">
        <v>176485.22</v>
      </c>
      <c r="O10" s="150">
        <v>1126356</v>
      </c>
      <c r="P10" s="150">
        <v>4613</v>
      </c>
      <c r="Q10" s="150">
        <v>27630</v>
      </c>
      <c r="R10" s="16">
        <v>2424</v>
      </c>
      <c r="S10" s="16">
        <v>0</v>
      </c>
      <c r="T10" s="150">
        <v>126462</v>
      </c>
      <c r="U10" s="150">
        <v>126461</v>
      </c>
      <c r="V10" s="150">
        <v>124424</v>
      </c>
      <c r="W10" s="150">
        <v>125782</v>
      </c>
      <c r="X10" s="150">
        <v>125782</v>
      </c>
      <c r="Y10" s="10">
        <v>209672</v>
      </c>
      <c r="Z10" s="16">
        <v>0</v>
      </c>
      <c r="AA10" s="150">
        <v>71805</v>
      </c>
    </row>
    <row r="11" spans="1:27" x14ac:dyDescent="0.35">
      <c r="A11" s="19">
        <v>119</v>
      </c>
      <c r="B11" s="20" t="s">
        <v>63</v>
      </c>
      <c r="C11" s="150">
        <v>1430314</v>
      </c>
      <c r="D11" s="150">
        <v>2306636</v>
      </c>
      <c r="E11" s="150">
        <v>2335594</v>
      </c>
      <c r="F11" s="10">
        <v>3269831</v>
      </c>
      <c r="G11" s="10">
        <v>149985</v>
      </c>
      <c r="H11" s="156">
        <v>0</v>
      </c>
      <c r="I11" s="150">
        <v>0</v>
      </c>
      <c r="J11" s="16">
        <v>0</v>
      </c>
      <c r="K11" s="150">
        <v>0</v>
      </c>
      <c r="L11" s="150">
        <v>141610</v>
      </c>
      <c r="M11" s="150">
        <v>172916</v>
      </c>
      <c r="N11" s="10">
        <v>157264</v>
      </c>
      <c r="O11" s="150">
        <v>1138228</v>
      </c>
      <c r="P11" s="150">
        <v>4662</v>
      </c>
      <c r="Q11" s="150">
        <v>72570</v>
      </c>
      <c r="R11" s="16">
        <v>6366</v>
      </c>
      <c r="S11" s="16">
        <v>0</v>
      </c>
      <c r="T11" s="150">
        <v>82283</v>
      </c>
      <c r="U11" s="150">
        <v>82278</v>
      </c>
      <c r="V11" s="150">
        <v>82064</v>
      </c>
      <c r="W11" s="150">
        <v>82208</v>
      </c>
      <c r="X11" s="150">
        <v>82208</v>
      </c>
      <c r="Y11" s="10">
        <v>137039</v>
      </c>
      <c r="Z11" s="16">
        <v>0</v>
      </c>
      <c r="AA11" s="150">
        <v>71738</v>
      </c>
    </row>
    <row r="12" spans="1:27" x14ac:dyDescent="0.35">
      <c r="A12" s="19">
        <v>140</v>
      </c>
      <c r="B12" s="20" t="s">
        <v>64</v>
      </c>
      <c r="C12" s="150">
        <v>2243452</v>
      </c>
      <c r="D12" s="150">
        <v>3454858</v>
      </c>
      <c r="E12" s="150">
        <v>3561444</v>
      </c>
      <c r="F12" s="10">
        <v>4986020</v>
      </c>
      <c r="G12" s="10">
        <v>228705</v>
      </c>
      <c r="H12" s="156">
        <v>0</v>
      </c>
      <c r="I12" s="150">
        <v>0</v>
      </c>
      <c r="J12" s="16">
        <v>0</v>
      </c>
      <c r="K12" s="150">
        <v>157559</v>
      </c>
      <c r="L12" s="150">
        <v>245163</v>
      </c>
      <c r="M12" s="150">
        <v>289533</v>
      </c>
      <c r="N12" s="10">
        <v>267347</v>
      </c>
      <c r="O12" s="150">
        <v>1627948</v>
      </c>
      <c r="P12" s="150">
        <v>6667</v>
      </c>
      <c r="Q12" s="150">
        <v>131370</v>
      </c>
      <c r="R12" s="16">
        <v>11525</v>
      </c>
      <c r="S12" s="16">
        <v>0</v>
      </c>
      <c r="T12" s="150">
        <v>163601</v>
      </c>
      <c r="U12" s="150">
        <v>163600</v>
      </c>
      <c r="V12" s="150">
        <v>163079</v>
      </c>
      <c r="W12" s="150">
        <v>163427</v>
      </c>
      <c r="X12" s="150">
        <v>163426</v>
      </c>
      <c r="Y12" s="10">
        <v>272424</v>
      </c>
      <c r="Z12" s="16">
        <v>0</v>
      </c>
      <c r="AA12" s="150">
        <v>102416</v>
      </c>
    </row>
    <row r="13" spans="1:27" x14ac:dyDescent="0.35">
      <c r="A13" s="19">
        <v>147</v>
      </c>
      <c r="B13" s="20" t="s">
        <v>65</v>
      </c>
      <c r="C13" s="150">
        <v>13849214</v>
      </c>
      <c r="D13" s="150">
        <v>23358939</v>
      </c>
      <c r="E13" s="150">
        <v>23255096</v>
      </c>
      <c r="F13" s="10">
        <v>32557133</v>
      </c>
      <c r="G13" s="10">
        <v>1493368</v>
      </c>
      <c r="H13" s="156">
        <v>0</v>
      </c>
      <c r="I13" s="150">
        <v>0</v>
      </c>
      <c r="J13" s="16">
        <v>0</v>
      </c>
      <c r="K13" s="150">
        <v>0</v>
      </c>
      <c r="L13" s="150">
        <v>441648</v>
      </c>
      <c r="M13" s="150">
        <v>440774</v>
      </c>
      <c r="N13" s="10">
        <v>441211.05</v>
      </c>
      <c r="O13" s="150">
        <v>10904432</v>
      </c>
      <c r="P13" s="150">
        <v>44659</v>
      </c>
      <c r="Q13" s="150">
        <v>74695</v>
      </c>
      <c r="R13" s="16">
        <v>6553</v>
      </c>
      <c r="S13" s="16">
        <v>0</v>
      </c>
      <c r="T13" s="150">
        <v>1264013</v>
      </c>
      <c r="U13" s="150">
        <v>1264014</v>
      </c>
      <c r="V13" s="150">
        <v>1250656</v>
      </c>
      <c r="W13" s="150">
        <v>1259561</v>
      </c>
      <c r="X13" s="150">
        <v>1259562</v>
      </c>
      <c r="Y13" s="10">
        <v>2099617</v>
      </c>
      <c r="Z13" s="16">
        <v>107713</v>
      </c>
      <c r="AA13" s="150">
        <v>666308</v>
      </c>
    </row>
    <row r="14" spans="1:27" x14ac:dyDescent="0.35">
      <c r="A14" s="19">
        <v>154</v>
      </c>
      <c r="B14" s="20" t="s">
        <v>66</v>
      </c>
      <c r="C14" s="150">
        <v>1581627</v>
      </c>
      <c r="D14" s="150">
        <v>2835869</v>
      </c>
      <c r="E14" s="150">
        <v>2760935</v>
      </c>
      <c r="F14" s="10">
        <v>3865310</v>
      </c>
      <c r="G14" s="10">
        <v>177298</v>
      </c>
      <c r="H14" s="156">
        <v>0</v>
      </c>
      <c r="I14" s="150">
        <v>0</v>
      </c>
      <c r="J14" s="16">
        <v>0</v>
      </c>
      <c r="K14" s="150">
        <v>87540</v>
      </c>
      <c r="L14" s="150">
        <v>247818</v>
      </c>
      <c r="M14" s="150">
        <v>241446</v>
      </c>
      <c r="N14" s="10">
        <v>244631.55</v>
      </c>
      <c r="O14" s="150">
        <v>939372</v>
      </c>
      <c r="P14" s="150">
        <v>3847</v>
      </c>
      <c r="Q14" s="150">
        <v>41250</v>
      </c>
      <c r="R14" s="16">
        <v>3619</v>
      </c>
      <c r="S14" s="16">
        <v>0</v>
      </c>
      <c r="T14" s="150">
        <v>78063</v>
      </c>
      <c r="U14" s="150">
        <v>78063</v>
      </c>
      <c r="V14" s="150">
        <v>77813</v>
      </c>
      <c r="W14" s="150">
        <v>77980</v>
      </c>
      <c r="X14" s="150">
        <v>77980</v>
      </c>
      <c r="Y14" s="10">
        <v>129987</v>
      </c>
      <c r="Z14" s="16">
        <v>0</v>
      </c>
      <c r="AA14" s="150">
        <v>54446</v>
      </c>
    </row>
    <row r="15" spans="1:27" x14ac:dyDescent="0.35">
      <c r="A15" s="19">
        <v>161</v>
      </c>
      <c r="B15" s="20" t="s">
        <v>67</v>
      </c>
      <c r="C15" s="150">
        <v>295458</v>
      </c>
      <c r="D15" s="150">
        <v>501068</v>
      </c>
      <c r="E15" s="150">
        <v>497829</v>
      </c>
      <c r="F15" s="10">
        <v>696959</v>
      </c>
      <c r="G15" s="10">
        <v>31969</v>
      </c>
      <c r="H15" s="156">
        <v>0</v>
      </c>
      <c r="I15" s="150">
        <v>0</v>
      </c>
      <c r="J15" s="16">
        <v>0</v>
      </c>
      <c r="K15" s="150">
        <v>0</v>
      </c>
      <c r="L15" s="150">
        <v>27437</v>
      </c>
      <c r="M15" s="150">
        <v>26731</v>
      </c>
      <c r="N15" s="10">
        <v>27084.720000000001</v>
      </c>
      <c r="O15" s="150">
        <v>212212</v>
      </c>
      <c r="P15" s="150">
        <v>869</v>
      </c>
      <c r="Q15" s="150">
        <v>7165</v>
      </c>
      <c r="R15" s="16">
        <v>629</v>
      </c>
      <c r="S15" s="16">
        <v>50753</v>
      </c>
      <c r="T15" s="150">
        <v>14300</v>
      </c>
      <c r="U15" s="150">
        <v>14646</v>
      </c>
      <c r="V15" s="150">
        <v>14429</v>
      </c>
      <c r="W15" s="150">
        <v>14458</v>
      </c>
      <c r="X15" s="150">
        <v>14458</v>
      </c>
      <c r="Y15" s="10">
        <v>24100</v>
      </c>
      <c r="Z15" s="16">
        <v>0</v>
      </c>
      <c r="AA15" s="150">
        <v>12285</v>
      </c>
    </row>
    <row r="16" spans="1:27" x14ac:dyDescent="0.35">
      <c r="A16" s="19">
        <v>2450</v>
      </c>
      <c r="B16" s="20" t="s">
        <v>68</v>
      </c>
      <c r="C16" s="150">
        <v>710852</v>
      </c>
      <c r="D16" s="150">
        <v>1191896</v>
      </c>
      <c r="E16" s="150">
        <v>1189218</v>
      </c>
      <c r="F16" s="10">
        <v>1664904</v>
      </c>
      <c r="G16" s="10">
        <v>76368</v>
      </c>
      <c r="H16" s="156">
        <v>0</v>
      </c>
      <c r="I16" s="150">
        <v>0</v>
      </c>
      <c r="J16" s="16">
        <v>0</v>
      </c>
      <c r="K16" s="150">
        <v>0</v>
      </c>
      <c r="L16" s="150">
        <v>0</v>
      </c>
      <c r="M16" s="150">
        <v>0</v>
      </c>
      <c r="N16" s="10">
        <v>0</v>
      </c>
      <c r="O16" s="150">
        <v>1490678</v>
      </c>
      <c r="P16" s="150">
        <v>6105</v>
      </c>
      <c r="Q16" s="150">
        <v>38690</v>
      </c>
      <c r="R16" s="16">
        <v>3394</v>
      </c>
      <c r="S16" s="16">
        <v>0</v>
      </c>
      <c r="T16" s="150">
        <v>87116</v>
      </c>
      <c r="U16" s="150">
        <v>87116</v>
      </c>
      <c r="V16" s="150">
        <v>86838</v>
      </c>
      <c r="W16" s="150">
        <v>87024</v>
      </c>
      <c r="X16" s="150">
        <v>87023</v>
      </c>
      <c r="Y16" s="10">
        <v>145063</v>
      </c>
      <c r="Z16" s="16">
        <v>15654</v>
      </c>
      <c r="AA16" s="150">
        <v>95373</v>
      </c>
    </row>
    <row r="17" spans="1:27" x14ac:dyDescent="0.35">
      <c r="A17" s="19">
        <v>170</v>
      </c>
      <c r="B17" s="20" t="s">
        <v>69</v>
      </c>
      <c r="C17" s="150">
        <v>2489803</v>
      </c>
      <c r="D17" s="150">
        <v>4482709</v>
      </c>
      <c r="E17" s="150">
        <v>4357820</v>
      </c>
      <c r="F17" s="10">
        <v>6100949</v>
      </c>
      <c r="G17" s="10">
        <v>279845</v>
      </c>
      <c r="H17" s="156">
        <v>0</v>
      </c>
      <c r="I17" s="150">
        <v>0</v>
      </c>
      <c r="J17" s="16">
        <v>0</v>
      </c>
      <c r="K17" s="150">
        <v>146253</v>
      </c>
      <c r="L17" s="150">
        <v>300037</v>
      </c>
      <c r="M17" s="150">
        <v>292321</v>
      </c>
      <c r="N17" s="10">
        <v>296179.83</v>
      </c>
      <c r="O17" s="150">
        <v>1538166</v>
      </c>
      <c r="P17" s="150">
        <v>6300</v>
      </c>
      <c r="Q17" s="150">
        <v>219525</v>
      </c>
      <c r="R17" s="16">
        <v>19258</v>
      </c>
      <c r="S17" s="16">
        <v>153953</v>
      </c>
      <c r="T17" s="150">
        <v>122270</v>
      </c>
      <c r="U17" s="150">
        <v>122270</v>
      </c>
      <c r="V17" s="150">
        <v>121878</v>
      </c>
      <c r="W17" s="150">
        <v>122139</v>
      </c>
      <c r="X17" s="150">
        <v>122140</v>
      </c>
      <c r="Y17" s="10">
        <v>203598</v>
      </c>
      <c r="Z17" s="16">
        <v>28384</v>
      </c>
      <c r="AA17" s="150">
        <v>95206</v>
      </c>
    </row>
    <row r="18" spans="1:27" x14ac:dyDescent="0.35">
      <c r="A18" s="19">
        <v>182</v>
      </c>
      <c r="B18" s="20" t="s">
        <v>70</v>
      </c>
      <c r="C18" s="150">
        <v>1012859</v>
      </c>
      <c r="D18" s="150">
        <v>2303207</v>
      </c>
      <c r="E18" s="150">
        <v>2072541</v>
      </c>
      <c r="F18" s="10">
        <v>2901557</v>
      </c>
      <c r="G18" s="10">
        <v>133092</v>
      </c>
      <c r="H18" s="156">
        <v>0</v>
      </c>
      <c r="I18" s="150">
        <v>0</v>
      </c>
      <c r="J18" s="16">
        <v>0</v>
      </c>
      <c r="K18" s="150">
        <v>0</v>
      </c>
      <c r="L18" s="150">
        <v>0</v>
      </c>
      <c r="M18" s="150">
        <v>0</v>
      </c>
      <c r="N18" s="10">
        <v>0</v>
      </c>
      <c r="O18" s="150">
        <v>1638336</v>
      </c>
      <c r="P18" s="150">
        <v>6710</v>
      </c>
      <c r="Q18" s="150">
        <v>31695</v>
      </c>
      <c r="R18" s="16">
        <v>2781</v>
      </c>
      <c r="S18" s="16">
        <v>0</v>
      </c>
      <c r="T18" s="150">
        <v>173391</v>
      </c>
      <c r="U18" s="150">
        <v>173391</v>
      </c>
      <c r="V18" s="150">
        <v>172838</v>
      </c>
      <c r="W18" s="150">
        <v>173207</v>
      </c>
      <c r="X18" s="150">
        <v>173206</v>
      </c>
      <c r="Y18" s="10">
        <v>288726</v>
      </c>
      <c r="Z18" s="16">
        <v>0</v>
      </c>
      <c r="AA18" s="150">
        <v>98444</v>
      </c>
    </row>
    <row r="19" spans="1:27" x14ac:dyDescent="0.35">
      <c r="A19" s="19">
        <v>196</v>
      </c>
      <c r="B19" s="20" t="s">
        <v>71</v>
      </c>
      <c r="C19" s="150">
        <v>410816</v>
      </c>
      <c r="D19" s="150">
        <v>808150</v>
      </c>
      <c r="E19" s="150">
        <v>761854</v>
      </c>
      <c r="F19" s="10">
        <v>1066595</v>
      </c>
      <c r="G19" s="10">
        <v>48924</v>
      </c>
      <c r="H19" s="156">
        <v>0</v>
      </c>
      <c r="I19" s="150">
        <v>0</v>
      </c>
      <c r="J19" s="16">
        <v>0</v>
      </c>
      <c r="K19" s="150">
        <v>0</v>
      </c>
      <c r="L19" s="150">
        <v>47794</v>
      </c>
      <c r="M19" s="150">
        <v>46564</v>
      </c>
      <c r="N19" s="10">
        <v>47179</v>
      </c>
      <c r="O19" s="150">
        <v>301994</v>
      </c>
      <c r="P19" s="150">
        <v>1237</v>
      </c>
      <c r="Q19" s="150">
        <v>19560</v>
      </c>
      <c r="R19" s="16">
        <v>1716</v>
      </c>
      <c r="S19" s="16">
        <v>125668</v>
      </c>
      <c r="T19" s="150">
        <v>29</v>
      </c>
      <c r="U19" s="150">
        <v>30</v>
      </c>
      <c r="V19" s="150">
        <v>29</v>
      </c>
      <c r="W19" s="150">
        <v>30</v>
      </c>
      <c r="X19" s="150">
        <v>29</v>
      </c>
      <c r="Y19" s="10">
        <v>49</v>
      </c>
      <c r="Z19" s="16">
        <v>0</v>
      </c>
      <c r="AA19" s="150">
        <v>35318</v>
      </c>
    </row>
    <row r="20" spans="1:27" x14ac:dyDescent="0.35">
      <c r="A20" s="19">
        <v>203</v>
      </c>
      <c r="B20" s="20" t="s">
        <v>72</v>
      </c>
      <c r="C20" s="150">
        <v>826831</v>
      </c>
      <c r="D20" s="150">
        <v>1375551</v>
      </c>
      <c r="E20" s="150">
        <v>1376489</v>
      </c>
      <c r="F20" s="10">
        <v>1927083</v>
      </c>
      <c r="G20" s="10">
        <v>88394</v>
      </c>
      <c r="H20" s="156">
        <v>0</v>
      </c>
      <c r="I20" s="150">
        <v>0</v>
      </c>
      <c r="J20" s="16">
        <v>0</v>
      </c>
      <c r="K20" s="150">
        <v>0</v>
      </c>
      <c r="L20" s="150">
        <v>77886</v>
      </c>
      <c r="M20" s="150">
        <v>75882</v>
      </c>
      <c r="N20" s="10">
        <v>76884.89</v>
      </c>
      <c r="O20" s="150">
        <v>561694</v>
      </c>
      <c r="P20" s="150">
        <v>2300</v>
      </c>
      <c r="Q20" s="150">
        <v>42560</v>
      </c>
      <c r="R20" s="16">
        <v>3734</v>
      </c>
      <c r="S20" s="16">
        <v>118561</v>
      </c>
      <c r="T20" s="150">
        <v>26046</v>
      </c>
      <c r="U20" s="150">
        <v>26046</v>
      </c>
      <c r="V20" s="150">
        <v>25962</v>
      </c>
      <c r="W20" s="150">
        <v>26018</v>
      </c>
      <c r="X20" s="150">
        <v>26019</v>
      </c>
      <c r="Y20" s="10">
        <v>43372</v>
      </c>
      <c r="Z20" s="16">
        <v>11069</v>
      </c>
      <c r="AA20" s="150">
        <v>36821</v>
      </c>
    </row>
    <row r="21" spans="1:27" x14ac:dyDescent="0.35">
      <c r="A21" s="19">
        <v>217</v>
      </c>
      <c r="B21" s="20" t="s">
        <v>73</v>
      </c>
      <c r="C21" s="150">
        <v>583849</v>
      </c>
      <c r="D21" s="150">
        <v>1004867</v>
      </c>
      <c r="E21" s="150">
        <v>992948</v>
      </c>
      <c r="F21" s="10">
        <v>1390127</v>
      </c>
      <c r="G21" s="10">
        <v>63764</v>
      </c>
      <c r="H21" s="156">
        <v>0</v>
      </c>
      <c r="I21" s="150">
        <v>0</v>
      </c>
      <c r="J21" s="16">
        <v>0</v>
      </c>
      <c r="K21" s="150">
        <v>0</v>
      </c>
      <c r="L21" s="150">
        <v>73460</v>
      </c>
      <c r="M21" s="150">
        <v>71572</v>
      </c>
      <c r="N21" s="10">
        <v>72515.61</v>
      </c>
      <c r="O21" s="150">
        <v>434070</v>
      </c>
      <c r="P21" s="150">
        <v>1778</v>
      </c>
      <c r="Q21" s="150">
        <v>42640</v>
      </c>
      <c r="R21" s="16">
        <v>3741</v>
      </c>
      <c r="S21" s="16">
        <v>0</v>
      </c>
      <c r="T21" s="150">
        <v>31670</v>
      </c>
      <c r="U21" s="150">
        <v>31670</v>
      </c>
      <c r="V21" s="150">
        <v>31568</v>
      </c>
      <c r="W21" s="150">
        <v>31636</v>
      </c>
      <c r="X21" s="150">
        <v>31636</v>
      </c>
      <c r="Y21" s="10">
        <v>52738</v>
      </c>
      <c r="Z21" s="16">
        <v>0</v>
      </c>
      <c r="AA21" s="150">
        <v>42929</v>
      </c>
    </row>
    <row r="22" spans="1:27" x14ac:dyDescent="0.35">
      <c r="A22" s="19">
        <v>231</v>
      </c>
      <c r="B22" s="20" t="s">
        <v>74</v>
      </c>
      <c r="C22" s="150">
        <v>1778025</v>
      </c>
      <c r="D22" s="150">
        <v>3013227</v>
      </c>
      <c r="E22" s="150">
        <v>2994533</v>
      </c>
      <c r="F22" s="10">
        <v>4192346</v>
      </c>
      <c r="G22" s="10">
        <v>192299</v>
      </c>
      <c r="H22" s="156">
        <v>0</v>
      </c>
      <c r="I22" s="150">
        <v>0</v>
      </c>
      <c r="J22" s="16">
        <v>0</v>
      </c>
      <c r="K22" s="150">
        <v>0</v>
      </c>
      <c r="L22" s="150">
        <v>0</v>
      </c>
      <c r="M22" s="150">
        <v>0</v>
      </c>
      <c r="N22" s="10">
        <v>0</v>
      </c>
      <c r="O22" s="150">
        <v>1219848</v>
      </c>
      <c r="P22" s="150">
        <v>4996</v>
      </c>
      <c r="Q22" s="150">
        <v>53220</v>
      </c>
      <c r="R22" s="16">
        <v>4669</v>
      </c>
      <c r="S22" s="16">
        <v>0</v>
      </c>
      <c r="T22" s="150">
        <v>112573</v>
      </c>
      <c r="U22" s="150">
        <v>112573</v>
      </c>
      <c r="V22" s="150">
        <v>111663</v>
      </c>
      <c r="W22" s="150">
        <v>112270</v>
      </c>
      <c r="X22" s="150">
        <v>112270</v>
      </c>
      <c r="Y22" s="10">
        <v>187148</v>
      </c>
      <c r="Z22" s="16">
        <v>0</v>
      </c>
      <c r="AA22" s="150">
        <v>66798</v>
      </c>
    </row>
    <row r="23" spans="1:27" x14ac:dyDescent="0.35">
      <c r="A23" s="19">
        <v>245</v>
      </c>
      <c r="B23" s="20" t="s">
        <v>75</v>
      </c>
      <c r="C23" s="150">
        <v>587954</v>
      </c>
      <c r="D23" s="150">
        <v>1095814</v>
      </c>
      <c r="E23" s="150">
        <v>1052355</v>
      </c>
      <c r="F23" s="10">
        <v>1473296</v>
      </c>
      <c r="G23" s="10">
        <v>67579</v>
      </c>
      <c r="H23" s="156">
        <v>0</v>
      </c>
      <c r="I23" s="150">
        <v>0</v>
      </c>
      <c r="J23" s="16">
        <v>0</v>
      </c>
      <c r="K23" s="150">
        <v>0</v>
      </c>
      <c r="L23" s="150">
        <v>0</v>
      </c>
      <c r="M23" s="150">
        <v>0</v>
      </c>
      <c r="N23" s="10">
        <v>0</v>
      </c>
      <c r="O23" s="150">
        <v>442232</v>
      </c>
      <c r="P23" s="150">
        <v>1811</v>
      </c>
      <c r="Q23" s="150">
        <v>18815</v>
      </c>
      <c r="R23" s="16">
        <v>1651</v>
      </c>
      <c r="S23" s="16">
        <v>0</v>
      </c>
      <c r="T23" s="150">
        <v>36222</v>
      </c>
      <c r="U23" s="150">
        <v>36223</v>
      </c>
      <c r="V23" s="150">
        <v>36107</v>
      </c>
      <c r="W23" s="150">
        <v>36184</v>
      </c>
      <c r="X23" s="150">
        <v>36184</v>
      </c>
      <c r="Y23" s="10">
        <v>60319</v>
      </c>
      <c r="Z23" s="16">
        <v>2765</v>
      </c>
      <c r="AA23" s="150">
        <v>32681</v>
      </c>
    </row>
    <row r="24" spans="1:27" x14ac:dyDescent="0.35">
      <c r="A24" s="19">
        <v>280</v>
      </c>
      <c r="B24" s="20" t="s">
        <v>76</v>
      </c>
      <c r="C24" s="150">
        <v>2558286</v>
      </c>
      <c r="D24" s="150">
        <v>4790223</v>
      </c>
      <c r="E24" s="150">
        <v>4592818</v>
      </c>
      <c r="F24" s="10">
        <v>6429946</v>
      </c>
      <c r="G24" s="10">
        <v>294936</v>
      </c>
      <c r="H24" s="156">
        <v>0</v>
      </c>
      <c r="I24" s="150">
        <v>0</v>
      </c>
      <c r="J24" s="16">
        <v>0</v>
      </c>
      <c r="K24" s="150">
        <v>0</v>
      </c>
      <c r="L24" s="150">
        <v>0</v>
      </c>
      <c r="M24" s="150">
        <v>0</v>
      </c>
      <c r="N24" s="10">
        <v>0</v>
      </c>
      <c r="O24" s="150">
        <v>2168866</v>
      </c>
      <c r="P24" s="150">
        <v>8883</v>
      </c>
      <c r="Q24" s="150">
        <v>37540</v>
      </c>
      <c r="R24" s="16">
        <v>3293</v>
      </c>
      <c r="S24" s="16">
        <v>0</v>
      </c>
      <c r="T24" s="150">
        <v>213591</v>
      </c>
      <c r="U24" s="150">
        <v>213591</v>
      </c>
      <c r="V24" s="150">
        <v>212910</v>
      </c>
      <c r="W24" s="150">
        <v>213364</v>
      </c>
      <c r="X24" s="150">
        <v>213364</v>
      </c>
      <c r="Y24" s="10">
        <v>355667</v>
      </c>
      <c r="Z24" s="16">
        <v>19128</v>
      </c>
      <c r="AA24" s="150">
        <v>154660</v>
      </c>
    </row>
    <row r="25" spans="1:27" x14ac:dyDescent="0.35">
      <c r="A25" s="19">
        <v>287</v>
      </c>
      <c r="B25" s="20" t="s">
        <v>77</v>
      </c>
      <c r="C25" s="150">
        <v>366610</v>
      </c>
      <c r="D25" s="150">
        <v>722760</v>
      </c>
      <c r="E25" s="150">
        <v>680856</v>
      </c>
      <c r="F25" s="10">
        <v>953199</v>
      </c>
      <c r="G25" s="10">
        <v>43722</v>
      </c>
      <c r="H25" s="156">
        <v>0</v>
      </c>
      <c r="I25" s="150">
        <v>0</v>
      </c>
      <c r="J25" s="16">
        <v>0</v>
      </c>
      <c r="K25" s="150">
        <v>0</v>
      </c>
      <c r="L25" s="150">
        <v>20357</v>
      </c>
      <c r="M25" s="150">
        <v>19833</v>
      </c>
      <c r="N25" s="10">
        <v>20094.28</v>
      </c>
      <c r="O25" s="150">
        <v>305704</v>
      </c>
      <c r="P25" s="150">
        <v>1252</v>
      </c>
      <c r="Q25" s="150">
        <v>8590</v>
      </c>
      <c r="R25" s="16">
        <v>754</v>
      </c>
      <c r="S25" s="16">
        <v>0</v>
      </c>
      <c r="T25" s="150">
        <v>16665</v>
      </c>
      <c r="U25" s="150">
        <v>16664</v>
      </c>
      <c r="V25" s="150">
        <v>16612</v>
      </c>
      <c r="W25" s="150">
        <v>16646</v>
      </c>
      <c r="X25" s="150">
        <v>16647</v>
      </c>
      <c r="Y25" s="10">
        <v>27750</v>
      </c>
      <c r="Z25" s="16">
        <v>0</v>
      </c>
      <c r="AA25" s="150">
        <v>17592</v>
      </c>
    </row>
    <row r="26" spans="1:27" x14ac:dyDescent="0.35">
      <c r="A26" s="19">
        <v>308</v>
      </c>
      <c r="B26" s="20" t="s">
        <v>78</v>
      </c>
      <c r="C26" s="150">
        <v>1668960</v>
      </c>
      <c r="D26" s="150">
        <v>2856126</v>
      </c>
      <c r="E26" s="150">
        <v>2828179</v>
      </c>
      <c r="F26" s="10">
        <v>3959449</v>
      </c>
      <c r="G26" s="10">
        <v>181617</v>
      </c>
      <c r="H26" s="156">
        <v>0</v>
      </c>
      <c r="I26" s="150">
        <v>0</v>
      </c>
      <c r="J26" s="16">
        <v>0</v>
      </c>
      <c r="K26" s="150">
        <v>94615</v>
      </c>
      <c r="L26" s="150">
        <v>140725</v>
      </c>
      <c r="M26" s="150">
        <v>137107</v>
      </c>
      <c r="N26" s="10">
        <v>138915.82999999999</v>
      </c>
      <c r="O26" s="150">
        <v>1012830</v>
      </c>
      <c r="P26" s="150">
        <v>4148</v>
      </c>
      <c r="Q26" s="150">
        <v>76440</v>
      </c>
      <c r="R26" s="16">
        <v>6706</v>
      </c>
      <c r="S26" s="16">
        <v>6891</v>
      </c>
      <c r="T26" s="150">
        <v>92190</v>
      </c>
      <c r="U26" s="150">
        <v>92189</v>
      </c>
      <c r="V26" s="150">
        <v>91895</v>
      </c>
      <c r="W26" s="150">
        <v>92091</v>
      </c>
      <c r="X26" s="150">
        <v>92092</v>
      </c>
      <c r="Y26" s="10">
        <v>153511</v>
      </c>
      <c r="Z26" s="16">
        <v>0</v>
      </c>
      <c r="AA26" s="150">
        <v>60722</v>
      </c>
    </row>
    <row r="27" spans="1:27" x14ac:dyDescent="0.35">
      <c r="A27" s="19">
        <v>315</v>
      </c>
      <c r="B27" s="20" t="s">
        <v>31</v>
      </c>
      <c r="C27" s="150">
        <v>20518</v>
      </c>
      <c r="D27" s="150">
        <v>33734</v>
      </c>
      <c r="E27" s="150">
        <v>33908</v>
      </c>
      <c r="F27" s="10">
        <v>47471</v>
      </c>
      <c r="G27" s="10">
        <v>2177</v>
      </c>
      <c r="H27" s="156">
        <v>0</v>
      </c>
      <c r="I27" s="150">
        <v>0</v>
      </c>
      <c r="J27" s="16">
        <v>0</v>
      </c>
      <c r="K27" s="150">
        <v>29092</v>
      </c>
      <c r="L27" s="150">
        <v>71690</v>
      </c>
      <c r="M27" s="150">
        <v>69848</v>
      </c>
      <c r="N27" s="10">
        <v>70767.5</v>
      </c>
      <c r="O27" s="150">
        <v>324254</v>
      </c>
      <c r="P27" s="150">
        <v>1328</v>
      </c>
      <c r="Q27" s="150">
        <v>21565</v>
      </c>
      <c r="R27" s="16">
        <v>1892</v>
      </c>
      <c r="S27" s="16">
        <v>234107</v>
      </c>
      <c r="T27" s="150">
        <v>72671</v>
      </c>
      <c r="U27" s="150">
        <v>72672</v>
      </c>
      <c r="V27" s="150">
        <v>72441</v>
      </c>
      <c r="W27" s="150">
        <v>72594</v>
      </c>
      <c r="X27" s="150">
        <v>72595</v>
      </c>
      <c r="Y27" s="10">
        <v>121009</v>
      </c>
      <c r="Z27" s="16">
        <v>0</v>
      </c>
      <c r="AA27" s="150">
        <v>15690</v>
      </c>
    </row>
    <row r="28" spans="1:27" x14ac:dyDescent="0.35">
      <c r="A28" s="19">
        <v>336</v>
      </c>
      <c r="B28" s="20" t="s">
        <v>79</v>
      </c>
      <c r="C28" s="150">
        <v>3345236</v>
      </c>
      <c r="D28" s="150">
        <v>5951122</v>
      </c>
      <c r="E28" s="150">
        <v>5810224</v>
      </c>
      <c r="F28" s="10">
        <v>8134313</v>
      </c>
      <c r="G28" s="10">
        <v>373114</v>
      </c>
      <c r="H28" s="156">
        <v>0</v>
      </c>
      <c r="I28" s="150">
        <v>0</v>
      </c>
      <c r="J28" s="16">
        <v>0</v>
      </c>
      <c r="K28" s="150">
        <v>0</v>
      </c>
      <c r="L28" s="150">
        <v>254899</v>
      </c>
      <c r="M28" s="150">
        <v>307755</v>
      </c>
      <c r="N28" s="10">
        <v>281325.88</v>
      </c>
      <c r="O28" s="150">
        <v>2533188</v>
      </c>
      <c r="P28" s="150">
        <v>10375</v>
      </c>
      <c r="Q28" s="150">
        <v>32705</v>
      </c>
      <c r="R28" s="16">
        <v>2869</v>
      </c>
      <c r="S28" s="16">
        <v>0</v>
      </c>
      <c r="T28" s="150">
        <v>287553</v>
      </c>
      <c r="U28" s="150">
        <v>287554</v>
      </c>
      <c r="V28" s="150">
        <v>286637</v>
      </c>
      <c r="W28" s="150">
        <v>287248</v>
      </c>
      <c r="X28" s="150">
        <v>287248</v>
      </c>
      <c r="Y28" s="10">
        <v>478822</v>
      </c>
      <c r="Z28" s="16">
        <v>66493</v>
      </c>
      <c r="AA28" s="150">
        <v>142575</v>
      </c>
    </row>
    <row r="29" spans="1:27" x14ac:dyDescent="0.35">
      <c r="A29" s="19">
        <v>4263</v>
      </c>
      <c r="B29" s="20" t="s">
        <v>80</v>
      </c>
      <c r="C29" s="150">
        <v>15164</v>
      </c>
      <c r="D29" s="150">
        <v>24049</v>
      </c>
      <c r="E29" s="150">
        <v>24508</v>
      </c>
      <c r="F29" s="10">
        <v>34311</v>
      </c>
      <c r="G29" s="10">
        <v>1574</v>
      </c>
      <c r="H29" s="156">
        <v>26158</v>
      </c>
      <c r="I29" s="150">
        <v>16349</v>
      </c>
      <c r="J29" s="16">
        <v>22887</v>
      </c>
      <c r="K29" s="150">
        <v>15670</v>
      </c>
      <c r="L29" s="150">
        <v>33632</v>
      </c>
      <c r="M29" s="150">
        <v>32768</v>
      </c>
      <c r="N29" s="10">
        <v>33200.11</v>
      </c>
      <c r="O29" s="150">
        <v>176596</v>
      </c>
      <c r="P29" s="150">
        <v>723</v>
      </c>
      <c r="Q29" s="150">
        <v>10235</v>
      </c>
      <c r="R29" s="16">
        <v>898</v>
      </c>
      <c r="S29" s="16">
        <v>21832</v>
      </c>
      <c r="T29" s="150">
        <v>23972</v>
      </c>
      <c r="U29" s="150">
        <v>23972</v>
      </c>
      <c r="V29" s="150">
        <v>23896</v>
      </c>
      <c r="W29" s="150">
        <v>23947</v>
      </c>
      <c r="X29" s="150">
        <v>23947</v>
      </c>
      <c r="Y29" s="10">
        <v>39916</v>
      </c>
      <c r="Z29" s="16">
        <v>18872</v>
      </c>
      <c r="AA29" s="150">
        <v>10081</v>
      </c>
    </row>
    <row r="30" spans="1:27" x14ac:dyDescent="0.35">
      <c r="A30" s="19">
        <v>350</v>
      </c>
      <c r="B30" s="20" t="s">
        <v>81</v>
      </c>
      <c r="C30" s="150">
        <v>788267</v>
      </c>
      <c r="D30" s="150">
        <v>1380955</v>
      </c>
      <c r="E30" s="150">
        <v>1355764</v>
      </c>
      <c r="F30" s="10">
        <v>1898070</v>
      </c>
      <c r="G30" s="10">
        <v>87063</v>
      </c>
      <c r="H30" s="156">
        <v>0</v>
      </c>
      <c r="I30" s="150">
        <v>0</v>
      </c>
      <c r="J30" s="16">
        <v>0</v>
      </c>
      <c r="K30" s="150">
        <v>0</v>
      </c>
      <c r="L30" s="150">
        <v>0</v>
      </c>
      <c r="M30" s="150">
        <v>0</v>
      </c>
      <c r="N30" s="10">
        <v>0</v>
      </c>
      <c r="O30" s="150">
        <v>683382</v>
      </c>
      <c r="P30" s="150">
        <v>2799</v>
      </c>
      <c r="Q30" s="150">
        <v>16880</v>
      </c>
      <c r="R30" s="16">
        <v>1481</v>
      </c>
      <c r="S30" s="16">
        <v>0</v>
      </c>
      <c r="T30" s="150">
        <v>48209</v>
      </c>
      <c r="U30" s="150">
        <v>48208</v>
      </c>
      <c r="V30" s="150">
        <v>48054</v>
      </c>
      <c r="W30" s="150">
        <v>48157</v>
      </c>
      <c r="X30" s="150">
        <v>48157</v>
      </c>
      <c r="Y30" s="10">
        <v>80276</v>
      </c>
      <c r="Z30" s="16">
        <v>0</v>
      </c>
      <c r="AA30" s="150">
        <v>38223</v>
      </c>
    </row>
    <row r="31" spans="1:27" x14ac:dyDescent="0.35">
      <c r="A31" s="19">
        <v>364</v>
      </c>
      <c r="B31" s="20" t="s">
        <v>82</v>
      </c>
      <c r="C31" s="150">
        <v>353983</v>
      </c>
      <c r="D31" s="150">
        <v>705905</v>
      </c>
      <c r="E31" s="150">
        <v>662430</v>
      </c>
      <c r="F31" s="10">
        <v>927403</v>
      </c>
      <c r="G31" s="10">
        <v>42539</v>
      </c>
      <c r="H31" s="156">
        <v>0</v>
      </c>
      <c r="I31" s="150">
        <v>0</v>
      </c>
      <c r="J31" s="16">
        <v>0</v>
      </c>
      <c r="K31" s="150">
        <v>0</v>
      </c>
      <c r="L31" s="150">
        <v>30977</v>
      </c>
      <c r="M31" s="150">
        <v>30181</v>
      </c>
      <c r="N31" s="10">
        <v>30578.94</v>
      </c>
      <c r="O31" s="150">
        <v>267862</v>
      </c>
      <c r="P31" s="150">
        <v>1097</v>
      </c>
      <c r="Q31" s="150">
        <v>9285</v>
      </c>
      <c r="R31" s="16">
        <v>815</v>
      </c>
      <c r="S31" s="16">
        <v>0</v>
      </c>
      <c r="T31" s="150">
        <v>15222</v>
      </c>
      <c r="U31" s="150">
        <v>15222</v>
      </c>
      <c r="V31" s="150">
        <v>15173</v>
      </c>
      <c r="W31" s="150">
        <v>15206</v>
      </c>
      <c r="X31" s="150">
        <v>15206</v>
      </c>
      <c r="Y31" s="10">
        <v>25349</v>
      </c>
      <c r="Z31" s="16">
        <v>0</v>
      </c>
      <c r="AA31" s="150">
        <v>14655</v>
      </c>
    </row>
    <row r="32" spans="1:27" s="14" customFormat="1" x14ac:dyDescent="0.35">
      <c r="A32" s="19">
        <v>413</v>
      </c>
      <c r="B32" s="20" t="s">
        <v>83</v>
      </c>
      <c r="C32" s="150">
        <v>9984824</v>
      </c>
      <c r="D32" s="150">
        <v>16579644</v>
      </c>
      <c r="E32" s="150">
        <v>16602793</v>
      </c>
      <c r="F32" s="10">
        <v>23243909</v>
      </c>
      <c r="G32" s="10">
        <v>1066178</v>
      </c>
      <c r="H32" s="156">
        <v>0</v>
      </c>
      <c r="I32" s="150">
        <v>0</v>
      </c>
      <c r="J32" s="16">
        <v>0</v>
      </c>
      <c r="K32" s="150">
        <v>477636</v>
      </c>
      <c r="L32" s="150">
        <v>982422</v>
      </c>
      <c r="M32" s="150">
        <v>957160</v>
      </c>
      <c r="N32" s="10">
        <v>969789.65</v>
      </c>
      <c r="O32" s="150">
        <v>4999596</v>
      </c>
      <c r="P32" s="150">
        <v>20476</v>
      </c>
      <c r="Q32" s="150">
        <v>34895</v>
      </c>
      <c r="R32" s="16">
        <v>3061</v>
      </c>
      <c r="S32" s="16">
        <v>0</v>
      </c>
      <c r="T32" s="150">
        <v>550848</v>
      </c>
      <c r="U32" s="150">
        <v>550848</v>
      </c>
      <c r="V32" s="150">
        <v>549089</v>
      </c>
      <c r="W32" s="150">
        <v>550262</v>
      </c>
      <c r="X32" s="150">
        <v>550262</v>
      </c>
      <c r="Y32" s="10">
        <v>917257</v>
      </c>
      <c r="Z32" s="16">
        <v>265007</v>
      </c>
      <c r="AA32" s="150">
        <v>307683</v>
      </c>
    </row>
    <row r="33" spans="1:27" x14ac:dyDescent="0.35">
      <c r="A33" s="19">
        <v>422</v>
      </c>
      <c r="B33" s="20" t="s">
        <v>84</v>
      </c>
      <c r="C33" s="150">
        <v>1320443</v>
      </c>
      <c r="D33" s="150">
        <v>2347007</v>
      </c>
      <c r="E33" s="150">
        <v>2292157</v>
      </c>
      <c r="F33" s="10">
        <v>3209019</v>
      </c>
      <c r="G33" s="10">
        <v>147195</v>
      </c>
      <c r="H33" s="156">
        <v>0</v>
      </c>
      <c r="I33" s="150">
        <v>0</v>
      </c>
      <c r="J33" s="16">
        <v>0</v>
      </c>
      <c r="K33" s="150">
        <v>0</v>
      </c>
      <c r="L33" s="150">
        <v>0</v>
      </c>
      <c r="M33" s="150">
        <v>0</v>
      </c>
      <c r="N33" s="10">
        <v>0</v>
      </c>
      <c r="O33" s="150">
        <v>869624</v>
      </c>
      <c r="P33" s="150">
        <v>3562</v>
      </c>
      <c r="Q33" s="150">
        <v>29655</v>
      </c>
      <c r="R33" s="16">
        <v>2602</v>
      </c>
      <c r="S33" s="16">
        <v>0</v>
      </c>
      <c r="T33" s="150">
        <v>102073</v>
      </c>
      <c r="U33" s="150">
        <v>102073</v>
      </c>
      <c r="V33" s="150">
        <v>101747</v>
      </c>
      <c r="W33" s="150">
        <v>101965</v>
      </c>
      <c r="X33" s="150">
        <v>101964</v>
      </c>
      <c r="Y33" s="10">
        <v>169968</v>
      </c>
      <c r="Z33" s="16">
        <v>2392</v>
      </c>
      <c r="AA33" s="150">
        <v>51075</v>
      </c>
    </row>
    <row r="34" spans="1:27" x14ac:dyDescent="0.35">
      <c r="A34" s="19">
        <v>427</v>
      </c>
      <c r="B34" s="20" t="s">
        <v>85</v>
      </c>
      <c r="C34" s="150">
        <v>285655</v>
      </c>
      <c r="D34" s="150">
        <v>526362</v>
      </c>
      <c r="E34" s="150">
        <v>507510</v>
      </c>
      <c r="F34" s="10">
        <v>710514</v>
      </c>
      <c r="G34" s="10">
        <v>32591</v>
      </c>
      <c r="H34" s="156">
        <v>0</v>
      </c>
      <c r="I34" s="150">
        <v>0</v>
      </c>
      <c r="J34" s="16">
        <v>0</v>
      </c>
      <c r="K34" s="150">
        <v>0</v>
      </c>
      <c r="L34" s="150">
        <v>21242</v>
      </c>
      <c r="M34" s="150">
        <v>20694</v>
      </c>
      <c r="N34" s="10">
        <v>20969.330000000002</v>
      </c>
      <c r="O34" s="150">
        <v>173628</v>
      </c>
      <c r="P34" s="150">
        <v>711</v>
      </c>
      <c r="Q34" s="150">
        <v>3455</v>
      </c>
      <c r="R34" s="16">
        <v>303</v>
      </c>
      <c r="S34" s="16">
        <v>0</v>
      </c>
      <c r="T34" s="150">
        <v>6904</v>
      </c>
      <c r="U34" s="150">
        <v>6904</v>
      </c>
      <c r="V34" s="150">
        <v>6882</v>
      </c>
      <c r="W34" s="150">
        <v>6897</v>
      </c>
      <c r="X34" s="150">
        <v>6897</v>
      </c>
      <c r="Y34" s="10">
        <v>11496</v>
      </c>
      <c r="Z34" s="16">
        <v>0</v>
      </c>
      <c r="AA34" s="150">
        <v>11250</v>
      </c>
    </row>
    <row r="35" spans="1:27" x14ac:dyDescent="0.35">
      <c r="A35" s="19">
        <v>434</v>
      </c>
      <c r="B35" s="20" t="s">
        <v>86</v>
      </c>
      <c r="C35" s="150">
        <v>1641153</v>
      </c>
      <c r="D35" s="150">
        <v>2766091</v>
      </c>
      <c r="E35" s="150">
        <v>2754528</v>
      </c>
      <c r="F35" s="10">
        <v>3856338</v>
      </c>
      <c r="G35" s="10">
        <v>176887</v>
      </c>
      <c r="H35" s="156">
        <v>0</v>
      </c>
      <c r="I35" s="150">
        <v>0</v>
      </c>
      <c r="J35" s="16">
        <v>0</v>
      </c>
      <c r="K35" s="150">
        <v>0</v>
      </c>
      <c r="L35" s="150">
        <v>0</v>
      </c>
      <c r="M35" s="150">
        <v>0</v>
      </c>
      <c r="N35" s="10">
        <v>0</v>
      </c>
      <c r="O35" s="150">
        <v>1159004</v>
      </c>
      <c r="P35" s="150">
        <v>4747</v>
      </c>
      <c r="Q35" s="150">
        <v>48170</v>
      </c>
      <c r="R35" s="16">
        <v>4226</v>
      </c>
      <c r="S35" s="16">
        <v>0</v>
      </c>
      <c r="T35" s="150">
        <v>85050</v>
      </c>
      <c r="U35" s="150">
        <v>85049</v>
      </c>
      <c r="V35" s="150">
        <v>84780</v>
      </c>
      <c r="W35" s="150">
        <v>84959</v>
      </c>
      <c r="X35" s="150">
        <v>84960</v>
      </c>
      <c r="Y35" s="10">
        <v>141622</v>
      </c>
      <c r="Z35" s="16">
        <v>0</v>
      </c>
      <c r="AA35" s="150">
        <v>71204</v>
      </c>
    </row>
    <row r="36" spans="1:27" x14ac:dyDescent="0.35">
      <c r="A36" s="19">
        <v>6013</v>
      </c>
      <c r="B36" s="20" t="s">
        <v>41</v>
      </c>
      <c r="C36" s="150">
        <v>8889</v>
      </c>
      <c r="D36" s="150">
        <v>10819</v>
      </c>
      <c r="E36" s="150">
        <v>12318</v>
      </c>
      <c r="F36" s="10">
        <v>17245</v>
      </c>
      <c r="G36" s="10">
        <v>791</v>
      </c>
      <c r="H36" s="156">
        <v>5280</v>
      </c>
      <c r="I36" s="150">
        <v>3300</v>
      </c>
      <c r="J36" s="16">
        <v>4620</v>
      </c>
      <c r="K36" s="150">
        <v>0</v>
      </c>
      <c r="L36" s="150">
        <v>0</v>
      </c>
      <c r="M36" s="150">
        <v>0</v>
      </c>
      <c r="N36" s="10">
        <v>0</v>
      </c>
      <c r="O36" s="150">
        <v>371742</v>
      </c>
      <c r="P36" s="150">
        <v>1522</v>
      </c>
      <c r="Q36" s="150">
        <v>17420</v>
      </c>
      <c r="R36" s="16">
        <v>1528</v>
      </c>
      <c r="S36" s="16">
        <v>7691</v>
      </c>
      <c r="T36" s="150">
        <v>25373</v>
      </c>
      <c r="U36" s="150">
        <v>25374</v>
      </c>
      <c r="V36" s="150">
        <v>25292</v>
      </c>
      <c r="W36" s="150">
        <v>23811</v>
      </c>
      <c r="X36" s="150">
        <v>24962</v>
      </c>
      <c r="Y36" s="10">
        <v>41611</v>
      </c>
      <c r="Z36" s="16">
        <v>0</v>
      </c>
      <c r="AA36" s="150">
        <v>26205</v>
      </c>
    </row>
    <row r="37" spans="1:27" x14ac:dyDescent="0.35">
      <c r="A37" s="19">
        <v>441</v>
      </c>
      <c r="B37" s="20" t="s">
        <v>87</v>
      </c>
      <c r="C37" s="150">
        <v>0</v>
      </c>
      <c r="D37" s="150">
        <v>0</v>
      </c>
      <c r="E37" s="150">
        <v>0</v>
      </c>
      <c r="F37" s="10">
        <v>0</v>
      </c>
      <c r="G37" s="10">
        <v>0</v>
      </c>
      <c r="H37" s="156">
        <v>2623</v>
      </c>
      <c r="I37" s="150">
        <v>1640</v>
      </c>
      <c r="J37" s="16">
        <v>2295</v>
      </c>
      <c r="K37" s="150">
        <v>13620</v>
      </c>
      <c r="L37" s="150">
        <v>25667</v>
      </c>
      <c r="M37" s="150">
        <v>25007</v>
      </c>
      <c r="N37" s="10">
        <v>25336.61</v>
      </c>
      <c r="O37" s="150">
        <v>151368</v>
      </c>
      <c r="P37" s="150">
        <v>620</v>
      </c>
      <c r="Q37" s="150">
        <v>35985</v>
      </c>
      <c r="R37" s="16">
        <v>3157</v>
      </c>
      <c r="S37" s="16">
        <v>74366</v>
      </c>
      <c r="T37" s="150">
        <v>14956</v>
      </c>
      <c r="U37" s="150">
        <v>14956</v>
      </c>
      <c r="V37" s="150">
        <v>14908</v>
      </c>
      <c r="W37" s="150">
        <v>14941</v>
      </c>
      <c r="X37" s="150">
        <v>14940</v>
      </c>
      <c r="Y37" s="10">
        <v>24903</v>
      </c>
      <c r="Z37" s="16">
        <v>3298</v>
      </c>
      <c r="AA37" s="150">
        <v>9414</v>
      </c>
    </row>
    <row r="38" spans="1:27" x14ac:dyDescent="0.35">
      <c r="A38" s="19">
        <v>2240</v>
      </c>
      <c r="B38" s="20" t="s">
        <v>88</v>
      </c>
      <c r="C38" s="150">
        <v>404024</v>
      </c>
      <c r="D38" s="150">
        <v>687138</v>
      </c>
      <c r="E38" s="150">
        <v>681976</v>
      </c>
      <c r="F38" s="10">
        <v>954767</v>
      </c>
      <c r="G38" s="10">
        <v>43794</v>
      </c>
      <c r="H38" s="156">
        <v>0</v>
      </c>
      <c r="I38" s="150">
        <v>0</v>
      </c>
      <c r="J38" s="16">
        <v>0</v>
      </c>
      <c r="K38" s="150">
        <v>27505</v>
      </c>
      <c r="L38" s="150">
        <v>44253</v>
      </c>
      <c r="M38" s="150">
        <v>43115</v>
      </c>
      <c r="N38" s="10">
        <v>43684.78</v>
      </c>
      <c r="O38" s="150">
        <v>295316</v>
      </c>
      <c r="P38" s="150">
        <v>1209</v>
      </c>
      <c r="Q38" s="150">
        <v>29865</v>
      </c>
      <c r="R38" s="16">
        <v>2620</v>
      </c>
      <c r="S38" s="16">
        <v>0</v>
      </c>
      <c r="T38" s="150">
        <v>26277</v>
      </c>
      <c r="U38" s="150">
        <v>26278</v>
      </c>
      <c r="V38" s="150">
        <v>26193</v>
      </c>
      <c r="W38" s="150">
        <v>26249</v>
      </c>
      <c r="X38" s="150">
        <v>26249</v>
      </c>
      <c r="Y38" s="10">
        <v>43756</v>
      </c>
      <c r="Z38" s="16">
        <v>0</v>
      </c>
      <c r="AA38" s="150">
        <v>16491</v>
      </c>
    </row>
    <row r="39" spans="1:27" x14ac:dyDescent="0.35">
      <c r="A39" s="19">
        <v>476</v>
      </c>
      <c r="B39" s="20" t="s">
        <v>89</v>
      </c>
      <c r="C39" s="150">
        <v>1594418</v>
      </c>
      <c r="D39" s="150">
        <v>2799031</v>
      </c>
      <c r="E39" s="150">
        <v>2745905</v>
      </c>
      <c r="F39" s="10">
        <v>3844268</v>
      </c>
      <c r="G39" s="10">
        <v>176333</v>
      </c>
      <c r="H39" s="156">
        <v>0</v>
      </c>
      <c r="I39" s="150">
        <v>0</v>
      </c>
      <c r="J39" s="16">
        <v>0</v>
      </c>
      <c r="K39" s="150">
        <v>116037</v>
      </c>
      <c r="L39" s="150">
        <v>244278</v>
      </c>
      <c r="M39" s="150">
        <v>239744</v>
      </c>
      <c r="N39" s="10">
        <v>242010.38</v>
      </c>
      <c r="O39" s="150">
        <v>1282918</v>
      </c>
      <c r="P39" s="150">
        <v>5254</v>
      </c>
      <c r="Q39" s="150">
        <v>77405</v>
      </c>
      <c r="R39" s="16">
        <v>6791</v>
      </c>
      <c r="S39" s="16">
        <v>0</v>
      </c>
      <c r="T39" s="150">
        <v>141926</v>
      </c>
      <c r="U39" s="150">
        <v>141925</v>
      </c>
      <c r="V39" s="150">
        <v>141471</v>
      </c>
      <c r="W39" s="150">
        <v>141774</v>
      </c>
      <c r="X39" s="150">
        <v>141774</v>
      </c>
      <c r="Y39" s="10">
        <v>236331</v>
      </c>
      <c r="Z39" s="16">
        <v>0</v>
      </c>
      <c r="AA39" s="150">
        <v>73107</v>
      </c>
    </row>
    <row r="40" spans="1:27" x14ac:dyDescent="0.35">
      <c r="A40" s="19">
        <v>485</v>
      </c>
      <c r="B40" s="20" t="s">
        <v>90</v>
      </c>
      <c r="C40" s="150">
        <v>453748</v>
      </c>
      <c r="D40" s="150">
        <v>931922</v>
      </c>
      <c r="E40" s="150">
        <v>866044</v>
      </c>
      <c r="F40" s="10">
        <v>1212460</v>
      </c>
      <c r="G40" s="10">
        <v>55615</v>
      </c>
      <c r="H40" s="156">
        <v>0</v>
      </c>
      <c r="I40" s="150">
        <v>0</v>
      </c>
      <c r="J40" s="16">
        <v>0</v>
      </c>
      <c r="K40" s="150">
        <v>0</v>
      </c>
      <c r="L40" s="150">
        <v>59299</v>
      </c>
      <c r="M40" s="150">
        <v>57775</v>
      </c>
      <c r="N40" s="10">
        <v>58536.72</v>
      </c>
      <c r="O40" s="150">
        <v>468202</v>
      </c>
      <c r="P40" s="150">
        <v>1918</v>
      </c>
      <c r="Q40" s="150">
        <v>33440</v>
      </c>
      <c r="R40" s="16">
        <v>2934</v>
      </c>
      <c r="S40" s="16">
        <v>16476</v>
      </c>
      <c r="T40" s="150">
        <v>39683</v>
      </c>
      <c r="U40" s="150">
        <v>39684</v>
      </c>
      <c r="V40" s="150">
        <v>39557</v>
      </c>
      <c r="W40" s="150">
        <v>39641</v>
      </c>
      <c r="X40" s="150">
        <v>39641</v>
      </c>
      <c r="Y40" s="10">
        <v>66079</v>
      </c>
      <c r="Z40" s="16">
        <v>0</v>
      </c>
      <c r="AA40" s="150">
        <v>29710</v>
      </c>
    </row>
    <row r="41" spans="1:27" x14ac:dyDescent="0.35">
      <c r="A41" s="19">
        <v>497</v>
      </c>
      <c r="B41" s="20" t="s">
        <v>91</v>
      </c>
      <c r="C41" s="150">
        <v>1284243</v>
      </c>
      <c r="D41" s="150">
        <v>2239610</v>
      </c>
      <c r="E41" s="150">
        <v>2202408</v>
      </c>
      <c r="F41" s="10">
        <v>3083371</v>
      </c>
      <c r="G41" s="10">
        <v>141432</v>
      </c>
      <c r="H41" s="156">
        <v>0</v>
      </c>
      <c r="I41" s="150">
        <v>0</v>
      </c>
      <c r="J41" s="16">
        <v>0</v>
      </c>
      <c r="K41" s="150">
        <v>0</v>
      </c>
      <c r="L41" s="150">
        <v>102668</v>
      </c>
      <c r="M41" s="150">
        <v>100026</v>
      </c>
      <c r="N41" s="10">
        <v>101348.44</v>
      </c>
      <c r="O41" s="150">
        <v>921564</v>
      </c>
      <c r="P41" s="150">
        <v>3774</v>
      </c>
      <c r="Q41" s="150">
        <v>55080</v>
      </c>
      <c r="R41" s="16">
        <v>4832</v>
      </c>
      <c r="S41" s="16">
        <v>44142</v>
      </c>
      <c r="T41" s="150">
        <v>73734</v>
      </c>
      <c r="U41" s="150">
        <v>73735</v>
      </c>
      <c r="V41" s="150">
        <v>73499</v>
      </c>
      <c r="W41" s="150">
        <v>73656</v>
      </c>
      <c r="X41" s="150">
        <v>73656</v>
      </c>
      <c r="Y41" s="10">
        <v>122779</v>
      </c>
      <c r="Z41" s="16">
        <v>37711</v>
      </c>
      <c r="AA41" s="150">
        <v>59954</v>
      </c>
    </row>
    <row r="42" spans="1:27" x14ac:dyDescent="0.35">
      <c r="A42" s="19">
        <v>602</v>
      </c>
      <c r="B42" s="20" t="s">
        <v>92</v>
      </c>
      <c r="C42" s="150">
        <v>704378</v>
      </c>
      <c r="D42" s="150">
        <v>1218451</v>
      </c>
      <c r="E42" s="150">
        <v>1201768</v>
      </c>
      <c r="F42" s="10">
        <v>1682475</v>
      </c>
      <c r="G42" s="10">
        <v>77174</v>
      </c>
      <c r="H42" s="156">
        <v>0</v>
      </c>
      <c r="I42" s="150">
        <v>0</v>
      </c>
      <c r="J42" s="16">
        <v>0</v>
      </c>
      <c r="K42" s="150">
        <v>0</v>
      </c>
      <c r="L42" s="150">
        <v>64610</v>
      </c>
      <c r="M42" s="150">
        <v>62948</v>
      </c>
      <c r="N42" s="10">
        <v>63779.05</v>
      </c>
      <c r="O42" s="150">
        <v>572082</v>
      </c>
      <c r="P42" s="150">
        <v>2343</v>
      </c>
      <c r="Q42" s="150">
        <v>49925</v>
      </c>
      <c r="R42" s="16">
        <v>4380</v>
      </c>
      <c r="S42" s="16">
        <v>15612</v>
      </c>
      <c r="T42" s="150">
        <v>42994</v>
      </c>
      <c r="U42" s="150">
        <v>42994</v>
      </c>
      <c r="V42" s="150">
        <v>42857</v>
      </c>
      <c r="W42" s="150">
        <v>42985</v>
      </c>
      <c r="X42" s="150">
        <v>42958</v>
      </c>
      <c r="Y42" s="10">
        <v>71607</v>
      </c>
      <c r="Z42" s="16">
        <v>0</v>
      </c>
      <c r="AA42" s="150">
        <v>28909</v>
      </c>
    </row>
    <row r="43" spans="1:27" x14ac:dyDescent="0.35">
      <c r="A43" s="19">
        <v>609</v>
      </c>
      <c r="B43" s="20" t="s">
        <v>93</v>
      </c>
      <c r="C43" s="150">
        <v>936214</v>
      </c>
      <c r="D43" s="150">
        <v>1576234</v>
      </c>
      <c r="E43" s="150">
        <v>1570280</v>
      </c>
      <c r="F43" s="10">
        <v>2198392</v>
      </c>
      <c r="G43" s="10">
        <v>100838</v>
      </c>
      <c r="H43" s="156">
        <v>0</v>
      </c>
      <c r="I43" s="150">
        <v>0</v>
      </c>
      <c r="J43" s="16">
        <v>0</v>
      </c>
      <c r="K43" s="150">
        <v>54151</v>
      </c>
      <c r="L43" s="150">
        <v>93817</v>
      </c>
      <c r="M43" s="150">
        <v>91405</v>
      </c>
      <c r="N43" s="10">
        <v>92609.89</v>
      </c>
      <c r="O43" s="150">
        <v>589148</v>
      </c>
      <c r="P43" s="150">
        <v>2413</v>
      </c>
      <c r="Q43" s="150">
        <v>25525</v>
      </c>
      <c r="R43" s="16">
        <v>2239</v>
      </c>
      <c r="S43" s="16">
        <v>0</v>
      </c>
      <c r="T43" s="150">
        <v>82512</v>
      </c>
      <c r="U43" s="150">
        <v>82513</v>
      </c>
      <c r="V43" s="150">
        <v>82250</v>
      </c>
      <c r="W43" s="150">
        <v>82424</v>
      </c>
      <c r="X43" s="150">
        <v>82425</v>
      </c>
      <c r="Y43" s="10">
        <v>137397</v>
      </c>
      <c r="Z43" s="16">
        <v>49038</v>
      </c>
      <c r="AA43" s="150">
        <v>35218</v>
      </c>
    </row>
    <row r="44" spans="1:27" x14ac:dyDescent="0.35">
      <c r="A44" s="19">
        <v>623</v>
      </c>
      <c r="B44" s="20" t="s">
        <v>94</v>
      </c>
      <c r="C44" s="150">
        <v>428524</v>
      </c>
      <c r="D44" s="150">
        <v>812619</v>
      </c>
      <c r="E44" s="150">
        <v>775714</v>
      </c>
      <c r="F44" s="10">
        <v>1086000</v>
      </c>
      <c r="G44" s="10">
        <v>49814</v>
      </c>
      <c r="H44" s="156">
        <v>0</v>
      </c>
      <c r="I44" s="150">
        <v>0</v>
      </c>
      <c r="J44" s="16">
        <v>0</v>
      </c>
      <c r="K44" s="150">
        <v>27108</v>
      </c>
      <c r="L44" s="150">
        <v>55759</v>
      </c>
      <c r="M44" s="150">
        <v>54325</v>
      </c>
      <c r="N44" s="10">
        <v>55042.5</v>
      </c>
      <c r="O44" s="150">
        <v>288638</v>
      </c>
      <c r="P44" s="150">
        <v>1182</v>
      </c>
      <c r="Q44" s="150">
        <v>17565</v>
      </c>
      <c r="R44" s="16">
        <v>1541</v>
      </c>
      <c r="S44" s="16">
        <v>15261</v>
      </c>
      <c r="T44" s="150">
        <v>29569</v>
      </c>
      <c r="U44" s="150">
        <v>29569</v>
      </c>
      <c r="V44" s="150">
        <v>29474</v>
      </c>
      <c r="W44" s="150">
        <v>29538</v>
      </c>
      <c r="X44" s="150">
        <v>29537</v>
      </c>
      <c r="Y44" s="10">
        <v>49238</v>
      </c>
      <c r="Z44" s="16">
        <v>0</v>
      </c>
      <c r="AA44" s="150">
        <v>15623</v>
      </c>
    </row>
    <row r="45" spans="1:27" x14ac:dyDescent="0.35">
      <c r="A45" s="19">
        <v>637</v>
      </c>
      <c r="B45" s="20" t="s">
        <v>95</v>
      </c>
      <c r="C45" s="150">
        <v>738807</v>
      </c>
      <c r="D45" s="150">
        <v>1350093</v>
      </c>
      <c r="E45" s="150">
        <v>1305562</v>
      </c>
      <c r="F45" s="10">
        <v>1827788</v>
      </c>
      <c r="G45" s="10">
        <v>83839</v>
      </c>
      <c r="H45" s="156">
        <v>0</v>
      </c>
      <c r="I45" s="150">
        <v>0</v>
      </c>
      <c r="J45" s="16">
        <v>0</v>
      </c>
      <c r="K45" s="150">
        <v>0</v>
      </c>
      <c r="L45" s="150">
        <v>63725</v>
      </c>
      <c r="M45" s="150">
        <v>62085</v>
      </c>
      <c r="N45" s="10">
        <v>62906</v>
      </c>
      <c r="O45" s="150">
        <v>531272</v>
      </c>
      <c r="P45" s="150">
        <v>2176</v>
      </c>
      <c r="Q45" s="150">
        <v>39845</v>
      </c>
      <c r="R45" s="16">
        <v>3496</v>
      </c>
      <c r="S45" s="16">
        <v>83</v>
      </c>
      <c r="T45" s="150">
        <v>56265</v>
      </c>
      <c r="U45" s="150">
        <v>56265</v>
      </c>
      <c r="V45" s="150">
        <v>56085</v>
      </c>
      <c r="W45" s="150">
        <v>56206</v>
      </c>
      <c r="X45" s="150">
        <v>56205</v>
      </c>
      <c r="Y45" s="10">
        <v>93692</v>
      </c>
      <c r="Z45" s="16">
        <v>0</v>
      </c>
      <c r="AA45" s="150">
        <v>33683</v>
      </c>
    </row>
    <row r="46" spans="1:27" x14ac:dyDescent="0.35">
      <c r="A46" s="19">
        <v>657</v>
      </c>
      <c r="B46" s="20" t="s">
        <v>96</v>
      </c>
      <c r="C46" s="150">
        <v>66983</v>
      </c>
      <c r="D46" s="150">
        <v>12552</v>
      </c>
      <c r="E46" s="150">
        <v>49709</v>
      </c>
      <c r="F46" s="10">
        <v>69594</v>
      </c>
      <c r="G46" s="10">
        <v>3192</v>
      </c>
      <c r="H46" s="156">
        <v>6543</v>
      </c>
      <c r="I46" s="150">
        <v>4089</v>
      </c>
      <c r="J46" s="16">
        <v>5725</v>
      </c>
      <c r="K46" s="150">
        <v>0</v>
      </c>
      <c r="L46" s="150">
        <v>0</v>
      </c>
      <c r="M46" s="150">
        <v>0</v>
      </c>
      <c r="N46" s="10">
        <v>0</v>
      </c>
      <c r="O46" s="150">
        <v>88298</v>
      </c>
      <c r="P46" s="150">
        <v>362</v>
      </c>
      <c r="Q46" s="150">
        <v>4455</v>
      </c>
      <c r="R46" s="16">
        <v>391</v>
      </c>
      <c r="S46" s="16">
        <v>23829</v>
      </c>
      <c r="T46" s="150">
        <v>4765</v>
      </c>
      <c r="U46" s="150">
        <v>3377</v>
      </c>
      <c r="V46" s="150">
        <v>4058</v>
      </c>
      <c r="W46" s="150">
        <v>4066</v>
      </c>
      <c r="X46" s="150">
        <v>4067</v>
      </c>
      <c r="Y46" s="10">
        <v>6779</v>
      </c>
      <c r="Z46" s="16">
        <v>0</v>
      </c>
      <c r="AA46" s="150">
        <v>4373</v>
      </c>
    </row>
    <row r="47" spans="1:27" x14ac:dyDescent="0.35">
      <c r="A47" s="19">
        <v>658</v>
      </c>
      <c r="B47" s="20" t="s">
        <v>97</v>
      </c>
      <c r="C47" s="150">
        <v>915183</v>
      </c>
      <c r="D47" s="150">
        <v>1611374</v>
      </c>
      <c r="E47" s="150">
        <v>1579098</v>
      </c>
      <c r="F47" s="10">
        <v>2210737</v>
      </c>
      <c r="G47" s="10">
        <v>101405</v>
      </c>
      <c r="H47" s="156">
        <v>0</v>
      </c>
      <c r="I47" s="150">
        <v>0</v>
      </c>
      <c r="J47" s="16">
        <v>0</v>
      </c>
      <c r="K47" s="150">
        <v>0</v>
      </c>
      <c r="L47" s="150">
        <v>0</v>
      </c>
      <c r="M47" s="150">
        <v>0</v>
      </c>
      <c r="N47" s="10">
        <v>0</v>
      </c>
      <c r="O47" s="150">
        <v>635152</v>
      </c>
      <c r="P47" s="150">
        <v>2601</v>
      </c>
      <c r="Q47" s="150">
        <v>26425</v>
      </c>
      <c r="R47" s="16">
        <v>2318</v>
      </c>
      <c r="S47" s="16">
        <v>0</v>
      </c>
      <c r="T47" s="150">
        <v>47871</v>
      </c>
      <c r="U47" s="150">
        <v>47870</v>
      </c>
      <c r="V47" s="150">
        <v>47719</v>
      </c>
      <c r="W47" s="150">
        <v>47819</v>
      </c>
      <c r="X47" s="150">
        <v>47820</v>
      </c>
      <c r="Y47" s="10">
        <v>79712</v>
      </c>
      <c r="Z47" s="16">
        <v>0</v>
      </c>
      <c r="AA47" s="150">
        <v>34851</v>
      </c>
    </row>
    <row r="48" spans="1:27" x14ac:dyDescent="0.35">
      <c r="A48" s="19">
        <v>665</v>
      </c>
      <c r="B48" s="20" t="s">
        <v>98</v>
      </c>
      <c r="C48" s="150">
        <v>424952</v>
      </c>
      <c r="D48" s="150">
        <v>1094396</v>
      </c>
      <c r="E48" s="150">
        <v>949593</v>
      </c>
      <c r="F48" s="10">
        <v>1329430</v>
      </c>
      <c r="G48" s="10">
        <v>60980</v>
      </c>
      <c r="H48" s="156">
        <v>0</v>
      </c>
      <c r="I48" s="150">
        <v>0</v>
      </c>
      <c r="J48" s="16">
        <v>0</v>
      </c>
      <c r="K48" s="150">
        <v>0</v>
      </c>
      <c r="L48" s="150">
        <v>0</v>
      </c>
      <c r="M48" s="150">
        <v>0</v>
      </c>
      <c r="N48" s="10">
        <v>0</v>
      </c>
      <c r="O48" s="150">
        <v>550564</v>
      </c>
      <c r="P48" s="150">
        <v>2255</v>
      </c>
      <c r="Q48" s="150">
        <v>20480</v>
      </c>
      <c r="R48" s="16">
        <v>1797</v>
      </c>
      <c r="S48" s="16">
        <v>0</v>
      </c>
      <c r="T48" s="150">
        <v>50291</v>
      </c>
      <c r="U48" s="150">
        <v>50291</v>
      </c>
      <c r="V48" s="150">
        <v>50132</v>
      </c>
      <c r="W48" s="150">
        <v>50237</v>
      </c>
      <c r="X48" s="150">
        <v>50238</v>
      </c>
      <c r="Y48" s="10">
        <v>83744</v>
      </c>
      <c r="Z48" s="16">
        <v>0</v>
      </c>
      <c r="AA48" s="150">
        <v>26305</v>
      </c>
    </row>
    <row r="49" spans="1:27" x14ac:dyDescent="0.35">
      <c r="A49" s="19">
        <v>700</v>
      </c>
      <c r="B49" s="20" t="s">
        <v>99</v>
      </c>
      <c r="C49" s="150">
        <v>1035035</v>
      </c>
      <c r="D49" s="150">
        <v>1746418</v>
      </c>
      <c r="E49" s="150">
        <v>1738408</v>
      </c>
      <c r="F49" s="10">
        <v>2433772</v>
      </c>
      <c r="G49" s="10">
        <v>111635</v>
      </c>
      <c r="H49" s="156">
        <v>0</v>
      </c>
      <c r="I49" s="150">
        <v>0</v>
      </c>
      <c r="J49" s="16">
        <v>0</v>
      </c>
      <c r="K49" s="150">
        <v>0</v>
      </c>
      <c r="L49" s="150">
        <v>0</v>
      </c>
      <c r="M49" s="150">
        <v>0</v>
      </c>
      <c r="N49" s="10">
        <v>0</v>
      </c>
      <c r="O49" s="150">
        <v>741258</v>
      </c>
      <c r="P49" s="150">
        <v>3036</v>
      </c>
      <c r="Q49" s="150">
        <v>14535</v>
      </c>
      <c r="R49" s="16">
        <v>1275</v>
      </c>
      <c r="S49" s="16">
        <v>0</v>
      </c>
      <c r="T49" s="150">
        <v>77795</v>
      </c>
      <c r="U49" s="150">
        <v>77796</v>
      </c>
      <c r="V49" s="150">
        <v>77547</v>
      </c>
      <c r="W49" s="150">
        <v>77712</v>
      </c>
      <c r="X49" s="150">
        <v>77713</v>
      </c>
      <c r="Y49" s="10">
        <v>129544</v>
      </c>
      <c r="Z49" s="16">
        <v>32604</v>
      </c>
      <c r="AA49" s="150">
        <v>46501</v>
      </c>
    </row>
    <row r="50" spans="1:27" x14ac:dyDescent="0.35">
      <c r="A50" s="19">
        <v>721</v>
      </c>
      <c r="B50" s="20" t="s">
        <v>100</v>
      </c>
      <c r="C50" s="150">
        <v>1391379</v>
      </c>
      <c r="D50" s="150">
        <v>2864568</v>
      </c>
      <c r="E50" s="150">
        <v>2659967</v>
      </c>
      <c r="F50" s="10">
        <v>3723953</v>
      </c>
      <c r="G50" s="10">
        <v>170814</v>
      </c>
      <c r="H50" s="156">
        <v>0</v>
      </c>
      <c r="I50" s="150">
        <v>0</v>
      </c>
      <c r="J50" s="16">
        <v>0</v>
      </c>
      <c r="K50" s="150">
        <v>111210</v>
      </c>
      <c r="L50" s="150">
        <v>0</v>
      </c>
      <c r="M50" s="150">
        <v>0</v>
      </c>
      <c r="N50" s="10">
        <v>0</v>
      </c>
      <c r="O50" s="150">
        <v>1216880</v>
      </c>
      <c r="P50" s="150">
        <v>4984</v>
      </c>
      <c r="Q50" s="150">
        <v>17320</v>
      </c>
      <c r="R50" s="16">
        <v>1519</v>
      </c>
      <c r="S50" s="16">
        <v>0</v>
      </c>
      <c r="T50" s="150">
        <v>121536</v>
      </c>
      <c r="U50" s="150">
        <v>121423</v>
      </c>
      <c r="V50" s="150">
        <v>121092</v>
      </c>
      <c r="W50" s="150">
        <v>121350</v>
      </c>
      <c r="X50" s="150">
        <v>121351</v>
      </c>
      <c r="Y50" s="10">
        <v>202284</v>
      </c>
      <c r="Z50" s="16">
        <v>0</v>
      </c>
      <c r="AA50" s="150">
        <v>68367</v>
      </c>
    </row>
    <row r="51" spans="1:27" x14ac:dyDescent="0.35">
      <c r="A51" s="19">
        <v>735</v>
      </c>
      <c r="B51" s="20" t="s">
        <v>101</v>
      </c>
      <c r="C51" s="150">
        <v>347731</v>
      </c>
      <c r="D51" s="150">
        <v>697126</v>
      </c>
      <c r="E51" s="150">
        <v>653036</v>
      </c>
      <c r="F51" s="10">
        <v>914250</v>
      </c>
      <c r="G51" s="10">
        <v>41936</v>
      </c>
      <c r="H51" s="156">
        <v>0</v>
      </c>
      <c r="I51" s="150">
        <v>0</v>
      </c>
      <c r="J51" s="16">
        <v>0</v>
      </c>
      <c r="K51" s="150">
        <v>32332</v>
      </c>
      <c r="L51" s="150">
        <v>66380</v>
      </c>
      <c r="M51" s="150">
        <v>64672</v>
      </c>
      <c r="N51" s="10">
        <v>65527.17</v>
      </c>
      <c r="O51" s="150">
        <v>367290</v>
      </c>
      <c r="P51" s="150">
        <v>1504</v>
      </c>
      <c r="Q51" s="150">
        <v>37200</v>
      </c>
      <c r="R51" s="16">
        <v>3263</v>
      </c>
      <c r="S51" s="16">
        <v>4299</v>
      </c>
      <c r="T51" s="150">
        <v>26824</v>
      </c>
      <c r="U51" s="150">
        <v>26824</v>
      </c>
      <c r="V51" s="150">
        <v>26737</v>
      </c>
      <c r="W51" s="150">
        <v>26795</v>
      </c>
      <c r="X51" s="150">
        <v>26796</v>
      </c>
      <c r="Y51" s="10">
        <v>44667</v>
      </c>
      <c r="Z51" s="16">
        <v>0</v>
      </c>
      <c r="AA51" s="150">
        <v>21565</v>
      </c>
    </row>
    <row r="52" spans="1:27" x14ac:dyDescent="0.35">
      <c r="A52" s="19">
        <v>777</v>
      </c>
      <c r="B52" s="20" t="s">
        <v>102</v>
      </c>
      <c r="C52" s="150">
        <v>2353743</v>
      </c>
      <c r="D52" s="150">
        <v>4436995</v>
      </c>
      <c r="E52" s="150">
        <v>4244211</v>
      </c>
      <c r="F52" s="10">
        <v>5941896</v>
      </c>
      <c r="G52" s="10">
        <v>272550</v>
      </c>
      <c r="H52" s="156">
        <v>0</v>
      </c>
      <c r="I52" s="150">
        <v>0</v>
      </c>
      <c r="J52" s="16">
        <v>0</v>
      </c>
      <c r="K52" s="150">
        <v>0</v>
      </c>
      <c r="L52" s="150">
        <v>0</v>
      </c>
      <c r="M52" s="150">
        <v>0</v>
      </c>
      <c r="N52" s="10">
        <v>0</v>
      </c>
      <c r="O52" s="150">
        <v>2432276</v>
      </c>
      <c r="P52" s="150">
        <v>9961</v>
      </c>
      <c r="Q52" s="150">
        <v>95840</v>
      </c>
      <c r="R52" s="16">
        <v>8408</v>
      </c>
      <c r="S52" s="16">
        <v>0</v>
      </c>
      <c r="T52" s="150">
        <v>281545</v>
      </c>
      <c r="U52" s="150">
        <v>281545</v>
      </c>
      <c r="V52" s="150">
        <v>280647</v>
      </c>
      <c r="W52" s="150">
        <v>281246</v>
      </c>
      <c r="X52" s="150">
        <v>281245</v>
      </c>
      <c r="Y52" s="10">
        <v>468823</v>
      </c>
      <c r="Z52" s="16">
        <v>0</v>
      </c>
      <c r="AA52" s="150">
        <v>149151</v>
      </c>
    </row>
    <row r="53" spans="1:27" x14ac:dyDescent="0.35">
      <c r="A53" s="19">
        <v>840</v>
      </c>
      <c r="B53" s="20" t="s">
        <v>103</v>
      </c>
      <c r="C53" s="150">
        <v>135338</v>
      </c>
      <c r="D53" s="150">
        <v>184959</v>
      </c>
      <c r="E53" s="150">
        <v>200185</v>
      </c>
      <c r="F53" s="10">
        <v>280260</v>
      </c>
      <c r="G53" s="10">
        <v>12855</v>
      </c>
      <c r="H53" s="156">
        <v>0</v>
      </c>
      <c r="I53" s="150">
        <v>0</v>
      </c>
      <c r="J53" s="16">
        <v>0</v>
      </c>
      <c r="K53" s="150">
        <v>0</v>
      </c>
      <c r="L53" s="150">
        <v>21242</v>
      </c>
      <c r="M53" s="150">
        <v>20694</v>
      </c>
      <c r="N53" s="10">
        <v>20969.330000000002</v>
      </c>
      <c r="O53" s="150">
        <v>113526</v>
      </c>
      <c r="P53" s="150">
        <v>465</v>
      </c>
      <c r="Q53" s="150">
        <v>2685</v>
      </c>
      <c r="R53" s="16">
        <v>236</v>
      </c>
      <c r="S53" s="16">
        <v>50516</v>
      </c>
      <c r="T53" s="150">
        <v>15032</v>
      </c>
      <c r="U53" s="150">
        <v>15033</v>
      </c>
      <c r="V53" s="150">
        <v>14984</v>
      </c>
      <c r="W53" s="150">
        <v>15016</v>
      </c>
      <c r="X53" s="150">
        <v>15016</v>
      </c>
      <c r="Y53" s="10">
        <v>25032</v>
      </c>
      <c r="Z53" s="16">
        <v>0</v>
      </c>
      <c r="AA53" s="150">
        <v>7611</v>
      </c>
    </row>
    <row r="54" spans="1:27" x14ac:dyDescent="0.35">
      <c r="A54" s="19">
        <v>870</v>
      </c>
      <c r="B54" s="20" t="s">
        <v>104</v>
      </c>
      <c r="C54" s="150">
        <v>954489</v>
      </c>
      <c r="D54" s="150">
        <v>1641550</v>
      </c>
      <c r="E54" s="150">
        <v>1622524</v>
      </c>
      <c r="F54" s="10">
        <v>2271534</v>
      </c>
      <c r="G54" s="10">
        <v>104193</v>
      </c>
      <c r="H54" s="156">
        <v>0</v>
      </c>
      <c r="I54" s="150">
        <v>0</v>
      </c>
      <c r="J54" s="16">
        <v>0</v>
      </c>
      <c r="K54" s="150">
        <v>0</v>
      </c>
      <c r="L54" s="150">
        <v>86736</v>
      </c>
      <c r="M54" s="150">
        <v>84506</v>
      </c>
      <c r="N54" s="10">
        <v>85621.440000000002</v>
      </c>
      <c r="O54" s="150">
        <v>614376</v>
      </c>
      <c r="P54" s="150">
        <v>2516</v>
      </c>
      <c r="Q54" s="150">
        <v>27360</v>
      </c>
      <c r="R54" s="16">
        <v>2400</v>
      </c>
      <c r="S54" s="16">
        <v>92416</v>
      </c>
      <c r="T54" s="150">
        <v>70889</v>
      </c>
      <c r="U54" s="150">
        <v>70890</v>
      </c>
      <c r="V54" s="150">
        <v>70662</v>
      </c>
      <c r="W54" s="150">
        <v>70814</v>
      </c>
      <c r="X54" s="150">
        <v>70814</v>
      </c>
      <c r="Y54" s="10">
        <v>118044</v>
      </c>
      <c r="Z54" s="16">
        <v>37747</v>
      </c>
      <c r="AA54" s="150">
        <v>31947</v>
      </c>
    </row>
    <row r="55" spans="1:27" x14ac:dyDescent="0.35">
      <c r="A55" s="19">
        <v>882</v>
      </c>
      <c r="B55" s="20" t="s">
        <v>105</v>
      </c>
      <c r="C55" s="150">
        <v>368529</v>
      </c>
      <c r="D55" s="150">
        <v>677381</v>
      </c>
      <c r="E55" s="150">
        <v>653693</v>
      </c>
      <c r="F55" s="10">
        <v>915171</v>
      </c>
      <c r="G55" s="10">
        <v>41978</v>
      </c>
      <c r="H55" s="156">
        <v>0</v>
      </c>
      <c r="I55" s="150">
        <v>0</v>
      </c>
      <c r="J55" s="16">
        <v>0</v>
      </c>
      <c r="K55" s="150">
        <v>25918</v>
      </c>
      <c r="L55" s="150">
        <v>33632</v>
      </c>
      <c r="M55" s="150">
        <v>32768</v>
      </c>
      <c r="N55" s="10">
        <v>33200.11</v>
      </c>
      <c r="O55" s="150">
        <v>276024</v>
      </c>
      <c r="P55" s="150">
        <v>1130</v>
      </c>
      <c r="Q55" s="150">
        <v>8795</v>
      </c>
      <c r="R55" s="16">
        <v>772</v>
      </c>
      <c r="S55" s="16">
        <v>11307</v>
      </c>
      <c r="T55" s="150">
        <v>20953</v>
      </c>
      <c r="U55" s="150">
        <v>20953</v>
      </c>
      <c r="V55" s="150">
        <v>20885</v>
      </c>
      <c r="W55" s="150">
        <v>20931</v>
      </c>
      <c r="X55" s="150">
        <v>20930</v>
      </c>
      <c r="Y55" s="10">
        <v>34888</v>
      </c>
      <c r="Z55" s="16">
        <v>55</v>
      </c>
      <c r="AA55" s="150">
        <v>16724</v>
      </c>
    </row>
    <row r="56" spans="1:27" x14ac:dyDescent="0.35">
      <c r="A56" s="19">
        <v>896</v>
      </c>
      <c r="B56" s="20" t="s">
        <v>106</v>
      </c>
      <c r="C56" s="150">
        <v>550949</v>
      </c>
      <c r="D56" s="150">
        <v>1041417</v>
      </c>
      <c r="E56" s="150">
        <v>995229</v>
      </c>
      <c r="F56" s="10">
        <v>1393321</v>
      </c>
      <c r="G56" s="10">
        <v>63910</v>
      </c>
      <c r="H56" s="156">
        <v>0</v>
      </c>
      <c r="I56" s="150">
        <v>0</v>
      </c>
      <c r="J56" s="16">
        <v>0</v>
      </c>
      <c r="K56" s="150">
        <v>0</v>
      </c>
      <c r="L56" s="150">
        <v>0</v>
      </c>
      <c r="M56" s="150">
        <v>0</v>
      </c>
      <c r="N56" s="10">
        <v>0</v>
      </c>
      <c r="O56" s="150">
        <v>646282</v>
      </c>
      <c r="P56" s="150">
        <v>2647</v>
      </c>
      <c r="Q56" s="150">
        <v>15040</v>
      </c>
      <c r="R56" s="16">
        <v>1319</v>
      </c>
      <c r="S56" s="16">
        <v>0</v>
      </c>
      <c r="T56" s="150">
        <v>82025</v>
      </c>
      <c r="U56" s="150">
        <v>82026</v>
      </c>
      <c r="V56" s="150">
        <v>81763</v>
      </c>
      <c r="W56" s="150">
        <v>81938</v>
      </c>
      <c r="X56" s="150">
        <v>81938</v>
      </c>
      <c r="Y56" s="10">
        <v>136585</v>
      </c>
      <c r="Z56" s="16">
        <v>0</v>
      </c>
      <c r="AA56" s="150">
        <v>34183</v>
      </c>
    </row>
    <row r="57" spans="1:27" x14ac:dyDescent="0.35">
      <c r="A57" s="19">
        <v>903</v>
      </c>
      <c r="B57" s="20" t="s">
        <v>107</v>
      </c>
      <c r="C57" s="150">
        <v>1052909</v>
      </c>
      <c r="D57" s="150">
        <v>1830135</v>
      </c>
      <c r="E57" s="150">
        <v>1801903</v>
      </c>
      <c r="F57" s="10">
        <v>2522664</v>
      </c>
      <c r="G57" s="10">
        <v>115712</v>
      </c>
      <c r="H57" s="156">
        <v>0</v>
      </c>
      <c r="I57" s="150">
        <v>0</v>
      </c>
      <c r="J57" s="16">
        <v>0</v>
      </c>
      <c r="K57" s="150">
        <v>0</v>
      </c>
      <c r="L57" s="150">
        <v>96472</v>
      </c>
      <c r="M57" s="150">
        <v>93992</v>
      </c>
      <c r="N57" s="10">
        <v>95231.05</v>
      </c>
      <c r="O57" s="150">
        <v>664090</v>
      </c>
      <c r="P57" s="150">
        <v>2720</v>
      </c>
      <c r="Q57" s="150">
        <v>26395</v>
      </c>
      <c r="R57" s="16">
        <v>2316</v>
      </c>
      <c r="S57" s="16">
        <v>0</v>
      </c>
      <c r="T57" s="150">
        <v>69895</v>
      </c>
      <c r="U57" s="150">
        <v>69895</v>
      </c>
      <c r="V57" s="150">
        <v>69673</v>
      </c>
      <c r="W57" s="150">
        <v>69821</v>
      </c>
      <c r="X57" s="150">
        <v>69821</v>
      </c>
      <c r="Y57" s="10">
        <v>116386</v>
      </c>
      <c r="Z57" s="16">
        <v>23530</v>
      </c>
      <c r="AA57" s="150">
        <v>33582</v>
      </c>
    </row>
    <row r="58" spans="1:27" x14ac:dyDescent="0.35">
      <c r="A58" s="19">
        <v>910</v>
      </c>
      <c r="B58" s="20" t="s">
        <v>108</v>
      </c>
      <c r="C58" s="150">
        <v>943191</v>
      </c>
      <c r="D58" s="150">
        <v>1668066</v>
      </c>
      <c r="E58" s="150">
        <v>1632035</v>
      </c>
      <c r="F58" s="10">
        <v>2284850</v>
      </c>
      <c r="G58" s="10">
        <v>104804</v>
      </c>
      <c r="H58" s="156">
        <v>0</v>
      </c>
      <c r="I58" s="150">
        <v>0</v>
      </c>
      <c r="J58" s="16">
        <v>0</v>
      </c>
      <c r="K58" s="150">
        <v>0</v>
      </c>
      <c r="L58" s="150">
        <v>0</v>
      </c>
      <c r="M58" s="150">
        <v>0</v>
      </c>
      <c r="N58" s="10">
        <v>0</v>
      </c>
      <c r="O58" s="150">
        <v>986118</v>
      </c>
      <c r="P58" s="150">
        <v>4039</v>
      </c>
      <c r="Q58" s="150">
        <v>71925</v>
      </c>
      <c r="R58" s="16">
        <v>7170</v>
      </c>
      <c r="S58" s="16">
        <v>5581</v>
      </c>
      <c r="T58" s="150">
        <v>89475</v>
      </c>
      <c r="U58" s="150">
        <v>89475</v>
      </c>
      <c r="V58" s="150">
        <v>89189</v>
      </c>
      <c r="W58" s="150">
        <v>89380</v>
      </c>
      <c r="X58" s="150">
        <v>89380</v>
      </c>
      <c r="Y58" s="10">
        <v>148991</v>
      </c>
      <c r="Z58" s="16">
        <v>0</v>
      </c>
      <c r="AA58" s="150">
        <v>70970</v>
      </c>
    </row>
    <row r="59" spans="1:27" x14ac:dyDescent="0.35">
      <c r="A59" s="19">
        <v>980</v>
      </c>
      <c r="B59" s="20" t="s">
        <v>109</v>
      </c>
      <c r="C59" s="150">
        <v>637766</v>
      </c>
      <c r="D59" s="150">
        <v>1159306</v>
      </c>
      <c r="E59" s="150">
        <v>1123170</v>
      </c>
      <c r="F59" s="10">
        <v>1572439</v>
      </c>
      <c r="G59" s="10">
        <v>72126</v>
      </c>
      <c r="H59" s="156">
        <v>0</v>
      </c>
      <c r="I59" s="150">
        <v>0</v>
      </c>
      <c r="J59" s="16">
        <v>0</v>
      </c>
      <c r="K59" s="150">
        <v>0</v>
      </c>
      <c r="L59" s="150">
        <v>57529</v>
      </c>
      <c r="M59" s="150">
        <v>56051</v>
      </c>
      <c r="N59" s="10">
        <v>56788.61</v>
      </c>
      <c r="O59" s="150">
        <v>414036</v>
      </c>
      <c r="P59" s="150">
        <v>1696</v>
      </c>
      <c r="Q59" s="150">
        <v>23110</v>
      </c>
      <c r="R59" s="16">
        <v>2027</v>
      </c>
      <c r="S59" s="16">
        <v>19587</v>
      </c>
      <c r="T59" s="150">
        <v>30221</v>
      </c>
      <c r="U59" s="150">
        <v>30220</v>
      </c>
      <c r="V59" s="150">
        <v>30124</v>
      </c>
      <c r="W59" s="150">
        <v>30189</v>
      </c>
      <c r="X59" s="150">
        <v>30188</v>
      </c>
      <c r="Y59" s="10">
        <v>50321</v>
      </c>
      <c r="Z59" s="16">
        <v>10509</v>
      </c>
      <c r="AA59" s="150">
        <v>60922</v>
      </c>
    </row>
    <row r="60" spans="1:27" x14ac:dyDescent="0.35">
      <c r="A60" s="19">
        <v>994</v>
      </c>
      <c r="B60" s="20" t="s">
        <v>110</v>
      </c>
      <c r="C60" s="150">
        <v>207792</v>
      </c>
      <c r="D60" s="150">
        <v>379457</v>
      </c>
      <c r="E60" s="150">
        <v>367031</v>
      </c>
      <c r="F60" s="10">
        <v>513842</v>
      </c>
      <c r="G60" s="10">
        <v>23570</v>
      </c>
      <c r="H60" s="156">
        <v>0</v>
      </c>
      <c r="I60" s="150">
        <v>0</v>
      </c>
      <c r="J60" s="16">
        <v>0</v>
      </c>
      <c r="K60" s="150">
        <v>15670</v>
      </c>
      <c r="L60" s="150">
        <v>0</v>
      </c>
      <c r="M60" s="150">
        <v>0</v>
      </c>
      <c r="N60" s="10">
        <v>0</v>
      </c>
      <c r="O60" s="150">
        <v>173628</v>
      </c>
      <c r="P60" s="150">
        <v>711</v>
      </c>
      <c r="Q60" s="150">
        <v>6810</v>
      </c>
      <c r="R60" s="16">
        <v>597</v>
      </c>
      <c r="S60" s="16">
        <v>4206</v>
      </c>
      <c r="T60" s="150">
        <v>7760</v>
      </c>
      <c r="U60" s="150">
        <v>7760</v>
      </c>
      <c r="V60" s="150">
        <v>7736</v>
      </c>
      <c r="W60" s="150">
        <v>7751</v>
      </c>
      <c r="X60" s="150">
        <v>7752</v>
      </c>
      <c r="Y60" s="10">
        <v>12921</v>
      </c>
      <c r="Z60" s="16">
        <v>0</v>
      </c>
      <c r="AA60" s="150">
        <v>8613</v>
      </c>
    </row>
    <row r="61" spans="1:27" x14ac:dyDescent="0.35">
      <c r="A61" s="19">
        <v>1029</v>
      </c>
      <c r="B61" s="20" t="s">
        <v>111</v>
      </c>
      <c r="C61" s="150">
        <v>875044</v>
      </c>
      <c r="D61" s="150">
        <v>1522846</v>
      </c>
      <c r="E61" s="150">
        <v>1498681</v>
      </c>
      <c r="F61" s="10">
        <v>2098154</v>
      </c>
      <c r="G61" s="10">
        <v>96240</v>
      </c>
      <c r="H61" s="156">
        <v>0</v>
      </c>
      <c r="I61" s="150">
        <v>0</v>
      </c>
      <c r="J61" s="16">
        <v>0</v>
      </c>
      <c r="K61" s="150">
        <v>0</v>
      </c>
      <c r="L61" s="150">
        <v>0</v>
      </c>
      <c r="M61" s="150">
        <v>0</v>
      </c>
      <c r="N61" s="10">
        <v>0</v>
      </c>
      <c r="O61" s="150">
        <v>730870</v>
      </c>
      <c r="P61" s="150">
        <v>2993</v>
      </c>
      <c r="Q61" s="150">
        <v>29050</v>
      </c>
      <c r="R61" s="16">
        <v>2548</v>
      </c>
      <c r="S61" s="16">
        <v>0</v>
      </c>
      <c r="T61" s="150">
        <v>40014</v>
      </c>
      <c r="U61" s="150">
        <v>40013</v>
      </c>
      <c r="V61" s="150">
        <v>39886</v>
      </c>
      <c r="W61" s="150">
        <v>39971</v>
      </c>
      <c r="X61" s="150">
        <v>39972</v>
      </c>
      <c r="Y61" s="10">
        <v>66629</v>
      </c>
      <c r="Z61" s="16">
        <v>0</v>
      </c>
      <c r="AA61" s="150">
        <v>43430</v>
      </c>
    </row>
    <row r="62" spans="1:27" x14ac:dyDescent="0.35">
      <c r="A62" s="19">
        <v>1015</v>
      </c>
      <c r="B62" s="20" t="s">
        <v>112</v>
      </c>
      <c r="C62" s="150">
        <v>1585805</v>
      </c>
      <c r="D62" s="150">
        <v>3150062</v>
      </c>
      <c r="E62" s="150">
        <v>2959917</v>
      </c>
      <c r="F62" s="10">
        <v>4143883</v>
      </c>
      <c r="G62" s="10">
        <v>190076</v>
      </c>
      <c r="H62" s="156">
        <v>0</v>
      </c>
      <c r="I62" s="150">
        <v>0</v>
      </c>
      <c r="J62" s="16">
        <v>0</v>
      </c>
      <c r="K62" s="150">
        <v>0</v>
      </c>
      <c r="L62" s="150">
        <v>0</v>
      </c>
      <c r="M62" s="150">
        <v>0</v>
      </c>
      <c r="N62" s="10">
        <v>0</v>
      </c>
      <c r="O62" s="150">
        <v>2201514</v>
      </c>
      <c r="P62" s="150">
        <v>9016</v>
      </c>
      <c r="Q62" s="150">
        <v>39285</v>
      </c>
      <c r="R62" s="16">
        <v>3446</v>
      </c>
      <c r="S62" s="16">
        <v>0</v>
      </c>
      <c r="T62" s="150">
        <v>185820</v>
      </c>
      <c r="U62" s="150">
        <v>185819</v>
      </c>
      <c r="V62" s="150">
        <v>185228</v>
      </c>
      <c r="W62" s="150">
        <v>185623</v>
      </c>
      <c r="X62" s="150">
        <v>185622</v>
      </c>
      <c r="Y62" s="10">
        <v>309423</v>
      </c>
      <c r="Z62" s="16">
        <v>5029</v>
      </c>
      <c r="AA62" s="150">
        <v>132761</v>
      </c>
    </row>
    <row r="63" spans="1:27" x14ac:dyDescent="0.35">
      <c r="A63" s="19">
        <v>5054</v>
      </c>
      <c r="B63" s="20" t="s">
        <v>113</v>
      </c>
      <c r="C63" s="150">
        <v>791973</v>
      </c>
      <c r="D63" s="150">
        <v>1120698</v>
      </c>
      <c r="E63" s="150">
        <v>1195420</v>
      </c>
      <c r="F63" s="10">
        <v>1673587</v>
      </c>
      <c r="G63" s="10">
        <v>76766</v>
      </c>
      <c r="H63" s="156">
        <v>0</v>
      </c>
      <c r="I63" s="150">
        <v>0</v>
      </c>
      <c r="J63" s="16">
        <v>0</v>
      </c>
      <c r="K63" s="150">
        <v>0</v>
      </c>
      <c r="L63" s="150">
        <v>0</v>
      </c>
      <c r="M63" s="150">
        <v>0</v>
      </c>
      <c r="N63" s="10">
        <v>0</v>
      </c>
      <c r="O63" s="150">
        <v>824362</v>
      </c>
      <c r="P63" s="150">
        <v>3376</v>
      </c>
      <c r="Q63" s="150">
        <v>32405</v>
      </c>
      <c r="R63" s="16">
        <v>2843</v>
      </c>
      <c r="S63" s="16">
        <v>0</v>
      </c>
      <c r="T63" s="150">
        <v>69008</v>
      </c>
      <c r="U63" s="150">
        <v>69008</v>
      </c>
      <c r="V63" s="150">
        <v>68788</v>
      </c>
      <c r="W63" s="150">
        <v>68934</v>
      </c>
      <c r="X63" s="150">
        <v>68935</v>
      </c>
      <c r="Y63" s="10">
        <v>114911</v>
      </c>
      <c r="Z63" s="16">
        <v>50147</v>
      </c>
      <c r="AA63" s="150">
        <v>67933</v>
      </c>
    </row>
    <row r="64" spans="1:27" x14ac:dyDescent="0.35">
      <c r="A64" s="19">
        <v>1071</v>
      </c>
      <c r="B64" s="20" t="s">
        <v>114</v>
      </c>
      <c r="C64" s="150">
        <v>286495</v>
      </c>
      <c r="D64" s="150">
        <v>585208</v>
      </c>
      <c r="E64" s="150">
        <v>544814</v>
      </c>
      <c r="F64" s="10">
        <v>762741</v>
      </c>
      <c r="G64" s="10">
        <v>34986</v>
      </c>
      <c r="H64" s="156">
        <v>0</v>
      </c>
      <c r="I64" s="150">
        <v>0</v>
      </c>
      <c r="J64" s="16">
        <v>0</v>
      </c>
      <c r="K64" s="150">
        <v>52564</v>
      </c>
      <c r="L64" s="150">
        <v>93817</v>
      </c>
      <c r="M64" s="150">
        <v>91405</v>
      </c>
      <c r="N64" s="10">
        <v>92609.89</v>
      </c>
      <c r="O64" s="150">
        <v>569114</v>
      </c>
      <c r="P64" s="150">
        <v>2331</v>
      </c>
      <c r="Q64" s="150">
        <v>88270</v>
      </c>
      <c r="R64" s="16">
        <v>7744</v>
      </c>
      <c r="S64" s="16">
        <v>75005</v>
      </c>
      <c r="T64" s="150">
        <v>54399</v>
      </c>
      <c r="U64" s="150">
        <v>54400</v>
      </c>
      <c r="V64" s="150">
        <v>54225</v>
      </c>
      <c r="W64" s="150">
        <v>54341</v>
      </c>
      <c r="X64" s="150">
        <v>54341</v>
      </c>
      <c r="Y64" s="10">
        <v>90586</v>
      </c>
      <c r="Z64" s="16">
        <v>0</v>
      </c>
      <c r="AA64" s="150">
        <v>31246</v>
      </c>
    </row>
    <row r="65" spans="1:27" x14ac:dyDescent="0.35">
      <c r="A65" s="19">
        <v>1080</v>
      </c>
      <c r="B65" s="20" t="s">
        <v>115</v>
      </c>
      <c r="C65" s="150">
        <v>244773</v>
      </c>
      <c r="D65" s="150">
        <v>933453</v>
      </c>
      <c r="E65" s="150">
        <v>736391</v>
      </c>
      <c r="F65" s="10">
        <v>1030948</v>
      </c>
      <c r="G65" s="10">
        <v>47289</v>
      </c>
      <c r="H65" s="156">
        <v>0</v>
      </c>
      <c r="I65" s="150">
        <v>0</v>
      </c>
      <c r="J65" s="16">
        <v>0</v>
      </c>
      <c r="K65" s="150">
        <v>68895</v>
      </c>
      <c r="L65" s="150">
        <v>111518</v>
      </c>
      <c r="M65" s="150">
        <v>108650</v>
      </c>
      <c r="N65" s="10">
        <v>110085</v>
      </c>
      <c r="O65" s="150">
        <v>788004</v>
      </c>
      <c r="P65" s="150">
        <v>3227</v>
      </c>
      <c r="Q65" s="150">
        <v>73635</v>
      </c>
      <c r="R65" s="16">
        <v>6460</v>
      </c>
      <c r="S65" s="16">
        <v>346630</v>
      </c>
      <c r="T65" s="150">
        <v>57599</v>
      </c>
      <c r="U65" s="150">
        <v>57599</v>
      </c>
      <c r="V65" s="150">
        <v>57416</v>
      </c>
      <c r="W65" s="150">
        <v>57538</v>
      </c>
      <c r="X65" s="150">
        <v>57538</v>
      </c>
      <c r="Y65" s="10">
        <v>95912</v>
      </c>
      <c r="Z65" s="16">
        <v>0</v>
      </c>
      <c r="AA65" s="150">
        <v>44532</v>
      </c>
    </row>
    <row r="66" spans="1:27" x14ac:dyDescent="0.35">
      <c r="A66" s="19">
        <v>1085</v>
      </c>
      <c r="B66" s="20" t="s">
        <v>116</v>
      </c>
      <c r="C66" s="150">
        <v>963194</v>
      </c>
      <c r="D66" s="150">
        <v>1823268</v>
      </c>
      <c r="E66" s="150">
        <v>1741539</v>
      </c>
      <c r="F66" s="10">
        <v>2438154</v>
      </c>
      <c r="G66" s="10">
        <v>111836</v>
      </c>
      <c r="H66" s="156">
        <v>0</v>
      </c>
      <c r="I66" s="150">
        <v>0</v>
      </c>
      <c r="J66" s="16">
        <v>0</v>
      </c>
      <c r="K66" s="150">
        <v>0</v>
      </c>
      <c r="L66" s="150">
        <v>0</v>
      </c>
      <c r="M66" s="150">
        <v>0</v>
      </c>
      <c r="N66" s="10">
        <v>0</v>
      </c>
      <c r="O66" s="150">
        <v>771680</v>
      </c>
      <c r="P66" s="150">
        <v>3160</v>
      </c>
      <c r="Q66" s="150">
        <v>26700</v>
      </c>
      <c r="R66" s="16">
        <v>2342</v>
      </c>
      <c r="S66" s="16">
        <v>0</v>
      </c>
      <c r="T66" s="150">
        <v>44226</v>
      </c>
      <c r="U66" s="150">
        <v>43731</v>
      </c>
      <c r="V66" s="150">
        <v>43839</v>
      </c>
      <c r="W66" s="150">
        <v>43931</v>
      </c>
      <c r="X66" s="150">
        <v>43932</v>
      </c>
      <c r="Y66" s="10">
        <v>73234</v>
      </c>
      <c r="Z66" s="16">
        <v>0</v>
      </c>
      <c r="AA66" s="150">
        <v>51041</v>
      </c>
    </row>
    <row r="67" spans="1:27" x14ac:dyDescent="0.35">
      <c r="A67" s="19">
        <v>1092</v>
      </c>
      <c r="B67" s="20" t="s">
        <v>117</v>
      </c>
      <c r="C67" s="150">
        <v>4522000</v>
      </c>
      <c r="D67" s="150">
        <v>7591133</v>
      </c>
      <c r="E67" s="150">
        <v>7570708</v>
      </c>
      <c r="F67" s="10">
        <v>10598991</v>
      </c>
      <c r="G67" s="10">
        <v>486166</v>
      </c>
      <c r="H67" s="156">
        <v>0</v>
      </c>
      <c r="I67" s="150">
        <v>0</v>
      </c>
      <c r="J67" s="16">
        <v>0</v>
      </c>
      <c r="K67" s="150">
        <v>0</v>
      </c>
      <c r="L67" s="150">
        <v>0</v>
      </c>
      <c r="M67" s="150">
        <v>0</v>
      </c>
      <c r="N67" s="10">
        <v>0</v>
      </c>
      <c r="O67" s="150">
        <v>3727066</v>
      </c>
      <c r="P67" s="150">
        <v>15264</v>
      </c>
      <c r="Q67" s="150">
        <v>181990</v>
      </c>
      <c r="R67" s="16">
        <v>15966</v>
      </c>
      <c r="S67" s="16">
        <v>0</v>
      </c>
      <c r="T67" s="150">
        <v>332801</v>
      </c>
      <c r="U67" s="150">
        <v>332801</v>
      </c>
      <c r="V67" s="150">
        <v>331739</v>
      </c>
      <c r="W67" s="150">
        <v>332447</v>
      </c>
      <c r="X67" s="150">
        <v>332448</v>
      </c>
      <c r="Y67" s="10">
        <v>554169</v>
      </c>
      <c r="Z67" s="16">
        <v>0</v>
      </c>
      <c r="AA67" s="150">
        <v>257510</v>
      </c>
    </row>
    <row r="68" spans="1:27" x14ac:dyDescent="0.35">
      <c r="A68" s="19">
        <v>1120</v>
      </c>
      <c r="B68" s="20" t="s">
        <v>118</v>
      </c>
      <c r="C68" s="150">
        <v>365290</v>
      </c>
      <c r="D68" s="150">
        <v>650986</v>
      </c>
      <c r="E68" s="150">
        <v>635173</v>
      </c>
      <c r="F68" s="10">
        <v>889241</v>
      </c>
      <c r="G68" s="10">
        <v>40789</v>
      </c>
      <c r="H68" s="156">
        <v>0</v>
      </c>
      <c r="I68" s="150">
        <v>0</v>
      </c>
      <c r="J68" s="16">
        <v>0</v>
      </c>
      <c r="K68" s="150">
        <v>21026</v>
      </c>
      <c r="L68" s="150">
        <v>29207</v>
      </c>
      <c r="M68" s="150">
        <v>28457</v>
      </c>
      <c r="N68" s="10">
        <v>28830.83</v>
      </c>
      <c r="O68" s="150">
        <v>224826</v>
      </c>
      <c r="P68" s="150">
        <v>921</v>
      </c>
      <c r="Q68" s="150">
        <v>6765</v>
      </c>
      <c r="R68" s="16">
        <v>593</v>
      </c>
      <c r="S68" s="16">
        <v>0</v>
      </c>
      <c r="T68" s="150">
        <v>13475</v>
      </c>
      <c r="U68" s="150">
        <v>13476</v>
      </c>
      <c r="V68" s="150">
        <v>13432</v>
      </c>
      <c r="W68" s="150">
        <v>13462</v>
      </c>
      <c r="X68" s="150">
        <v>13461</v>
      </c>
      <c r="Y68" s="10">
        <v>22438</v>
      </c>
      <c r="Z68" s="16">
        <v>0</v>
      </c>
      <c r="AA68" s="150">
        <v>12318</v>
      </c>
    </row>
    <row r="69" spans="1:27" x14ac:dyDescent="0.35">
      <c r="A69" s="19">
        <v>1127</v>
      </c>
      <c r="B69" s="20" t="s">
        <v>119</v>
      </c>
      <c r="C69" s="150">
        <v>700093</v>
      </c>
      <c r="D69" s="150">
        <v>1200810</v>
      </c>
      <c r="E69" s="150">
        <v>1188064</v>
      </c>
      <c r="F69" s="10">
        <v>1663289</v>
      </c>
      <c r="G69" s="10">
        <v>76294</v>
      </c>
      <c r="H69" s="156">
        <v>0</v>
      </c>
      <c r="I69" s="150">
        <v>0</v>
      </c>
      <c r="J69" s="16">
        <v>0</v>
      </c>
      <c r="K69" s="150">
        <v>0</v>
      </c>
      <c r="L69" s="150">
        <v>55759</v>
      </c>
      <c r="M69" s="150">
        <v>54325</v>
      </c>
      <c r="N69" s="10">
        <v>55042.5</v>
      </c>
      <c r="O69" s="150">
        <v>450394</v>
      </c>
      <c r="P69" s="150">
        <v>1845</v>
      </c>
      <c r="Q69" s="150">
        <v>25735</v>
      </c>
      <c r="R69" s="16">
        <v>2258</v>
      </c>
      <c r="S69" s="16">
        <v>22924</v>
      </c>
      <c r="T69" s="150">
        <v>28211</v>
      </c>
      <c r="U69" s="150">
        <v>28212</v>
      </c>
      <c r="V69" s="150">
        <v>28121</v>
      </c>
      <c r="W69" s="150">
        <v>28182</v>
      </c>
      <c r="X69" s="150">
        <v>28181</v>
      </c>
      <c r="Y69" s="10">
        <v>46978</v>
      </c>
      <c r="Z69" s="16">
        <v>0</v>
      </c>
      <c r="AA69" s="150">
        <v>45767</v>
      </c>
    </row>
    <row r="70" spans="1:27" x14ac:dyDescent="0.35">
      <c r="A70" s="19">
        <v>1134</v>
      </c>
      <c r="B70" s="20" t="s">
        <v>120</v>
      </c>
      <c r="C70" s="150">
        <v>1070648</v>
      </c>
      <c r="D70" s="150">
        <v>1756267</v>
      </c>
      <c r="E70" s="150">
        <v>1766822</v>
      </c>
      <c r="F70" s="10">
        <v>2473549</v>
      </c>
      <c r="G70" s="10">
        <v>113460</v>
      </c>
      <c r="H70" s="156">
        <v>0</v>
      </c>
      <c r="I70" s="150">
        <v>0</v>
      </c>
      <c r="J70" s="16">
        <v>0</v>
      </c>
      <c r="K70" s="150">
        <v>0</v>
      </c>
      <c r="L70" s="150">
        <v>0</v>
      </c>
      <c r="M70" s="150">
        <v>0</v>
      </c>
      <c r="N70" s="10">
        <v>0</v>
      </c>
      <c r="O70" s="150">
        <v>728644</v>
      </c>
      <c r="P70" s="150">
        <v>2984</v>
      </c>
      <c r="Q70" s="150">
        <v>21580</v>
      </c>
      <c r="R70" s="16">
        <v>1893</v>
      </c>
      <c r="S70" s="16">
        <v>0</v>
      </c>
      <c r="T70" s="150">
        <v>73265</v>
      </c>
      <c r="U70" s="150">
        <v>73265</v>
      </c>
      <c r="V70" s="150">
        <v>73032</v>
      </c>
      <c r="W70" s="150">
        <v>73187</v>
      </c>
      <c r="X70" s="150">
        <v>73187</v>
      </c>
      <c r="Y70" s="10">
        <v>122000</v>
      </c>
      <c r="Z70" s="16">
        <v>0</v>
      </c>
      <c r="AA70" s="150">
        <v>33516</v>
      </c>
    </row>
    <row r="71" spans="1:27" x14ac:dyDescent="0.35">
      <c r="A71" s="19">
        <v>1141</v>
      </c>
      <c r="B71" s="20" t="s">
        <v>121</v>
      </c>
      <c r="C71" s="150">
        <v>1268363</v>
      </c>
      <c r="D71" s="150">
        <v>2499544</v>
      </c>
      <c r="E71" s="150">
        <v>2354942</v>
      </c>
      <c r="F71" s="10">
        <v>3296918</v>
      </c>
      <c r="G71" s="10">
        <v>151227</v>
      </c>
      <c r="H71" s="156">
        <v>0</v>
      </c>
      <c r="I71" s="150">
        <v>0</v>
      </c>
      <c r="J71" s="16">
        <v>0</v>
      </c>
      <c r="K71" s="150">
        <v>0</v>
      </c>
      <c r="L71" s="150">
        <v>147806</v>
      </c>
      <c r="M71" s="150">
        <v>144004</v>
      </c>
      <c r="N71" s="10">
        <v>145906.28</v>
      </c>
      <c r="O71" s="150">
        <v>916370</v>
      </c>
      <c r="P71" s="150">
        <v>3753</v>
      </c>
      <c r="Q71" s="150">
        <v>34540</v>
      </c>
      <c r="R71" s="16">
        <v>3030</v>
      </c>
      <c r="S71" s="16">
        <v>0</v>
      </c>
      <c r="T71" s="150">
        <v>121125</v>
      </c>
      <c r="U71" s="150">
        <v>121126</v>
      </c>
      <c r="V71" s="150">
        <v>120738</v>
      </c>
      <c r="W71" s="150">
        <v>120997</v>
      </c>
      <c r="X71" s="150">
        <v>120996</v>
      </c>
      <c r="Y71" s="10">
        <v>201697</v>
      </c>
      <c r="Z71" s="16">
        <v>33508</v>
      </c>
      <c r="AA71" s="150">
        <v>64428</v>
      </c>
    </row>
    <row r="72" spans="1:27" x14ac:dyDescent="0.35">
      <c r="A72" s="19">
        <v>1155</v>
      </c>
      <c r="B72" s="20" t="s">
        <v>122</v>
      </c>
      <c r="C72" s="150">
        <v>406378</v>
      </c>
      <c r="D72" s="150">
        <v>694192</v>
      </c>
      <c r="E72" s="150">
        <v>687856</v>
      </c>
      <c r="F72" s="10">
        <v>962999</v>
      </c>
      <c r="G72" s="10">
        <v>44172</v>
      </c>
      <c r="H72" s="156">
        <v>0</v>
      </c>
      <c r="I72" s="150">
        <v>0</v>
      </c>
      <c r="J72" s="16">
        <v>0</v>
      </c>
      <c r="K72" s="150">
        <v>0</v>
      </c>
      <c r="L72" s="150">
        <v>44253</v>
      </c>
      <c r="M72" s="150">
        <v>43115</v>
      </c>
      <c r="N72" s="10">
        <v>43684.78</v>
      </c>
      <c r="O72" s="150">
        <v>430360</v>
      </c>
      <c r="P72" s="150">
        <v>1763</v>
      </c>
      <c r="Q72" s="150">
        <v>68105</v>
      </c>
      <c r="R72" s="16">
        <v>5975</v>
      </c>
      <c r="S72" s="16">
        <v>171451</v>
      </c>
      <c r="T72" s="150">
        <v>21641</v>
      </c>
      <c r="U72" s="150">
        <v>21641</v>
      </c>
      <c r="V72" s="150">
        <v>21572</v>
      </c>
      <c r="W72" s="150">
        <v>21618</v>
      </c>
      <c r="X72" s="150">
        <v>21618</v>
      </c>
      <c r="Y72" s="10">
        <v>36035</v>
      </c>
      <c r="Z72" s="16">
        <v>8706</v>
      </c>
      <c r="AA72" s="150">
        <v>28675</v>
      </c>
    </row>
    <row r="73" spans="1:27" x14ac:dyDescent="0.35">
      <c r="A73" s="19">
        <v>1162</v>
      </c>
      <c r="B73" s="20" t="s">
        <v>123</v>
      </c>
      <c r="C73" s="150">
        <v>1073482</v>
      </c>
      <c r="D73" s="150">
        <v>1859172</v>
      </c>
      <c r="E73" s="150">
        <v>1832909</v>
      </c>
      <c r="F73" s="10">
        <v>2566072</v>
      </c>
      <c r="G73" s="10">
        <v>117703</v>
      </c>
      <c r="H73" s="156">
        <v>0</v>
      </c>
      <c r="I73" s="150">
        <v>0</v>
      </c>
      <c r="J73" s="16">
        <v>0</v>
      </c>
      <c r="K73" s="150">
        <v>66647</v>
      </c>
      <c r="L73" s="150">
        <v>119484</v>
      </c>
      <c r="M73" s="150">
        <v>116412</v>
      </c>
      <c r="N73" s="10">
        <v>117946.5</v>
      </c>
      <c r="O73" s="150">
        <v>722708</v>
      </c>
      <c r="P73" s="150">
        <v>2960</v>
      </c>
      <c r="Q73" s="150">
        <v>41670</v>
      </c>
      <c r="R73" s="16">
        <v>3656</v>
      </c>
      <c r="S73" s="16">
        <v>32664</v>
      </c>
      <c r="T73" s="150">
        <v>60383</v>
      </c>
      <c r="U73" s="150">
        <v>60382</v>
      </c>
      <c r="V73" s="150">
        <v>60189</v>
      </c>
      <c r="W73" s="150">
        <v>60317</v>
      </c>
      <c r="X73" s="150">
        <v>60318</v>
      </c>
      <c r="Y73" s="10">
        <v>100547</v>
      </c>
      <c r="Z73" s="16">
        <v>0</v>
      </c>
      <c r="AA73" s="150">
        <v>51375</v>
      </c>
    </row>
    <row r="74" spans="1:27" x14ac:dyDescent="0.35">
      <c r="A74" s="19">
        <v>1169</v>
      </c>
      <c r="B74" s="20" t="s">
        <v>124</v>
      </c>
      <c r="C74" s="150">
        <v>499776</v>
      </c>
      <c r="D74" s="150">
        <v>969560</v>
      </c>
      <c r="E74" s="150">
        <v>918335</v>
      </c>
      <c r="F74" s="10">
        <v>1285669</v>
      </c>
      <c r="G74" s="10">
        <v>58973</v>
      </c>
      <c r="H74" s="156">
        <v>0</v>
      </c>
      <c r="I74" s="150">
        <v>0</v>
      </c>
      <c r="J74" s="16">
        <v>0</v>
      </c>
      <c r="K74" s="150">
        <v>0</v>
      </c>
      <c r="L74" s="150">
        <v>71690</v>
      </c>
      <c r="M74" s="150">
        <v>106542</v>
      </c>
      <c r="N74" s="10">
        <v>89115.67</v>
      </c>
      <c r="O74" s="150">
        <v>510496</v>
      </c>
      <c r="P74" s="150">
        <v>2091</v>
      </c>
      <c r="Q74" s="150">
        <v>61225</v>
      </c>
      <c r="R74" s="16">
        <v>5371</v>
      </c>
      <c r="S74" s="16">
        <v>52889</v>
      </c>
      <c r="T74" s="150">
        <v>26945</v>
      </c>
      <c r="U74" s="150">
        <v>26944</v>
      </c>
      <c r="V74" s="150">
        <v>26860</v>
      </c>
      <c r="W74" s="150">
        <v>26916</v>
      </c>
      <c r="X74" s="150">
        <v>26917</v>
      </c>
      <c r="Y74" s="10">
        <v>44866</v>
      </c>
      <c r="Z74" s="16">
        <v>6332</v>
      </c>
      <c r="AA74" s="150">
        <v>32414</v>
      </c>
    </row>
    <row r="75" spans="1:27" x14ac:dyDescent="0.35">
      <c r="A75" s="19">
        <v>1176</v>
      </c>
      <c r="B75" s="20" t="s">
        <v>125</v>
      </c>
      <c r="C75" s="150">
        <v>820099</v>
      </c>
      <c r="D75" s="150">
        <v>1406598</v>
      </c>
      <c r="E75" s="150">
        <v>1391686</v>
      </c>
      <c r="F75" s="10">
        <v>1948359</v>
      </c>
      <c r="G75" s="10">
        <v>89370</v>
      </c>
      <c r="H75" s="156">
        <v>0</v>
      </c>
      <c r="I75" s="150">
        <v>0</v>
      </c>
      <c r="J75" s="16">
        <v>0</v>
      </c>
      <c r="K75" s="150">
        <v>0</v>
      </c>
      <c r="L75" s="150">
        <v>0</v>
      </c>
      <c r="M75" s="150">
        <v>0</v>
      </c>
      <c r="N75" s="10">
        <v>0</v>
      </c>
      <c r="O75" s="150">
        <v>582470</v>
      </c>
      <c r="P75" s="150">
        <v>2386</v>
      </c>
      <c r="Q75" s="150">
        <v>54135</v>
      </c>
      <c r="R75" s="16">
        <v>4749</v>
      </c>
      <c r="S75" s="16">
        <v>4230</v>
      </c>
      <c r="T75" s="150">
        <v>38069</v>
      </c>
      <c r="U75" s="150">
        <v>38068</v>
      </c>
      <c r="V75" s="150">
        <v>37946</v>
      </c>
      <c r="W75" s="150">
        <v>38028</v>
      </c>
      <c r="X75" s="150">
        <v>38028</v>
      </c>
      <c r="Y75" s="10">
        <v>63392</v>
      </c>
      <c r="Z75" s="16">
        <v>0</v>
      </c>
      <c r="AA75" s="150">
        <v>34217</v>
      </c>
    </row>
    <row r="76" spans="1:27" x14ac:dyDescent="0.35">
      <c r="A76" s="19">
        <v>1183</v>
      </c>
      <c r="B76" s="20" t="s">
        <v>126</v>
      </c>
      <c r="C76" s="150">
        <v>1037845</v>
      </c>
      <c r="D76" s="150">
        <v>1815868</v>
      </c>
      <c r="E76" s="150">
        <v>1783571</v>
      </c>
      <c r="F76" s="10">
        <v>2496999</v>
      </c>
      <c r="G76" s="10">
        <v>114535</v>
      </c>
      <c r="H76" s="156">
        <v>0</v>
      </c>
      <c r="I76" s="150">
        <v>0</v>
      </c>
      <c r="J76" s="16">
        <v>0</v>
      </c>
      <c r="K76" s="150">
        <v>0</v>
      </c>
      <c r="L76" s="150">
        <v>0</v>
      </c>
      <c r="M76" s="150">
        <v>0</v>
      </c>
      <c r="N76" s="10">
        <v>0</v>
      </c>
      <c r="O76" s="150">
        <v>921564</v>
      </c>
      <c r="P76" s="150">
        <v>3774</v>
      </c>
      <c r="Q76" s="150">
        <v>20305</v>
      </c>
      <c r="R76" s="16">
        <v>1781</v>
      </c>
      <c r="S76" s="16">
        <v>0</v>
      </c>
      <c r="T76" s="150">
        <v>104324</v>
      </c>
      <c r="U76" s="150">
        <v>104325</v>
      </c>
      <c r="V76" s="150">
        <v>103991</v>
      </c>
      <c r="W76" s="150">
        <v>104214</v>
      </c>
      <c r="X76" s="150">
        <v>104213</v>
      </c>
      <c r="Y76" s="10">
        <v>173719</v>
      </c>
      <c r="Z76" s="16">
        <v>19463</v>
      </c>
      <c r="AA76" s="150">
        <v>62191</v>
      </c>
    </row>
    <row r="77" spans="1:27" x14ac:dyDescent="0.35">
      <c r="A77" s="19">
        <v>1204</v>
      </c>
      <c r="B77" s="20" t="s">
        <v>127</v>
      </c>
      <c r="C77" s="150">
        <v>434330</v>
      </c>
      <c r="D77" s="150">
        <v>713296</v>
      </c>
      <c r="E77" s="150">
        <v>717266</v>
      </c>
      <c r="F77" s="10">
        <v>1004172</v>
      </c>
      <c r="G77" s="10">
        <v>46061</v>
      </c>
      <c r="H77" s="156">
        <v>0</v>
      </c>
      <c r="I77" s="150">
        <v>0</v>
      </c>
      <c r="J77" s="16">
        <v>0</v>
      </c>
      <c r="K77" s="150">
        <v>29621</v>
      </c>
      <c r="L77" s="150">
        <v>67265</v>
      </c>
      <c r="M77" s="150">
        <v>65535</v>
      </c>
      <c r="N77" s="10">
        <v>66400.22</v>
      </c>
      <c r="O77" s="150">
        <v>315350</v>
      </c>
      <c r="P77" s="150">
        <v>1292</v>
      </c>
      <c r="Q77" s="150">
        <v>13300</v>
      </c>
      <c r="R77" s="16">
        <v>1167</v>
      </c>
      <c r="S77" s="16">
        <v>44805</v>
      </c>
      <c r="T77" s="150">
        <v>33710</v>
      </c>
      <c r="U77" s="150">
        <v>33709</v>
      </c>
      <c r="V77" s="150">
        <v>33602</v>
      </c>
      <c r="W77" s="150">
        <v>33674</v>
      </c>
      <c r="X77" s="150">
        <v>33673</v>
      </c>
      <c r="Y77" s="10">
        <v>56133</v>
      </c>
      <c r="Z77" s="16">
        <v>0</v>
      </c>
      <c r="AA77" s="150">
        <v>21398</v>
      </c>
    </row>
    <row r="78" spans="1:27" x14ac:dyDescent="0.35">
      <c r="A78" s="19">
        <v>1218</v>
      </c>
      <c r="B78" s="20" t="s">
        <v>128</v>
      </c>
      <c r="C78" s="150">
        <v>426420</v>
      </c>
      <c r="D78" s="150">
        <v>965426</v>
      </c>
      <c r="E78" s="150">
        <v>869904</v>
      </c>
      <c r="F78" s="10">
        <v>1217866</v>
      </c>
      <c r="G78" s="10">
        <v>55862</v>
      </c>
      <c r="H78" s="156">
        <v>0</v>
      </c>
      <c r="I78" s="150">
        <v>0</v>
      </c>
      <c r="J78" s="16">
        <v>0</v>
      </c>
      <c r="K78" s="150">
        <v>0</v>
      </c>
      <c r="L78" s="150">
        <v>0</v>
      </c>
      <c r="M78" s="150">
        <v>0</v>
      </c>
      <c r="N78" s="10">
        <v>0</v>
      </c>
      <c r="O78" s="150">
        <v>664832</v>
      </c>
      <c r="P78" s="150">
        <v>2723</v>
      </c>
      <c r="Q78" s="150">
        <v>38060</v>
      </c>
      <c r="R78" s="16">
        <v>451</v>
      </c>
      <c r="S78" s="16">
        <v>0</v>
      </c>
      <c r="T78" s="150">
        <v>77843</v>
      </c>
      <c r="U78" s="150">
        <v>77844</v>
      </c>
      <c r="V78" s="150">
        <v>77593</v>
      </c>
      <c r="W78" s="150">
        <v>77761</v>
      </c>
      <c r="X78" s="150">
        <v>77760</v>
      </c>
      <c r="Y78" s="10">
        <v>129622</v>
      </c>
      <c r="Z78" s="16">
        <v>0</v>
      </c>
      <c r="AA78" s="150">
        <v>38490</v>
      </c>
    </row>
    <row r="79" spans="1:27" x14ac:dyDescent="0.35">
      <c r="A79" s="19">
        <v>1232</v>
      </c>
      <c r="B79" s="20" t="s">
        <v>129</v>
      </c>
      <c r="C79" s="150">
        <v>130483</v>
      </c>
      <c r="D79" s="150">
        <v>407525</v>
      </c>
      <c r="E79" s="150">
        <v>336255</v>
      </c>
      <c r="F79" s="10">
        <v>470757</v>
      </c>
      <c r="G79" s="10">
        <v>21593</v>
      </c>
      <c r="H79" s="156">
        <v>0</v>
      </c>
      <c r="I79" s="150">
        <v>0</v>
      </c>
      <c r="J79" s="16">
        <v>0</v>
      </c>
      <c r="K79" s="150">
        <v>0</v>
      </c>
      <c r="L79" s="150">
        <v>0</v>
      </c>
      <c r="M79" s="150">
        <v>0</v>
      </c>
      <c r="N79" s="10">
        <v>0</v>
      </c>
      <c r="O79" s="150">
        <v>565404</v>
      </c>
      <c r="P79" s="150">
        <v>2316</v>
      </c>
      <c r="Q79" s="150">
        <v>55595</v>
      </c>
      <c r="R79" s="16">
        <v>4877</v>
      </c>
      <c r="S79" s="16">
        <v>0</v>
      </c>
      <c r="T79" s="150">
        <v>32083</v>
      </c>
      <c r="U79" s="150">
        <v>32083</v>
      </c>
      <c r="V79" s="150">
        <v>31981</v>
      </c>
      <c r="W79" s="150">
        <v>32050</v>
      </c>
      <c r="X79" s="150">
        <v>32049</v>
      </c>
      <c r="Y79" s="10">
        <v>53425</v>
      </c>
      <c r="Z79" s="16">
        <v>0</v>
      </c>
      <c r="AA79" s="150">
        <v>31980</v>
      </c>
    </row>
    <row r="80" spans="1:27" x14ac:dyDescent="0.35">
      <c r="A80" s="19">
        <v>1246</v>
      </c>
      <c r="B80" s="20" t="s">
        <v>130</v>
      </c>
      <c r="C80" s="150">
        <v>604676</v>
      </c>
      <c r="D80" s="150">
        <v>1049235</v>
      </c>
      <c r="E80" s="150">
        <v>1033695</v>
      </c>
      <c r="F80" s="10">
        <v>1447172</v>
      </c>
      <c r="G80" s="10">
        <v>66381</v>
      </c>
      <c r="H80" s="156">
        <v>0</v>
      </c>
      <c r="I80" s="150">
        <v>0</v>
      </c>
      <c r="J80" s="16">
        <v>0</v>
      </c>
      <c r="K80" s="150">
        <v>0</v>
      </c>
      <c r="L80" s="150">
        <v>0</v>
      </c>
      <c r="M80" s="150">
        <v>0</v>
      </c>
      <c r="N80" s="10">
        <v>0</v>
      </c>
      <c r="O80" s="150">
        <v>463750</v>
      </c>
      <c r="P80" s="150">
        <v>1899</v>
      </c>
      <c r="Q80" s="150">
        <v>35580</v>
      </c>
      <c r="R80" s="16">
        <v>3121</v>
      </c>
      <c r="S80" s="16">
        <v>0</v>
      </c>
      <c r="T80" s="150">
        <v>64518</v>
      </c>
      <c r="U80" s="150">
        <v>64518</v>
      </c>
      <c r="V80" s="150">
        <v>64313</v>
      </c>
      <c r="W80" s="150">
        <v>64449</v>
      </c>
      <c r="X80" s="150">
        <v>64450</v>
      </c>
      <c r="Y80" s="10">
        <v>107432</v>
      </c>
      <c r="Z80" s="16">
        <v>4652</v>
      </c>
      <c r="AA80" s="150">
        <v>33382</v>
      </c>
    </row>
    <row r="81" spans="1:27" x14ac:dyDescent="0.35">
      <c r="A81" s="19">
        <v>1253</v>
      </c>
      <c r="B81" s="20" t="s">
        <v>131</v>
      </c>
      <c r="C81" s="150">
        <v>2821248</v>
      </c>
      <c r="D81" s="150">
        <v>5092669</v>
      </c>
      <c r="E81" s="150">
        <v>4946198</v>
      </c>
      <c r="F81" s="10">
        <v>6924677</v>
      </c>
      <c r="G81" s="10">
        <v>317629</v>
      </c>
      <c r="H81" s="156">
        <v>0</v>
      </c>
      <c r="I81" s="150">
        <v>0</v>
      </c>
      <c r="J81" s="16">
        <v>0</v>
      </c>
      <c r="K81" s="150">
        <v>162320</v>
      </c>
      <c r="L81" s="150">
        <v>154001</v>
      </c>
      <c r="M81" s="150">
        <v>150041</v>
      </c>
      <c r="N81" s="10">
        <v>152021.66</v>
      </c>
      <c r="O81" s="150">
        <v>1732570</v>
      </c>
      <c r="P81" s="150">
        <v>7096</v>
      </c>
      <c r="Q81" s="150">
        <v>0</v>
      </c>
      <c r="R81" s="16">
        <v>0</v>
      </c>
      <c r="S81" s="16">
        <v>0</v>
      </c>
      <c r="T81" s="150">
        <v>221105</v>
      </c>
      <c r="U81" s="150">
        <v>221104</v>
      </c>
      <c r="V81" s="150">
        <v>220400</v>
      </c>
      <c r="W81" s="150">
        <v>220870</v>
      </c>
      <c r="X81" s="150">
        <v>220870</v>
      </c>
      <c r="Y81" s="10">
        <v>368177</v>
      </c>
      <c r="Z81" s="16">
        <v>0</v>
      </c>
      <c r="AA81" s="150">
        <v>111597</v>
      </c>
    </row>
    <row r="82" spans="1:27" x14ac:dyDescent="0.35">
      <c r="A82" s="19">
        <v>1260</v>
      </c>
      <c r="B82" s="20" t="s">
        <v>132</v>
      </c>
      <c r="C82" s="150">
        <v>589028</v>
      </c>
      <c r="D82" s="150">
        <v>1145270</v>
      </c>
      <c r="E82" s="150">
        <v>1083936</v>
      </c>
      <c r="F82" s="10">
        <v>1517510</v>
      </c>
      <c r="G82" s="10">
        <v>69607</v>
      </c>
      <c r="H82" s="156">
        <v>0</v>
      </c>
      <c r="I82" s="150">
        <v>0</v>
      </c>
      <c r="J82" s="16">
        <v>0</v>
      </c>
      <c r="K82" s="150">
        <v>0</v>
      </c>
      <c r="L82" s="150">
        <v>108863</v>
      </c>
      <c r="M82" s="150">
        <v>106063</v>
      </c>
      <c r="N82" s="10">
        <v>107463.83</v>
      </c>
      <c r="O82" s="150">
        <v>674478</v>
      </c>
      <c r="P82" s="150">
        <v>2762</v>
      </c>
      <c r="Q82" s="150">
        <v>49335</v>
      </c>
      <c r="R82" s="16">
        <v>4328</v>
      </c>
      <c r="S82" s="16">
        <v>70921</v>
      </c>
      <c r="T82" s="150">
        <v>72674</v>
      </c>
      <c r="U82" s="150">
        <v>72674</v>
      </c>
      <c r="V82" s="150">
        <v>72443</v>
      </c>
      <c r="W82" s="150">
        <v>72597</v>
      </c>
      <c r="X82" s="150">
        <v>72597</v>
      </c>
      <c r="Y82" s="10">
        <v>121014</v>
      </c>
      <c r="Z82" s="16">
        <v>0</v>
      </c>
      <c r="AA82" s="150">
        <v>36086</v>
      </c>
    </row>
    <row r="83" spans="1:27" x14ac:dyDescent="0.35">
      <c r="A83" s="19">
        <v>4970</v>
      </c>
      <c r="B83" s="20" t="s">
        <v>133</v>
      </c>
      <c r="C83" s="150">
        <v>6130156</v>
      </c>
      <c r="D83" s="150">
        <v>11236567</v>
      </c>
      <c r="E83" s="150">
        <v>10854202</v>
      </c>
      <c r="F83" s="10">
        <v>15195883</v>
      </c>
      <c r="G83" s="10">
        <v>697022</v>
      </c>
      <c r="H83" s="156">
        <v>0</v>
      </c>
      <c r="I83" s="150">
        <v>0</v>
      </c>
      <c r="J83" s="16">
        <v>0</v>
      </c>
      <c r="K83" s="150">
        <v>0</v>
      </c>
      <c r="L83" s="150">
        <v>0</v>
      </c>
      <c r="M83" s="150">
        <v>0</v>
      </c>
      <c r="N83" s="10">
        <v>0</v>
      </c>
      <c r="O83" s="150">
        <v>4326602</v>
      </c>
      <c r="P83" s="150">
        <v>17720</v>
      </c>
      <c r="Q83" s="150">
        <v>241440</v>
      </c>
      <c r="R83" s="16">
        <v>21181</v>
      </c>
      <c r="S83" s="16">
        <v>0</v>
      </c>
      <c r="T83" s="150">
        <v>398511</v>
      </c>
      <c r="U83" s="150">
        <v>398511</v>
      </c>
      <c r="V83" s="150">
        <v>397239</v>
      </c>
      <c r="W83" s="150">
        <v>398087</v>
      </c>
      <c r="X83" s="150">
        <v>398088</v>
      </c>
      <c r="Y83" s="10">
        <v>663589</v>
      </c>
      <c r="Z83" s="16">
        <v>111793</v>
      </c>
      <c r="AA83" s="150">
        <v>259880</v>
      </c>
    </row>
    <row r="84" spans="1:27" x14ac:dyDescent="0.35">
      <c r="A84" s="19">
        <v>1295</v>
      </c>
      <c r="B84" s="20" t="s">
        <v>134</v>
      </c>
      <c r="C84" s="150">
        <v>943736</v>
      </c>
      <c r="D84" s="150">
        <v>1778423</v>
      </c>
      <c r="E84" s="150">
        <v>1701349</v>
      </c>
      <c r="F84" s="10">
        <v>2381889</v>
      </c>
      <c r="G84" s="10">
        <v>109255</v>
      </c>
      <c r="H84" s="156">
        <v>0</v>
      </c>
      <c r="I84" s="150">
        <v>0</v>
      </c>
      <c r="J84" s="16">
        <v>0</v>
      </c>
      <c r="K84" s="150">
        <v>0</v>
      </c>
      <c r="L84" s="150">
        <v>0</v>
      </c>
      <c r="M84" s="150">
        <v>0</v>
      </c>
      <c r="N84" s="10">
        <v>0</v>
      </c>
      <c r="O84" s="150">
        <v>631442</v>
      </c>
      <c r="P84" s="150">
        <v>2586</v>
      </c>
      <c r="Q84" s="150">
        <v>24745</v>
      </c>
      <c r="R84" s="16">
        <v>2171</v>
      </c>
      <c r="S84" s="16">
        <v>0</v>
      </c>
      <c r="T84" s="150">
        <v>45297</v>
      </c>
      <c r="U84" s="150">
        <v>45298</v>
      </c>
      <c r="V84" s="150">
        <v>45152</v>
      </c>
      <c r="W84" s="150">
        <v>45250</v>
      </c>
      <c r="X84" s="150">
        <v>45249</v>
      </c>
      <c r="Y84" s="10">
        <v>75427</v>
      </c>
      <c r="Z84" s="16">
        <v>17478</v>
      </c>
      <c r="AA84" s="150">
        <v>31780</v>
      </c>
    </row>
    <row r="85" spans="1:27" x14ac:dyDescent="0.35">
      <c r="A85" s="19">
        <v>1309</v>
      </c>
      <c r="B85" s="20" t="s">
        <v>135</v>
      </c>
      <c r="C85" s="150">
        <v>722952</v>
      </c>
      <c r="D85" s="150">
        <v>1204052</v>
      </c>
      <c r="E85" s="150">
        <v>1204378</v>
      </c>
      <c r="F85" s="10">
        <v>1686129</v>
      </c>
      <c r="G85" s="10">
        <v>77341</v>
      </c>
      <c r="H85" s="156">
        <v>0</v>
      </c>
      <c r="I85" s="150">
        <v>0</v>
      </c>
      <c r="J85" s="16">
        <v>0</v>
      </c>
      <c r="K85" s="150">
        <v>0</v>
      </c>
      <c r="L85" s="150">
        <v>0</v>
      </c>
      <c r="M85" s="150">
        <v>0</v>
      </c>
      <c r="N85" s="10">
        <v>0</v>
      </c>
      <c r="O85" s="150">
        <v>566146</v>
      </c>
      <c r="P85" s="150">
        <v>2319</v>
      </c>
      <c r="Q85" s="150">
        <v>7390</v>
      </c>
      <c r="R85" s="16">
        <v>648</v>
      </c>
      <c r="S85" s="16">
        <v>0</v>
      </c>
      <c r="T85" s="150">
        <v>65905</v>
      </c>
      <c r="U85" s="150">
        <v>65905</v>
      </c>
      <c r="V85" s="150">
        <v>65694</v>
      </c>
      <c r="W85" s="150">
        <v>65835</v>
      </c>
      <c r="X85" s="150">
        <v>65835</v>
      </c>
      <c r="Y85" s="10">
        <v>109743</v>
      </c>
      <c r="Z85" s="16">
        <v>5455</v>
      </c>
      <c r="AA85" s="150">
        <v>29643</v>
      </c>
    </row>
    <row r="86" spans="1:27" x14ac:dyDescent="0.35">
      <c r="A86" s="19">
        <v>1316</v>
      </c>
      <c r="B86" s="20" t="s">
        <v>136</v>
      </c>
      <c r="C86" s="150">
        <v>2384456</v>
      </c>
      <c r="D86" s="150">
        <v>4354998</v>
      </c>
      <c r="E86" s="150">
        <v>4212159</v>
      </c>
      <c r="F86" s="10">
        <v>5897023</v>
      </c>
      <c r="G86" s="10">
        <v>270491</v>
      </c>
      <c r="H86" s="156">
        <v>0</v>
      </c>
      <c r="I86" s="150">
        <v>0</v>
      </c>
      <c r="J86" s="16">
        <v>0</v>
      </c>
      <c r="K86" s="150">
        <v>0</v>
      </c>
      <c r="L86" s="150">
        <v>0</v>
      </c>
      <c r="M86" s="150">
        <v>0</v>
      </c>
      <c r="N86" s="10">
        <v>0</v>
      </c>
      <c r="O86" s="150">
        <v>2817374</v>
      </c>
      <c r="P86" s="150">
        <v>11539</v>
      </c>
      <c r="Q86" s="150">
        <v>67195</v>
      </c>
      <c r="R86" s="16">
        <v>5895</v>
      </c>
      <c r="S86" s="16">
        <v>0</v>
      </c>
      <c r="T86" s="150">
        <v>284745</v>
      </c>
      <c r="U86" s="150">
        <v>284745</v>
      </c>
      <c r="V86" s="150">
        <v>283836</v>
      </c>
      <c r="W86" s="150">
        <v>284443</v>
      </c>
      <c r="X86" s="150">
        <v>284442</v>
      </c>
      <c r="Y86" s="10">
        <v>474149</v>
      </c>
      <c r="Z86" s="16">
        <v>127041</v>
      </c>
      <c r="AA86" s="150">
        <v>156929</v>
      </c>
    </row>
    <row r="87" spans="1:27" x14ac:dyDescent="0.35">
      <c r="A87" s="19">
        <v>1380</v>
      </c>
      <c r="B87" s="20" t="s">
        <v>137</v>
      </c>
      <c r="C87" s="150">
        <v>1692565</v>
      </c>
      <c r="D87" s="150">
        <v>2949432</v>
      </c>
      <c r="E87" s="150">
        <v>2901248</v>
      </c>
      <c r="F87" s="10">
        <v>4061747</v>
      </c>
      <c r="G87" s="10">
        <v>186309</v>
      </c>
      <c r="H87" s="156">
        <v>0</v>
      </c>
      <c r="I87" s="150">
        <v>0</v>
      </c>
      <c r="J87" s="16">
        <v>0</v>
      </c>
      <c r="K87" s="150">
        <v>167278</v>
      </c>
      <c r="L87" s="150">
        <v>0</v>
      </c>
      <c r="M87" s="150">
        <v>0</v>
      </c>
      <c r="N87" s="10">
        <v>0</v>
      </c>
      <c r="O87" s="150">
        <v>1837192</v>
      </c>
      <c r="P87" s="150">
        <v>7524</v>
      </c>
      <c r="Q87" s="150">
        <v>44185</v>
      </c>
      <c r="R87" s="16">
        <v>3876</v>
      </c>
      <c r="S87" s="16">
        <v>0</v>
      </c>
      <c r="T87" s="150">
        <v>141791</v>
      </c>
      <c r="U87" s="150">
        <v>141792</v>
      </c>
      <c r="V87" s="150">
        <v>141339</v>
      </c>
      <c r="W87" s="150">
        <v>141641</v>
      </c>
      <c r="X87" s="150">
        <v>141641</v>
      </c>
      <c r="Y87" s="10">
        <v>236109</v>
      </c>
      <c r="Z87" s="16">
        <v>16349</v>
      </c>
      <c r="AA87" s="150">
        <v>114000</v>
      </c>
    </row>
    <row r="88" spans="1:27" x14ac:dyDescent="0.35">
      <c r="A88" s="19">
        <v>1407</v>
      </c>
      <c r="B88" s="20" t="s">
        <v>138</v>
      </c>
      <c r="C88" s="150">
        <v>1266160</v>
      </c>
      <c r="D88" s="150">
        <v>2418253</v>
      </c>
      <c r="E88" s="150">
        <v>2302758</v>
      </c>
      <c r="F88" s="10">
        <v>3223862</v>
      </c>
      <c r="G88" s="10">
        <v>147876</v>
      </c>
      <c r="H88" s="156">
        <v>0</v>
      </c>
      <c r="I88" s="150">
        <v>0</v>
      </c>
      <c r="J88" s="16">
        <v>0</v>
      </c>
      <c r="K88" s="150">
        <v>0</v>
      </c>
      <c r="L88" s="150">
        <v>0</v>
      </c>
      <c r="M88" s="150">
        <v>0</v>
      </c>
      <c r="N88" s="10">
        <v>0</v>
      </c>
      <c r="O88" s="150">
        <v>1050672</v>
      </c>
      <c r="P88" s="150">
        <v>4303</v>
      </c>
      <c r="Q88" s="150">
        <v>55160</v>
      </c>
      <c r="R88" s="16">
        <v>4839</v>
      </c>
      <c r="S88" s="16">
        <v>0</v>
      </c>
      <c r="T88" s="150">
        <v>92299</v>
      </c>
      <c r="U88" s="150">
        <v>92299</v>
      </c>
      <c r="V88" s="150">
        <v>92003</v>
      </c>
      <c r="W88" s="150">
        <v>92200</v>
      </c>
      <c r="X88" s="150">
        <v>92201</v>
      </c>
      <c r="Y88" s="10">
        <v>153693</v>
      </c>
      <c r="Z88" s="16">
        <v>0</v>
      </c>
      <c r="AA88" s="150">
        <v>65997</v>
      </c>
    </row>
    <row r="89" spans="1:27" x14ac:dyDescent="0.35">
      <c r="A89" s="19">
        <v>1414</v>
      </c>
      <c r="B89" s="20" t="s">
        <v>139</v>
      </c>
      <c r="C89" s="150">
        <v>3523839</v>
      </c>
      <c r="D89" s="150">
        <v>6643403</v>
      </c>
      <c r="E89" s="150">
        <v>6354526</v>
      </c>
      <c r="F89" s="10">
        <v>8896337</v>
      </c>
      <c r="G89" s="10">
        <v>408067</v>
      </c>
      <c r="H89" s="156">
        <v>0</v>
      </c>
      <c r="I89" s="150">
        <v>0</v>
      </c>
      <c r="J89" s="16">
        <v>0</v>
      </c>
      <c r="K89" s="150">
        <v>0</v>
      </c>
      <c r="L89" s="150">
        <v>0</v>
      </c>
      <c r="M89" s="150">
        <v>0</v>
      </c>
      <c r="N89" s="10">
        <v>0</v>
      </c>
      <c r="O89" s="150">
        <v>3007326</v>
      </c>
      <c r="P89" s="150">
        <v>12317</v>
      </c>
      <c r="Q89" s="150">
        <v>68335</v>
      </c>
      <c r="R89" s="16">
        <v>5995</v>
      </c>
      <c r="S89" s="16">
        <v>0</v>
      </c>
      <c r="T89" s="150">
        <v>161429</v>
      </c>
      <c r="U89" s="150">
        <v>161430</v>
      </c>
      <c r="V89" s="150">
        <v>160913</v>
      </c>
      <c r="W89" s="150">
        <v>161257</v>
      </c>
      <c r="X89" s="150">
        <v>161258</v>
      </c>
      <c r="Y89" s="10">
        <v>268809</v>
      </c>
      <c r="Z89" s="16">
        <v>19303</v>
      </c>
      <c r="AA89" s="150">
        <v>199458</v>
      </c>
    </row>
    <row r="90" spans="1:27" x14ac:dyDescent="0.35">
      <c r="A90" s="19">
        <v>1421</v>
      </c>
      <c r="B90" s="20" t="s">
        <v>140</v>
      </c>
      <c r="C90" s="150">
        <v>375584</v>
      </c>
      <c r="D90" s="150">
        <v>760660</v>
      </c>
      <c r="E90" s="150">
        <v>710153</v>
      </c>
      <c r="F90" s="10">
        <v>994213</v>
      </c>
      <c r="G90" s="10">
        <v>45604</v>
      </c>
      <c r="H90" s="156">
        <v>0</v>
      </c>
      <c r="I90" s="150">
        <v>0</v>
      </c>
      <c r="J90" s="16">
        <v>0</v>
      </c>
      <c r="K90" s="150">
        <v>0</v>
      </c>
      <c r="L90" s="150">
        <v>0</v>
      </c>
      <c r="M90" s="150">
        <v>0</v>
      </c>
      <c r="N90" s="10">
        <v>0</v>
      </c>
      <c r="O90" s="150">
        <v>394002</v>
      </c>
      <c r="P90" s="150">
        <v>1614</v>
      </c>
      <c r="Q90" s="150">
        <v>47630</v>
      </c>
      <c r="R90" s="16">
        <v>4178</v>
      </c>
      <c r="S90" s="16">
        <v>96578</v>
      </c>
      <c r="T90" s="150">
        <v>26274</v>
      </c>
      <c r="U90" s="150">
        <v>26274</v>
      </c>
      <c r="V90" s="150">
        <v>26190</v>
      </c>
      <c r="W90" s="150">
        <v>26246</v>
      </c>
      <c r="X90" s="150">
        <v>26247</v>
      </c>
      <c r="Y90" s="10">
        <v>43751</v>
      </c>
      <c r="Z90" s="16">
        <v>14044</v>
      </c>
      <c r="AA90" s="150">
        <v>24069</v>
      </c>
    </row>
    <row r="91" spans="1:27" x14ac:dyDescent="0.35">
      <c r="A91" s="19">
        <v>2744</v>
      </c>
      <c r="B91" s="20" t="s">
        <v>141</v>
      </c>
      <c r="C91" s="150">
        <v>884328</v>
      </c>
      <c r="D91" s="150">
        <v>1268973</v>
      </c>
      <c r="E91" s="150">
        <v>1345813</v>
      </c>
      <c r="F91" s="10">
        <v>1884138</v>
      </c>
      <c r="G91" s="10">
        <v>86424</v>
      </c>
      <c r="H91" s="156">
        <v>0</v>
      </c>
      <c r="I91" s="150">
        <v>0</v>
      </c>
      <c r="J91" s="16">
        <v>0</v>
      </c>
      <c r="K91" s="150">
        <v>0</v>
      </c>
      <c r="L91" s="150">
        <v>73460</v>
      </c>
      <c r="M91" s="150">
        <v>71572</v>
      </c>
      <c r="N91" s="10">
        <v>72515.61</v>
      </c>
      <c r="O91" s="150">
        <v>534240</v>
      </c>
      <c r="P91" s="150">
        <v>2188</v>
      </c>
      <c r="Q91" s="150">
        <v>73630</v>
      </c>
      <c r="R91" s="16">
        <v>6459</v>
      </c>
      <c r="S91" s="16">
        <v>5827</v>
      </c>
      <c r="T91" s="150">
        <v>60213</v>
      </c>
      <c r="U91" s="150">
        <v>60212</v>
      </c>
      <c r="V91" s="150">
        <v>60020</v>
      </c>
      <c r="W91" s="150">
        <v>60148</v>
      </c>
      <c r="X91" s="150">
        <v>60149</v>
      </c>
      <c r="Y91" s="10">
        <v>100263</v>
      </c>
      <c r="Z91" s="16">
        <v>0</v>
      </c>
      <c r="AA91" s="150">
        <v>32881</v>
      </c>
    </row>
    <row r="92" spans="1:27" x14ac:dyDescent="0.35">
      <c r="A92" s="19">
        <v>1428</v>
      </c>
      <c r="B92" s="20" t="s">
        <v>142</v>
      </c>
      <c r="C92" s="150">
        <v>1107688</v>
      </c>
      <c r="D92" s="150">
        <v>2038765</v>
      </c>
      <c r="E92" s="150">
        <v>1966533</v>
      </c>
      <c r="F92" s="10">
        <v>2753147</v>
      </c>
      <c r="G92" s="10">
        <v>126284</v>
      </c>
      <c r="H92" s="156">
        <v>0</v>
      </c>
      <c r="I92" s="150">
        <v>0</v>
      </c>
      <c r="J92" s="16">
        <v>0</v>
      </c>
      <c r="K92" s="150">
        <v>0</v>
      </c>
      <c r="L92" s="150">
        <v>76116</v>
      </c>
      <c r="M92" s="150">
        <v>82894</v>
      </c>
      <c r="N92" s="10">
        <v>79506.05</v>
      </c>
      <c r="O92" s="150">
        <v>936404</v>
      </c>
      <c r="P92" s="150">
        <v>3835</v>
      </c>
      <c r="Q92" s="150">
        <v>28135</v>
      </c>
      <c r="R92" s="16">
        <v>2468</v>
      </c>
      <c r="S92" s="16">
        <v>0</v>
      </c>
      <c r="T92" s="150">
        <v>76709</v>
      </c>
      <c r="U92" s="150">
        <v>76709</v>
      </c>
      <c r="V92" s="150">
        <v>76465</v>
      </c>
      <c r="W92" s="150">
        <v>76628</v>
      </c>
      <c r="X92" s="150">
        <v>76627</v>
      </c>
      <c r="Y92" s="10">
        <v>127736</v>
      </c>
      <c r="Z92" s="16">
        <v>0</v>
      </c>
      <c r="AA92" s="150">
        <v>54747</v>
      </c>
    </row>
    <row r="93" spans="1:27" x14ac:dyDescent="0.35">
      <c r="A93" s="19">
        <v>1449</v>
      </c>
      <c r="B93" s="20" t="s">
        <v>143</v>
      </c>
      <c r="C93" s="150">
        <v>70278</v>
      </c>
      <c r="D93" s="150">
        <v>115125</v>
      </c>
      <c r="E93" s="150">
        <v>115877</v>
      </c>
      <c r="F93" s="10">
        <v>162228</v>
      </c>
      <c r="G93" s="10">
        <v>7441</v>
      </c>
      <c r="H93" s="156">
        <v>0</v>
      </c>
      <c r="I93" s="150">
        <v>0</v>
      </c>
      <c r="J93" s="16">
        <v>0</v>
      </c>
      <c r="K93" s="150">
        <v>0</v>
      </c>
      <c r="L93" s="150">
        <v>11506</v>
      </c>
      <c r="M93" s="150">
        <v>11210</v>
      </c>
      <c r="N93" s="10">
        <v>11357.72</v>
      </c>
      <c r="O93" s="150">
        <v>68264</v>
      </c>
      <c r="P93" s="150">
        <v>280</v>
      </c>
      <c r="Q93" s="150">
        <v>1490</v>
      </c>
      <c r="R93" s="16">
        <v>131</v>
      </c>
      <c r="S93" s="16">
        <v>0</v>
      </c>
      <c r="T93" s="150">
        <v>3894</v>
      </c>
      <c r="U93" s="150">
        <v>3894</v>
      </c>
      <c r="V93" s="150">
        <v>3881</v>
      </c>
      <c r="W93" s="150">
        <v>3890</v>
      </c>
      <c r="X93" s="150">
        <v>3889</v>
      </c>
      <c r="Y93" s="10">
        <v>6485</v>
      </c>
      <c r="Z93" s="16">
        <v>0</v>
      </c>
      <c r="AA93" s="150">
        <v>3338</v>
      </c>
    </row>
    <row r="94" spans="1:27" x14ac:dyDescent="0.35">
      <c r="A94" s="19">
        <v>1491</v>
      </c>
      <c r="B94" s="20" t="s">
        <v>6</v>
      </c>
      <c r="C94" s="150">
        <v>0</v>
      </c>
      <c r="D94" s="150">
        <v>0</v>
      </c>
      <c r="E94" s="150">
        <v>0</v>
      </c>
      <c r="F94" s="10">
        <v>0</v>
      </c>
      <c r="G94" s="10">
        <v>0</v>
      </c>
      <c r="H94" s="156">
        <v>5079</v>
      </c>
      <c r="I94" s="150">
        <v>3175</v>
      </c>
      <c r="J94" s="16">
        <v>4444</v>
      </c>
      <c r="K94" s="150">
        <v>25588</v>
      </c>
      <c r="L94" s="150">
        <v>32747</v>
      </c>
      <c r="M94" s="150">
        <v>31905</v>
      </c>
      <c r="N94" s="10">
        <v>32327.06</v>
      </c>
      <c r="O94" s="150">
        <v>283444</v>
      </c>
      <c r="P94" s="150">
        <v>1161</v>
      </c>
      <c r="Q94" s="150">
        <v>8300</v>
      </c>
      <c r="R94" s="16">
        <v>6123</v>
      </c>
      <c r="S94" s="16">
        <v>262715</v>
      </c>
      <c r="T94" s="150">
        <v>27024</v>
      </c>
      <c r="U94" s="150">
        <v>27024</v>
      </c>
      <c r="V94" s="150">
        <v>26937</v>
      </c>
      <c r="W94" s="150">
        <v>26995</v>
      </c>
      <c r="X94" s="150">
        <v>26995</v>
      </c>
      <c r="Y94" s="10">
        <v>45001</v>
      </c>
      <c r="Z94" s="16">
        <v>0</v>
      </c>
      <c r="AA94" s="150">
        <v>16524</v>
      </c>
    </row>
    <row r="95" spans="1:27" x14ac:dyDescent="0.35">
      <c r="A95" s="19">
        <v>1499</v>
      </c>
      <c r="B95" s="20" t="s">
        <v>144</v>
      </c>
      <c r="C95" s="150">
        <v>845361</v>
      </c>
      <c r="D95" s="150">
        <v>1560257</v>
      </c>
      <c r="E95" s="150">
        <v>1503511</v>
      </c>
      <c r="F95" s="10">
        <v>2104915</v>
      </c>
      <c r="G95" s="10">
        <v>96551</v>
      </c>
      <c r="H95" s="156">
        <v>0</v>
      </c>
      <c r="I95" s="150">
        <v>0</v>
      </c>
      <c r="J95" s="16">
        <v>0</v>
      </c>
      <c r="K95" s="150">
        <v>0</v>
      </c>
      <c r="L95" s="150">
        <v>108863</v>
      </c>
      <c r="M95" s="150">
        <v>106063</v>
      </c>
      <c r="N95" s="10">
        <v>107463.83</v>
      </c>
      <c r="O95" s="150">
        <v>724192</v>
      </c>
      <c r="P95" s="150">
        <v>2966</v>
      </c>
      <c r="Q95" s="150">
        <v>69795</v>
      </c>
      <c r="R95" s="16">
        <v>7299</v>
      </c>
      <c r="S95" s="16">
        <v>218544</v>
      </c>
      <c r="T95" s="150">
        <v>64392</v>
      </c>
      <c r="U95" s="150">
        <v>64393</v>
      </c>
      <c r="V95" s="150">
        <v>64187</v>
      </c>
      <c r="W95" s="150">
        <v>64324</v>
      </c>
      <c r="X95" s="150">
        <v>64324</v>
      </c>
      <c r="Y95" s="10">
        <v>107223</v>
      </c>
      <c r="Z95" s="16">
        <v>0</v>
      </c>
      <c r="AA95" s="150">
        <v>48304</v>
      </c>
    </row>
    <row r="96" spans="1:27" x14ac:dyDescent="0.35">
      <c r="A96" s="19">
        <v>1540</v>
      </c>
      <c r="B96" s="20" t="s">
        <v>145</v>
      </c>
      <c r="C96" s="150">
        <v>722064</v>
      </c>
      <c r="D96" s="150">
        <v>1558881</v>
      </c>
      <c r="E96" s="150">
        <v>1425591</v>
      </c>
      <c r="F96" s="10">
        <v>1995826</v>
      </c>
      <c r="G96" s="10">
        <v>91547</v>
      </c>
      <c r="H96" s="156">
        <v>0</v>
      </c>
      <c r="I96" s="150">
        <v>0</v>
      </c>
      <c r="J96" s="16">
        <v>0</v>
      </c>
      <c r="K96" s="150">
        <v>0</v>
      </c>
      <c r="L96" s="150">
        <v>0</v>
      </c>
      <c r="M96" s="150">
        <v>0</v>
      </c>
      <c r="N96" s="10">
        <v>0</v>
      </c>
      <c r="O96" s="150">
        <v>1252496</v>
      </c>
      <c r="P96" s="150">
        <v>5130</v>
      </c>
      <c r="Q96" s="150">
        <v>83195</v>
      </c>
      <c r="R96" s="16">
        <v>4713</v>
      </c>
      <c r="S96" s="16">
        <v>0</v>
      </c>
      <c r="T96" s="150">
        <v>101200</v>
      </c>
      <c r="U96" s="150">
        <v>101200</v>
      </c>
      <c r="V96" s="150">
        <v>100878</v>
      </c>
      <c r="W96" s="150">
        <v>101092</v>
      </c>
      <c r="X96" s="150">
        <v>101093</v>
      </c>
      <c r="Y96" s="10">
        <v>168515</v>
      </c>
      <c r="Z96" s="16">
        <v>0</v>
      </c>
      <c r="AA96" s="150">
        <v>72706</v>
      </c>
    </row>
    <row r="97" spans="1:27" x14ac:dyDescent="0.35">
      <c r="A97" s="19">
        <v>1554</v>
      </c>
      <c r="B97" s="20" t="s">
        <v>146</v>
      </c>
      <c r="C97" s="150">
        <v>9338238</v>
      </c>
      <c r="D97" s="150">
        <v>16906127</v>
      </c>
      <c r="E97" s="150">
        <v>16402728</v>
      </c>
      <c r="F97" s="10">
        <v>22963819</v>
      </c>
      <c r="G97" s="10">
        <v>1053330</v>
      </c>
      <c r="H97" s="156">
        <v>0</v>
      </c>
      <c r="I97" s="150">
        <v>0</v>
      </c>
      <c r="J97" s="16">
        <v>0</v>
      </c>
      <c r="K97" s="150">
        <v>0</v>
      </c>
      <c r="L97" s="150">
        <v>481475</v>
      </c>
      <c r="M97" s="150">
        <v>563453</v>
      </c>
      <c r="N97" s="10">
        <v>522463.21</v>
      </c>
      <c r="O97" s="150">
        <v>8422442</v>
      </c>
      <c r="P97" s="150">
        <v>34494</v>
      </c>
      <c r="Q97" s="150">
        <v>253300</v>
      </c>
      <c r="R97" s="16">
        <v>22221</v>
      </c>
      <c r="S97" s="16">
        <v>0</v>
      </c>
      <c r="T97" s="150">
        <v>909945</v>
      </c>
      <c r="U97" s="150">
        <v>907823</v>
      </c>
      <c r="V97" s="150">
        <v>905985</v>
      </c>
      <c r="W97" s="150">
        <v>907918</v>
      </c>
      <c r="X97" s="150">
        <v>907918</v>
      </c>
      <c r="Y97" s="10">
        <v>1513449</v>
      </c>
      <c r="Z97" s="16">
        <v>0</v>
      </c>
      <c r="AA97" s="150">
        <v>478500</v>
      </c>
    </row>
    <row r="98" spans="1:27" x14ac:dyDescent="0.35">
      <c r="A98" s="19">
        <v>1561</v>
      </c>
      <c r="B98" s="20" t="s">
        <v>147</v>
      </c>
      <c r="C98" s="150">
        <v>668856</v>
      </c>
      <c r="D98" s="150">
        <v>1228535</v>
      </c>
      <c r="E98" s="150">
        <v>1185869</v>
      </c>
      <c r="F98" s="10">
        <v>1660217</v>
      </c>
      <c r="G98" s="10">
        <v>76153</v>
      </c>
      <c r="H98" s="156">
        <v>0</v>
      </c>
      <c r="I98" s="150">
        <v>0</v>
      </c>
      <c r="J98" s="16">
        <v>0</v>
      </c>
      <c r="K98" s="150">
        <v>0</v>
      </c>
      <c r="L98" s="150">
        <v>42483</v>
      </c>
      <c r="M98" s="150">
        <v>41391</v>
      </c>
      <c r="N98" s="10">
        <v>41936.67</v>
      </c>
      <c r="O98" s="150">
        <v>415520</v>
      </c>
      <c r="P98" s="150">
        <v>1702</v>
      </c>
      <c r="Q98" s="150">
        <v>16245</v>
      </c>
      <c r="R98" s="16">
        <v>1425</v>
      </c>
      <c r="S98" s="16">
        <v>34509</v>
      </c>
      <c r="T98" s="150">
        <v>1811</v>
      </c>
      <c r="U98" s="150">
        <v>1811</v>
      </c>
      <c r="V98" s="150">
        <v>1805</v>
      </c>
      <c r="W98" s="150">
        <v>1808</v>
      </c>
      <c r="X98" s="150">
        <v>1809</v>
      </c>
      <c r="Y98" s="10">
        <v>3016</v>
      </c>
      <c r="Z98" s="16">
        <v>0</v>
      </c>
      <c r="AA98" s="150">
        <v>26138</v>
      </c>
    </row>
    <row r="99" spans="1:27" x14ac:dyDescent="0.35">
      <c r="A99" s="19">
        <v>1568</v>
      </c>
      <c r="B99" s="20" t="s">
        <v>148</v>
      </c>
      <c r="C99" s="150">
        <v>1680059</v>
      </c>
      <c r="D99" s="150">
        <v>2935930</v>
      </c>
      <c r="E99" s="150">
        <v>2884993</v>
      </c>
      <c r="F99" s="10">
        <v>4038991</v>
      </c>
      <c r="G99" s="10">
        <v>185265</v>
      </c>
      <c r="H99" s="156">
        <v>0</v>
      </c>
      <c r="I99" s="150">
        <v>0</v>
      </c>
      <c r="J99" s="16">
        <v>0</v>
      </c>
      <c r="K99" s="150">
        <v>0</v>
      </c>
      <c r="L99" s="150">
        <v>0</v>
      </c>
      <c r="M99" s="150">
        <v>0</v>
      </c>
      <c r="N99" s="10">
        <v>0</v>
      </c>
      <c r="O99" s="150">
        <v>1429834</v>
      </c>
      <c r="P99" s="150">
        <v>5856</v>
      </c>
      <c r="Q99" s="150">
        <v>29385</v>
      </c>
      <c r="R99" s="16">
        <v>2578</v>
      </c>
      <c r="S99" s="16">
        <v>0</v>
      </c>
      <c r="T99" s="150">
        <v>184020</v>
      </c>
      <c r="U99" s="150">
        <v>184019</v>
      </c>
      <c r="V99" s="150">
        <v>183432</v>
      </c>
      <c r="W99" s="150">
        <v>183824</v>
      </c>
      <c r="X99" s="150">
        <v>183823</v>
      </c>
      <c r="Y99" s="10">
        <v>306425</v>
      </c>
      <c r="Z99" s="16">
        <v>22330</v>
      </c>
      <c r="AA99" s="150">
        <v>74142</v>
      </c>
    </row>
    <row r="100" spans="1:27" x14ac:dyDescent="0.35">
      <c r="A100" s="19">
        <v>1582</v>
      </c>
      <c r="B100" s="20" t="s">
        <v>149</v>
      </c>
      <c r="C100" s="150">
        <v>0</v>
      </c>
      <c r="D100" s="150">
        <v>0</v>
      </c>
      <c r="E100" s="150">
        <v>0</v>
      </c>
      <c r="F100" s="10">
        <v>0</v>
      </c>
      <c r="G100" s="10">
        <v>0</v>
      </c>
      <c r="H100" s="156">
        <v>4679</v>
      </c>
      <c r="I100" s="150">
        <v>2925</v>
      </c>
      <c r="J100" s="16">
        <v>4094</v>
      </c>
      <c r="K100" s="150">
        <v>20232</v>
      </c>
      <c r="L100" s="150">
        <v>33632</v>
      </c>
      <c r="M100" s="150">
        <v>32768</v>
      </c>
      <c r="N100" s="10">
        <v>33200.11</v>
      </c>
      <c r="O100" s="150">
        <v>215922</v>
      </c>
      <c r="P100" s="150">
        <v>884</v>
      </c>
      <c r="Q100" s="150">
        <v>22265</v>
      </c>
      <c r="R100" s="16">
        <v>1953</v>
      </c>
      <c r="S100" s="16">
        <v>76639</v>
      </c>
      <c r="T100" s="150">
        <v>13307</v>
      </c>
      <c r="U100" s="150">
        <v>13308</v>
      </c>
      <c r="V100" s="150">
        <v>13264</v>
      </c>
      <c r="W100" s="150">
        <v>13293</v>
      </c>
      <c r="X100" s="150">
        <v>13293</v>
      </c>
      <c r="Y100" s="10">
        <v>22158</v>
      </c>
      <c r="Z100" s="16">
        <v>0</v>
      </c>
      <c r="AA100" s="150">
        <v>10749</v>
      </c>
    </row>
    <row r="101" spans="1:27" x14ac:dyDescent="0.35">
      <c r="A101" s="19">
        <v>1600</v>
      </c>
      <c r="B101" s="20" t="s">
        <v>150</v>
      </c>
      <c r="C101" s="150">
        <v>658815</v>
      </c>
      <c r="D101" s="150">
        <v>1364818</v>
      </c>
      <c r="E101" s="150">
        <v>1264771</v>
      </c>
      <c r="F101" s="10">
        <v>1770679</v>
      </c>
      <c r="G101" s="10">
        <v>81219</v>
      </c>
      <c r="H101" s="156">
        <v>0</v>
      </c>
      <c r="I101" s="150">
        <v>0</v>
      </c>
      <c r="J101" s="16">
        <v>0</v>
      </c>
      <c r="K101" s="150">
        <v>0</v>
      </c>
      <c r="L101" s="150">
        <v>169047</v>
      </c>
      <c r="M101" s="150">
        <v>0</v>
      </c>
      <c r="N101" s="10">
        <v>38016.39</v>
      </c>
      <c r="O101" s="150">
        <v>460040</v>
      </c>
      <c r="P101" s="150">
        <v>1884</v>
      </c>
      <c r="Q101" s="150">
        <v>25950</v>
      </c>
      <c r="R101" s="16">
        <v>2277</v>
      </c>
      <c r="S101" s="16">
        <v>0</v>
      </c>
      <c r="T101" s="150">
        <v>31083</v>
      </c>
      <c r="U101" s="150">
        <v>31084</v>
      </c>
      <c r="V101" s="150">
        <v>30984</v>
      </c>
      <c r="W101" s="150">
        <v>31051</v>
      </c>
      <c r="X101" s="150">
        <v>31050</v>
      </c>
      <c r="Y101" s="10">
        <v>51759</v>
      </c>
      <c r="Z101" s="16">
        <v>11394</v>
      </c>
      <c r="AA101" s="150">
        <v>25003</v>
      </c>
    </row>
    <row r="102" spans="1:27" x14ac:dyDescent="0.35">
      <c r="A102" s="19">
        <v>1645</v>
      </c>
      <c r="B102" s="20" t="s">
        <v>151</v>
      </c>
      <c r="C102" s="150">
        <v>1230898</v>
      </c>
      <c r="D102" s="150">
        <v>2116688</v>
      </c>
      <c r="E102" s="150">
        <v>2092241</v>
      </c>
      <c r="F102" s="10">
        <v>2929139</v>
      </c>
      <c r="G102" s="10">
        <v>134357</v>
      </c>
      <c r="H102" s="156">
        <v>0</v>
      </c>
      <c r="I102" s="150">
        <v>0</v>
      </c>
      <c r="J102" s="16">
        <v>0</v>
      </c>
      <c r="K102" s="150">
        <v>0</v>
      </c>
      <c r="L102" s="150">
        <v>0</v>
      </c>
      <c r="M102" s="150">
        <v>0</v>
      </c>
      <c r="N102" s="10">
        <v>0</v>
      </c>
      <c r="O102" s="150">
        <v>796166</v>
      </c>
      <c r="P102" s="150">
        <v>3261</v>
      </c>
      <c r="Q102" s="150">
        <v>45185</v>
      </c>
      <c r="R102" s="16">
        <v>3964</v>
      </c>
      <c r="S102" s="16">
        <v>0</v>
      </c>
      <c r="T102" s="150">
        <v>56174</v>
      </c>
      <c r="U102" s="150">
        <v>56174</v>
      </c>
      <c r="V102" s="150">
        <v>55996</v>
      </c>
      <c r="W102" s="150">
        <v>56114</v>
      </c>
      <c r="X102" s="150">
        <v>56115</v>
      </c>
      <c r="Y102" s="10">
        <v>93539</v>
      </c>
      <c r="Z102" s="16">
        <v>0</v>
      </c>
      <c r="AA102" s="150">
        <v>46802</v>
      </c>
    </row>
    <row r="103" spans="1:27" x14ac:dyDescent="0.35">
      <c r="A103" s="19">
        <v>1631</v>
      </c>
      <c r="B103" s="20" t="s">
        <v>32</v>
      </c>
      <c r="C103" s="150">
        <v>14314</v>
      </c>
      <c r="D103" s="150">
        <v>11742</v>
      </c>
      <c r="E103" s="150">
        <v>16285</v>
      </c>
      <c r="F103" s="10">
        <v>22800</v>
      </c>
      <c r="G103" s="10">
        <v>1046</v>
      </c>
      <c r="H103" s="156">
        <v>45987</v>
      </c>
      <c r="I103" s="150">
        <v>28742</v>
      </c>
      <c r="J103" s="16">
        <v>40238</v>
      </c>
      <c r="K103" s="150">
        <v>0</v>
      </c>
      <c r="L103" s="150">
        <v>0</v>
      </c>
      <c r="M103" s="150">
        <v>0</v>
      </c>
      <c r="N103" s="10">
        <v>0</v>
      </c>
      <c r="O103" s="150">
        <v>324254</v>
      </c>
      <c r="P103" s="150">
        <v>1328</v>
      </c>
      <c r="Q103" s="150">
        <v>10720</v>
      </c>
      <c r="R103" s="16">
        <v>940</v>
      </c>
      <c r="S103" s="16">
        <v>0</v>
      </c>
      <c r="T103" s="150">
        <v>22568</v>
      </c>
      <c r="U103" s="150">
        <v>22568</v>
      </c>
      <c r="V103" s="150">
        <v>22496</v>
      </c>
      <c r="W103" s="150">
        <v>22544</v>
      </c>
      <c r="X103" s="150">
        <v>22544</v>
      </c>
      <c r="Y103" s="10">
        <v>37578</v>
      </c>
      <c r="Z103" s="16">
        <v>2451</v>
      </c>
      <c r="AA103" s="150">
        <v>18661</v>
      </c>
    </row>
    <row r="104" spans="1:27" x14ac:dyDescent="0.35">
      <c r="A104" s="19">
        <v>1638</v>
      </c>
      <c r="B104" s="20" t="s">
        <v>152</v>
      </c>
      <c r="C104" s="150">
        <v>2214441</v>
      </c>
      <c r="D104" s="150">
        <v>4175487</v>
      </c>
      <c r="E104" s="150">
        <v>3993705</v>
      </c>
      <c r="F104" s="10">
        <v>5591188</v>
      </c>
      <c r="G104" s="10">
        <v>256463</v>
      </c>
      <c r="H104" s="156">
        <v>0</v>
      </c>
      <c r="I104" s="150">
        <v>0</v>
      </c>
      <c r="J104" s="16">
        <v>0</v>
      </c>
      <c r="K104" s="150">
        <v>0</v>
      </c>
      <c r="L104" s="150">
        <v>0</v>
      </c>
      <c r="M104" s="150">
        <v>0</v>
      </c>
      <c r="N104" s="10">
        <v>0</v>
      </c>
      <c r="O104" s="150">
        <v>2257164</v>
      </c>
      <c r="P104" s="150">
        <v>9244</v>
      </c>
      <c r="Q104" s="150">
        <v>57055</v>
      </c>
      <c r="R104" s="16">
        <v>5005</v>
      </c>
      <c r="S104" s="16">
        <v>0</v>
      </c>
      <c r="T104" s="150">
        <v>205078</v>
      </c>
      <c r="U104" s="150">
        <v>205078</v>
      </c>
      <c r="V104" s="150">
        <v>204425</v>
      </c>
      <c r="W104" s="150">
        <v>204860</v>
      </c>
      <c r="X104" s="150">
        <v>204860</v>
      </c>
      <c r="Y104" s="10">
        <v>341492</v>
      </c>
      <c r="Z104" s="16">
        <v>41683</v>
      </c>
      <c r="AA104" s="150">
        <v>127320</v>
      </c>
    </row>
    <row r="105" spans="1:27" x14ac:dyDescent="0.35">
      <c r="A105" s="19">
        <v>1659</v>
      </c>
      <c r="B105" s="20" t="s">
        <v>153</v>
      </c>
      <c r="C105" s="150">
        <v>1507449</v>
      </c>
      <c r="D105" s="150">
        <v>2724234</v>
      </c>
      <c r="E105" s="150">
        <v>2644802</v>
      </c>
      <c r="F105" s="10">
        <v>3702721</v>
      </c>
      <c r="G105" s="10">
        <v>169841</v>
      </c>
      <c r="H105" s="156">
        <v>0</v>
      </c>
      <c r="I105" s="150">
        <v>0</v>
      </c>
      <c r="J105" s="16">
        <v>0</v>
      </c>
      <c r="K105" s="150">
        <v>0</v>
      </c>
      <c r="L105" s="150">
        <v>0</v>
      </c>
      <c r="M105" s="150">
        <v>0</v>
      </c>
      <c r="N105" s="10">
        <v>0</v>
      </c>
      <c r="O105" s="150">
        <v>1236172</v>
      </c>
      <c r="P105" s="150">
        <v>5063</v>
      </c>
      <c r="Q105" s="150">
        <v>126155</v>
      </c>
      <c r="R105" s="16">
        <v>11067</v>
      </c>
      <c r="S105" s="16">
        <v>383766</v>
      </c>
      <c r="T105" s="150">
        <v>118544</v>
      </c>
      <c r="U105" s="150">
        <v>118543</v>
      </c>
      <c r="V105" s="150">
        <v>118166</v>
      </c>
      <c r="W105" s="150">
        <v>118417</v>
      </c>
      <c r="X105" s="150">
        <v>118418</v>
      </c>
      <c r="Y105" s="10">
        <v>197396</v>
      </c>
      <c r="Z105" s="16">
        <v>10967</v>
      </c>
      <c r="AA105" s="150">
        <v>74442</v>
      </c>
    </row>
    <row r="106" spans="1:27" x14ac:dyDescent="0.35">
      <c r="A106" s="19">
        <v>714</v>
      </c>
      <c r="B106" s="20" t="s">
        <v>154</v>
      </c>
      <c r="C106" s="150">
        <v>424141</v>
      </c>
      <c r="D106" s="150">
        <v>661136</v>
      </c>
      <c r="E106" s="150">
        <v>678298</v>
      </c>
      <c r="F106" s="10">
        <v>949617</v>
      </c>
      <c r="G106" s="10">
        <v>43558</v>
      </c>
      <c r="H106" s="156">
        <v>0</v>
      </c>
      <c r="I106" s="150">
        <v>0</v>
      </c>
      <c r="J106" s="16">
        <v>0</v>
      </c>
      <c r="K106" s="150">
        <v>0</v>
      </c>
      <c r="L106" s="150">
        <v>0</v>
      </c>
      <c r="M106" s="150">
        <v>0</v>
      </c>
      <c r="N106" s="10">
        <v>0</v>
      </c>
      <c r="O106" s="150">
        <v>5378016</v>
      </c>
      <c r="P106" s="150">
        <v>22026</v>
      </c>
      <c r="Q106" s="150">
        <v>170485</v>
      </c>
      <c r="R106" s="16">
        <v>14956</v>
      </c>
      <c r="S106" s="16">
        <v>0</v>
      </c>
      <c r="T106" s="150">
        <v>588970</v>
      </c>
      <c r="U106" s="150">
        <v>590181</v>
      </c>
      <c r="V106" s="150">
        <v>588239</v>
      </c>
      <c r="W106" s="150">
        <v>589130</v>
      </c>
      <c r="X106" s="150">
        <v>589130</v>
      </c>
      <c r="Y106" s="10">
        <v>982047</v>
      </c>
      <c r="Z106" s="16">
        <v>412624</v>
      </c>
      <c r="AA106" s="150">
        <v>379622</v>
      </c>
    </row>
    <row r="107" spans="1:27" x14ac:dyDescent="0.35">
      <c r="A107" s="19">
        <v>1666</v>
      </c>
      <c r="B107" s="20" t="s">
        <v>155</v>
      </c>
      <c r="C107" s="150">
        <v>366479</v>
      </c>
      <c r="D107" s="150">
        <v>632191</v>
      </c>
      <c r="E107" s="150">
        <v>624169</v>
      </c>
      <c r="F107" s="10">
        <v>873836</v>
      </c>
      <c r="G107" s="10">
        <v>40082</v>
      </c>
      <c r="H107" s="156">
        <v>0</v>
      </c>
      <c r="I107" s="150">
        <v>0</v>
      </c>
      <c r="J107" s="16">
        <v>0</v>
      </c>
      <c r="K107" s="150">
        <v>0</v>
      </c>
      <c r="L107" s="150">
        <v>32747</v>
      </c>
      <c r="M107" s="150">
        <v>40643</v>
      </c>
      <c r="N107" s="10">
        <v>36694.33</v>
      </c>
      <c r="O107" s="150">
        <v>237440</v>
      </c>
      <c r="P107" s="150">
        <v>972</v>
      </c>
      <c r="Q107" s="150">
        <v>11965</v>
      </c>
      <c r="R107" s="16">
        <v>1050</v>
      </c>
      <c r="S107" s="16">
        <v>9941</v>
      </c>
      <c r="T107" s="150">
        <v>11378</v>
      </c>
      <c r="U107" s="150">
        <v>11378</v>
      </c>
      <c r="V107" s="150">
        <v>11342</v>
      </c>
      <c r="W107" s="150">
        <v>11366</v>
      </c>
      <c r="X107" s="150">
        <v>11366</v>
      </c>
      <c r="Y107" s="10">
        <v>18945</v>
      </c>
      <c r="Z107" s="16">
        <v>0</v>
      </c>
      <c r="AA107" s="150">
        <v>15356</v>
      </c>
    </row>
    <row r="108" spans="1:27" x14ac:dyDescent="0.35">
      <c r="A108" s="19">
        <v>1687</v>
      </c>
      <c r="B108" s="20" t="s">
        <v>156</v>
      </c>
      <c r="C108" s="150">
        <v>16467</v>
      </c>
      <c r="D108" s="150">
        <v>107038</v>
      </c>
      <c r="E108" s="150">
        <v>77191</v>
      </c>
      <c r="F108" s="10">
        <v>108067</v>
      </c>
      <c r="G108" s="10">
        <v>4957</v>
      </c>
      <c r="H108" s="156">
        <v>0</v>
      </c>
      <c r="I108" s="150">
        <v>0</v>
      </c>
      <c r="J108" s="16">
        <v>0</v>
      </c>
      <c r="K108" s="150">
        <v>0</v>
      </c>
      <c r="L108" s="150">
        <v>0</v>
      </c>
      <c r="M108" s="150">
        <v>0</v>
      </c>
      <c r="N108" s="10">
        <v>0</v>
      </c>
      <c r="O108" s="150">
        <v>169918</v>
      </c>
      <c r="P108" s="150">
        <v>696</v>
      </c>
      <c r="Q108" s="150">
        <v>8625</v>
      </c>
      <c r="R108" s="16">
        <v>757</v>
      </c>
      <c r="S108" s="16">
        <v>9850</v>
      </c>
      <c r="T108" s="150">
        <v>20960</v>
      </c>
      <c r="U108" s="150">
        <v>20960</v>
      </c>
      <c r="V108" s="150">
        <v>20893</v>
      </c>
      <c r="W108" s="150">
        <v>20938</v>
      </c>
      <c r="X108" s="150">
        <v>20938</v>
      </c>
      <c r="Y108" s="10">
        <v>34902</v>
      </c>
      <c r="Z108" s="16">
        <v>0</v>
      </c>
      <c r="AA108" s="150">
        <v>10015</v>
      </c>
    </row>
    <row r="109" spans="1:27" x14ac:dyDescent="0.35">
      <c r="A109" s="19">
        <v>1694</v>
      </c>
      <c r="B109" s="20" t="s">
        <v>157</v>
      </c>
      <c r="C109" s="150">
        <v>1946747</v>
      </c>
      <c r="D109" s="150">
        <v>3136184</v>
      </c>
      <c r="E109" s="150">
        <v>3176832</v>
      </c>
      <c r="F109" s="10">
        <v>4447564</v>
      </c>
      <c r="G109" s="10">
        <v>204006</v>
      </c>
      <c r="H109" s="156">
        <v>0</v>
      </c>
      <c r="I109" s="150">
        <v>0</v>
      </c>
      <c r="J109" s="16">
        <v>0</v>
      </c>
      <c r="K109" s="150">
        <v>0</v>
      </c>
      <c r="L109" s="150">
        <v>77001</v>
      </c>
      <c r="M109" s="150">
        <v>75021</v>
      </c>
      <c r="N109" s="10">
        <v>76009.83</v>
      </c>
      <c r="O109" s="150">
        <v>1308146</v>
      </c>
      <c r="P109" s="150">
        <v>5358</v>
      </c>
      <c r="Q109" s="150">
        <v>25990</v>
      </c>
      <c r="R109" s="16">
        <v>2280</v>
      </c>
      <c r="S109" s="16">
        <v>0</v>
      </c>
      <c r="T109" s="150">
        <v>147479</v>
      </c>
      <c r="U109" s="150">
        <v>147479</v>
      </c>
      <c r="V109" s="150">
        <v>147008</v>
      </c>
      <c r="W109" s="150">
        <v>147322</v>
      </c>
      <c r="X109" s="150">
        <v>147322</v>
      </c>
      <c r="Y109" s="10">
        <v>245576</v>
      </c>
      <c r="Z109" s="16">
        <v>57617</v>
      </c>
      <c r="AA109" s="150">
        <v>74976</v>
      </c>
    </row>
    <row r="110" spans="1:27" x14ac:dyDescent="0.35">
      <c r="A110" s="19">
        <v>1729</v>
      </c>
      <c r="B110" s="20" t="s">
        <v>158</v>
      </c>
      <c r="C110" s="150">
        <v>847489</v>
      </c>
      <c r="D110" s="150">
        <v>1402298</v>
      </c>
      <c r="E110" s="150">
        <v>1406117</v>
      </c>
      <c r="F110" s="10">
        <v>1968565</v>
      </c>
      <c r="G110" s="10">
        <v>90296</v>
      </c>
      <c r="H110" s="156">
        <v>0</v>
      </c>
      <c r="I110" s="150">
        <v>0</v>
      </c>
      <c r="J110" s="16">
        <v>0</v>
      </c>
      <c r="K110" s="150">
        <v>0</v>
      </c>
      <c r="L110" s="150">
        <v>0</v>
      </c>
      <c r="M110" s="150">
        <v>0</v>
      </c>
      <c r="N110" s="10">
        <v>0</v>
      </c>
      <c r="O110" s="150">
        <v>561694</v>
      </c>
      <c r="P110" s="150">
        <v>2300</v>
      </c>
      <c r="Q110" s="150">
        <v>22720</v>
      </c>
      <c r="R110" s="16">
        <v>1993</v>
      </c>
      <c r="S110" s="16">
        <v>0</v>
      </c>
      <c r="T110" s="150">
        <v>31590</v>
      </c>
      <c r="U110" s="150">
        <v>31590</v>
      </c>
      <c r="V110" s="150">
        <v>31490</v>
      </c>
      <c r="W110" s="150">
        <v>31557</v>
      </c>
      <c r="X110" s="150">
        <v>31557</v>
      </c>
      <c r="Y110" s="10">
        <v>52602</v>
      </c>
      <c r="Z110" s="16">
        <v>858</v>
      </c>
      <c r="AA110" s="150">
        <v>29042</v>
      </c>
    </row>
    <row r="111" spans="1:27" x14ac:dyDescent="0.35">
      <c r="A111" s="19">
        <v>1736</v>
      </c>
      <c r="B111" s="20" t="s">
        <v>159</v>
      </c>
      <c r="C111" s="150">
        <v>487569</v>
      </c>
      <c r="D111" s="150">
        <v>832121</v>
      </c>
      <c r="E111" s="150">
        <v>824806</v>
      </c>
      <c r="F111" s="10">
        <v>1154729</v>
      </c>
      <c r="G111" s="10">
        <v>52966</v>
      </c>
      <c r="H111" s="156">
        <v>0</v>
      </c>
      <c r="I111" s="150">
        <v>0</v>
      </c>
      <c r="J111" s="16">
        <v>0</v>
      </c>
      <c r="K111" s="150">
        <v>0</v>
      </c>
      <c r="L111" s="150">
        <v>0</v>
      </c>
      <c r="M111" s="150">
        <v>0</v>
      </c>
      <c r="N111" s="10">
        <v>0</v>
      </c>
      <c r="O111" s="150">
        <v>372484</v>
      </c>
      <c r="P111" s="150">
        <v>1526</v>
      </c>
      <c r="Q111" s="150">
        <v>4730</v>
      </c>
      <c r="R111" s="16">
        <v>415</v>
      </c>
      <c r="S111" s="16">
        <v>0</v>
      </c>
      <c r="T111" s="150">
        <v>20420</v>
      </c>
      <c r="U111" s="150">
        <v>20421</v>
      </c>
      <c r="V111" s="150">
        <v>20355</v>
      </c>
      <c r="W111" s="150">
        <v>20399</v>
      </c>
      <c r="X111" s="150">
        <v>20398</v>
      </c>
      <c r="Y111" s="10">
        <v>34003</v>
      </c>
      <c r="Z111" s="16">
        <v>0</v>
      </c>
      <c r="AA111" s="150">
        <v>23768</v>
      </c>
    </row>
    <row r="112" spans="1:27" x14ac:dyDescent="0.35">
      <c r="A112" s="19">
        <v>1813</v>
      </c>
      <c r="B112" s="20" t="s">
        <v>160</v>
      </c>
      <c r="C112" s="150">
        <v>877520</v>
      </c>
      <c r="D112" s="150">
        <v>1533453</v>
      </c>
      <c r="E112" s="150">
        <v>1506858</v>
      </c>
      <c r="F112" s="10">
        <v>2109600</v>
      </c>
      <c r="G112" s="10">
        <v>96766</v>
      </c>
      <c r="H112" s="156">
        <v>0</v>
      </c>
      <c r="I112" s="150">
        <v>0</v>
      </c>
      <c r="J112" s="16">
        <v>0</v>
      </c>
      <c r="K112" s="150">
        <v>0</v>
      </c>
      <c r="L112" s="150">
        <v>79656</v>
      </c>
      <c r="M112" s="150">
        <v>77608</v>
      </c>
      <c r="N112" s="10">
        <v>78631</v>
      </c>
      <c r="O112" s="150">
        <v>542402</v>
      </c>
      <c r="P112" s="150">
        <v>2221</v>
      </c>
      <c r="Q112" s="150">
        <v>12410</v>
      </c>
      <c r="R112" s="16">
        <v>1089</v>
      </c>
      <c r="S112" s="16">
        <v>72178</v>
      </c>
      <c r="T112" s="150">
        <v>70598</v>
      </c>
      <c r="U112" s="150">
        <v>70599</v>
      </c>
      <c r="V112" s="150">
        <v>70373</v>
      </c>
      <c r="W112" s="150">
        <v>70523</v>
      </c>
      <c r="X112" s="150">
        <v>70523</v>
      </c>
      <c r="Y112" s="10">
        <v>117560</v>
      </c>
      <c r="Z112" s="16">
        <v>93472</v>
      </c>
      <c r="AA112" s="150">
        <v>33950</v>
      </c>
    </row>
    <row r="113" spans="1:27" x14ac:dyDescent="0.35">
      <c r="A113" s="19">
        <v>5757</v>
      </c>
      <c r="B113" s="20" t="s">
        <v>161</v>
      </c>
      <c r="C113" s="150">
        <v>632878</v>
      </c>
      <c r="D113" s="150">
        <v>983346</v>
      </c>
      <c r="E113" s="150">
        <v>1010140</v>
      </c>
      <c r="F113" s="10">
        <v>1414197</v>
      </c>
      <c r="G113" s="10">
        <v>64868</v>
      </c>
      <c r="H113" s="156">
        <v>0</v>
      </c>
      <c r="I113" s="150">
        <v>0</v>
      </c>
      <c r="J113" s="16">
        <v>0</v>
      </c>
      <c r="K113" s="150">
        <v>42249</v>
      </c>
      <c r="L113" s="150">
        <v>0</v>
      </c>
      <c r="M113" s="150">
        <v>0</v>
      </c>
      <c r="N113" s="10">
        <v>0</v>
      </c>
      <c r="O113" s="150">
        <v>436296</v>
      </c>
      <c r="P113" s="150">
        <v>1787</v>
      </c>
      <c r="Q113" s="150">
        <v>94650</v>
      </c>
      <c r="R113" s="16">
        <v>8303</v>
      </c>
      <c r="S113" s="16">
        <v>91032</v>
      </c>
      <c r="T113" s="150">
        <v>36839</v>
      </c>
      <c r="U113" s="150">
        <v>36840</v>
      </c>
      <c r="V113" s="150">
        <v>36721</v>
      </c>
      <c r="W113" s="150">
        <v>36800</v>
      </c>
      <c r="X113" s="150">
        <v>36801</v>
      </c>
      <c r="Y113" s="10">
        <v>61344</v>
      </c>
      <c r="Z113" s="16">
        <v>14542</v>
      </c>
      <c r="AA113" s="150">
        <v>28308</v>
      </c>
    </row>
    <row r="114" spans="1:27" x14ac:dyDescent="0.35">
      <c r="A114" s="19">
        <v>1855</v>
      </c>
      <c r="B114" s="20" t="s">
        <v>33</v>
      </c>
      <c r="C114" s="150">
        <v>17436</v>
      </c>
      <c r="D114" s="150">
        <v>33944</v>
      </c>
      <c r="E114" s="150">
        <v>32113</v>
      </c>
      <c r="F114" s="10">
        <v>44958</v>
      </c>
      <c r="G114" s="10">
        <v>2062</v>
      </c>
      <c r="H114" s="156">
        <v>40550</v>
      </c>
      <c r="I114" s="150">
        <v>25344</v>
      </c>
      <c r="J114" s="16">
        <v>35482</v>
      </c>
      <c r="K114" s="150">
        <v>31208</v>
      </c>
      <c r="L114" s="150">
        <v>42483</v>
      </c>
      <c r="M114" s="150">
        <v>41391</v>
      </c>
      <c r="N114" s="10">
        <v>41936.67</v>
      </c>
      <c r="O114" s="150">
        <v>342062</v>
      </c>
      <c r="P114" s="150">
        <v>1401</v>
      </c>
      <c r="Q114" s="150">
        <v>45255</v>
      </c>
      <c r="R114" s="16">
        <v>3970</v>
      </c>
      <c r="S114" s="16">
        <v>282397</v>
      </c>
      <c r="T114" s="150">
        <v>33392</v>
      </c>
      <c r="U114" s="150">
        <v>33392</v>
      </c>
      <c r="V114" s="150">
        <v>33285</v>
      </c>
      <c r="W114" s="150">
        <v>33356</v>
      </c>
      <c r="X114" s="150">
        <v>33356</v>
      </c>
      <c r="Y114" s="10">
        <v>55604</v>
      </c>
      <c r="Z114" s="16">
        <v>8605</v>
      </c>
      <c r="AA114" s="150">
        <v>17726</v>
      </c>
    </row>
    <row r="115" spans="1:27" x14ac:dyDescent="0.35">
      <c r="A115" s="19">
        <v>1862</v>
      </c>
      <c r="B115" s="20" t="s">
        <v>162</v>
      </c>
      <c r="C115" s="150">
        <v>6825373</v>
      </c>
      <c r="D115" s="150">
        <v>12024174</v>
      </c>
      <c r="E115" s="150">
        <v>11780967</v>
      </c>
      <c r="F115" s="10">
        <v>16493352</v>
      </c>
      <c r="G115" s="10">
        <v>756536</v>
      </c>
      <c r="H115" s="156">
        <v>0</v>
      </c>
      <c r="I115" s="150">
        <v>0</v>
      </c>
      <c r="J115" s="16">
        <v>0</v>
      </c>
      <c r="K115" s="150">
        <v>0</v>
      </c>
      <c r="L115" s="150">
        <v>427486</v>
      </c>
      <c r="M115" s="150">
        <v>486388</v>
      </c>
      <c r="N115" s="10">
        <v>456938.05</v>
      </c>
      <c r="O115" s="150">
        <v>5290460</v>
      </c>
      <c r="P115" s="150">
        <v>21667</v>
      </c>
      <c r="Q115" s="150">
        <v>25365</v>
      </c>
      <c r="R115" s="16">
        <v>2225</v>
      </c>
      <c r="S115" s="16">
        <v>0</v>
      </c>
      <c r="T115" s="150">
        <v>567416</v>
      </c>
      <c r="U115" s="150">
        <v>567416</v>
      </c>
      <c r="V115" s="150">
        <v>565606</v>
      </c>
      <c r="W115" s="150">
        <v>566813</v>
      </c>
      <c r="X115" s="150">
        <v>566812</v>
      </c>
      <c r="Y115" s="10">
        <v>944846</v>
      </c>
      <c r="Z115" s="16">
        <v>34983</v>
      </c>
      <c r="AA115" s="150">
        <v>297969</v>
      </c>
    </row>
    <row r="116" spans="1:27" x14ac:dyDescent="0.35">
      <c r="A116" s="19">
        <v>1870</v>
      </c>
      <c r="B116" s="20" t="s">
        <v>163</v>
      </c>
      <c r="C116" s="150">
        <v>0</v>
      </c>
      <c r="D116" s="150">
        <v>0</v>
      </c>
      <c r="E116" s="150">
        <v>0</v>
      </c>
      <c r="F116" s="10">
        <v>0</v>
      </c>
      <c r="G116" s="10">
        <v>0</v>
      </c>
      <c r="H116" s="156">
        <v>1384</v>
      </c>
      <c r="I116" s="150">
        <v>865</v>
      </c>
      <c r="J116" s="16">
        <v>1212</v>
      </c>
      <c r="K116" s="150">
        <v>0</v>
      </c>
      <c r="L116" s="150">
        <v>16816</v>
      </c>
      <c r="M116" s="150">
        <v>16384</v>
      </c>
      <c r="N116" s="10">
        <v>16600.060000000001</v>
      </c>
      <c r="O116" s="150">
        <v>114268</v>
      </c>
      <c r="P116" s="150">
        <v>468</v>
      </c>
      <c r="Q116" s="150">
        <v>3810</v>
      </c>
      <c r="R116" s="16">
        <v>334</v>
      </c>
      <c r="S116" s="16">
        <v>0</v>
      </c>
      <c r="T116" s="150">
        <v>10164</v>
      </c>
      <c r="U116" s="150">
        <v>10164</v>
      </c>
      <c r="V116" s="150">
        <v>10131</v>
      </c>
      <c r="W116" s="150">
        <v>10153</v>
      </c>
      <c r="X116" s="150">
        <v>10153</v>
      </c>
      <c r="Y116" s="10">
        <v>16925</v>
      </c>
      <c r="Z116" s="16">
        <v>0</v>
      </c>
      <c r="AA116" s="150">
        <v>8613</v>
      </c>
    </row>
    <row r="117" spans="1:27" x14ac:dyDescent="0.35">
      <c r="A117" s="19">
        <v>1883</v>
      </c>
      <c r="B117" s="20" t="s">
        <v>164</v>
      </c>
      <c r="C117" s="150">
        <v>2530413</v>
      </c>
      <c r="D117" s="150">
        <v>4484287</v>
      </c>
      <c r="E117" s="150">
        <v>4384188</v>
      </c>
      <c r="F117" s="10">
        <v>6137863</v>
      </c>
      <c r="G117" s="10">
        <v>281538</v>
      </c>
      <c r="H117" s="156">
        <v>0</v>
      </c>
      <c r="I117" s="150">
        <v>0</v>
      </c>
      <c r="J117" s="16">
        <v>0</v>
      </c>
      <c r="K117" s="150">
        <v>0</v>
      </c>
      <c r="L117" s="150">
        <v>0</v>
      </c>
      <c r="M117" s="150">
        <v>0</v>
      </c>
      <c r="N117" s="10">
        <v>0</v>
      </c>
      <c r="O117" s="150">
        <v>1979656</v>
      </c>
      <c r="P117" s="150">
        <v>8108</v>
      </c>
      <c r="Q117" s="150">
        <v>15910</v>
      </c>
      <c r="R117" s="16">
        <v>1396</v>
      </c>
      <c r="S117" s="16">
        <v>0</v>
      </c>
      <c r="T117" s="150">
        <v>292621</v>
      </c>
      <c r="U117" s="150">
        <v>292621</v>
      </c>
      <c r="V117" s="150">
        <v>291687</v>
      </c>
      <c r="W117" s="150">
        <v>292310</v>
      </c>
      <c r="X117" s="150">
        <v>292309</v>
      </c>
      <c r="Y117" s="10">
        <v>487266</v>
      </c>
      <c r="Z117" s="16">
        <v>33048</v>
      </c>
      <c r="AA117" s="150">
        <v>105354</v>
      </c>
    </row>
    <row r="118" spans="1:27" x14ac:dyDescent="0.35">
      <c r="A118" s="19">
        <v>1890</v>
      </c>
      <c r="B118" s="20" t="s">
        <v>165</v>
      </c>
      <c r="C118" s="150">
        <v>34568</v>
      </c>
      <c r="D118" s="150">
        <v>59485</v>
      </c>
      <c r="E118" s="150">
        <v>58783</v>
      </c>
      <c r="F118" s="10">
        <v>82297</v>
      </c>
      <c r="G118" s="10">
        <v>3775</v>
      </c>
      <c r="H118" s="156">
        <v>2472</v>
      </c>
      <c r="I118" s="150">
        <v>1545</v>
      </c>
      <c r="J118" s="16">
        <v>2162</v>
      </c>
      <c r="K118" s="150">
        <v>0</v>
      </c>
      <c r="L118" s="150">
        <v>0</v>
      </c>
      <c r="M118" s="150">
        <v>0</v>
      </c>
      <c r="N118" s="10">
        <v>0</v>
      </c>
      <c r="O118" s="150">
        <v>509012</v>
      </c>
      <c r="P118" s="150">
        <v>2085</v>
      </c>
      <c r="Q118" s="150">
        <v>12285</v>
      </c>
      <c r="R118" s="16">
        <v>1078</v>
      </c>
      <c r="S118" s="16">
        <v>0</v>
      </c>
      <c r="T118" s="150">
        <v>76709</v>
      </c>
      <c r="U118" s="150">
        <v>76710</v>
      </c>
      <c r="V118" s="150">
        <v>76464</v>
      </c>
      <c r="W118" s="150">
        <v>76628</v>
      </c>
      <c r="X118" s="150">
        <v>76628</v>
      </c>
      <c r="Y118" s="10">
        <v>127735</v>
      </c>
      <c r="Z118" s="16">
        <v>45723</v>
      </c>
      <c r="AA118" s="150">
        <v>28408</v>
      </c>
    </row>
    <row r="119" spans="1:27" x14ac:dyDescent="0.35">
      <c r="A119" s="19">
        <v>1900</v>
      </c>
      <c r="B119" s="20" t="s">
        <v>166</v>
      </c>
      <c r="C119" s="150">
        <v>2796854</v>
      </c>
      <c r="D119" s="150">
        <v>5500273</v>
      </c>
      <c r="E119" s="150">
        <v>5185704</v>
      </c>
      <c r="F119" s="10">
        <v>7259986</v>
      </c>
      <c r="G119" s="10">
        <v>333009</v>
      </c>
      <c r="H119" s="156">
        <v>0</v>
      </c>
      <c r="I119" s="150">
        <v>0</v>
      </c>
      <c r="J119" s="16">
        <v>0</v>
      </c>
      <c r="K119" s="150">
        <v>0</v>
      </c>
      <c r="L119" s="150">
        <v>0</v>
      </c>
      <c r="M119" s="150">
        <v>0</v>
      </c>
      <c r="N119" s="10">
        <v>0</v>
      </c>
      <c r="O119" s="150">
        <v>3196536</v>
      </c>
      <c r="P119" s="150">
        <v>13091</v>
      </c>
      <c r="Q119" s="150">
        <v>91185</v>
      </c>
      <c r="R119" s="16">
        <v>7999</v>
      </c>
      <c r="S119" s="16">
        <v>0</v>
      </c>
      <c r="T119" s="150">
        <v>299144</v>
      </c>
      <c r="U119" s="150">
        <v>299145</v>
      </c>
      <c r="V119" s="150">
        <v>298189</v>
      </c>
      <c r="W119" s="150">
        <v>298826</v>
      </c>
      <c r="X119" s="150">
        <v>298826</v>
      </c>
      <c r="Y119" s="10">
        <v>498129</v>
      </c>
      <c r="Z119" s="16">
        <v>4568</v>
      </c>
      <c r="AA119" s="150">
        <v>188309</v>
      </c>
    </row>
    <row r="120" spans="1:27" x14ac:dyDescent="0.35">
      <c r="A120" s="19">
        <v>1939</v>
      </c>
      <c r="B120" s="20" t="s">
        <v>167</v>
      </c>
      <c r="C120" s="150">
        <v>420629</v>
      </c>
      <c r="D120" s="150">
        <v>770289</v>
      </c>
      <c r="E120" s="150">
        <v>744324</v>
      </c>
      <c r="F120" s="10">
        <v>1042054</v>
      </c>
      <c r="G120" s="10">
        <v>47798</v>
      </c>
      <c r="H120" s="156">
        <v>0</v>
      </c>
      <c r="I120" s="150">
        <v>0</v>
      </c>
      <c r="J120" s="16">
        <v>0</v>
      </c>
      <c r="K120" s="150">
        <v>35373</v>
      </c>
      <c r="L120" s="150">
        <v>54874</v>
      </c>
      <c r="M120" s="150">
        <v>53462</v>
      </c>
      <c r="N120" s="10">
        <v>54169.440000000002</v>
      </c>
      <c r="O120" s="150">
        <v>368774</v>
      </c>
      <c r="P120" s="150">
        <v>1510</v>
      </c>
      <c r="Q120" s="150">
        <v>27920</v>
      </c>
      <c r="R120" s="16">
        <v>2449</v>
      </c>
      <c r="S120" s="16">
        <v>5076</v>
      </c>
      <c r="T120" s="150">
        <v>24465</v>
      </c>
      <c r="U120" s="150">
        <v>24465</v>
      </c>
      <c r="V120" s="150">
        <v>24388</v>
      </c>
      <c r="W120" s="150">
        <v>24439</v>
      </c>
      <c r="X120" s="150">
        <v>24439</v>
      </c>
      <c r="Y120" s="10">
        <v>40737</v>
      </c>
      <c r="Z120" s="16">
        <v>0</v>
      </c>
      <c r="AA120" s="150">
        <v>23468</v>
      </c>
    </row>
    <row r="121" spans="1:27" x14ac:dyDescent="0.35">
      <c r="A121" s="19">
        <v>1953</v>
      </c>
      <c r="B121" s="20" t="s">
        <v>168</v>
      </c>
      <c r="C121" s="150">
        <v>1364425</v>
      </c>
      <c r="D121" s="150">
        <v>2485431</v>
      </c>
      <c r="E121" s="150">
        <v>2406160</v>
      </c>
      <c r="F121" s="10">
        <v>3368625</v>
      </c>
      <c r="G121" s="10">
        <v>154516</v>
      </c>
      <c r="H121" s="156">
        <v>0</v>
      </c>
      <c r="I121" s="150">
        <v>0</v>
      </c>
      <c r="J121" s="16">
        <v>0</v>
      </c>
      <c r="K121" s="150">
        <v>0</v>
      </c>
      <c r="L121" s="150">
        <v>0</v>
      </c>
      <c r="M121" s="150">
        <v>0</v>
      </c>
      <c r="N121" s="10">
        <v>0</v>
      </c>
      <c r="O121" s="150">
        <v>1179780</v>
      </c>
      <c r="P121" s="150">
        <v>4832</v>
      </c>
      <c r="Q121" s="150">
        <v>47195</v>
      </c>
      <c r="R121" s="16">
        <v>4140</v>
      </c>
      <c r="S121" s="16">
        <v>0</v>
      </c>
      <c r="T121" s="150">
        <v>98353</v>
      </c>
      <c r="U121" s="150">
        <v>98353</v>
      </c>
      <c r="V121" s="150">
        <v>98038</v>
      </c>
      <c r="W121" s="150">
        <v>98248</v>
      </c>
      <c r="X121" s="150">
        <v>98248</v>
      </c>
      <c r="Y121" s="10">
        <v>163777</v>
      </c>
      <c r="Z121" s="16">
        <v>0</v>
      </c>
      <c r="AA121" s="150">
        <v>77113</v>
      </c>
    </row>
    <row r="122" spans="1:27" x14ac:dyDescent="0.35">
      <c r="A122" s="19">
        <v>2009</v>
      </c>
      <c r="B122" s="20" t="s">
        <v>169</v>
      </c>
      <c r="C122" s="150">
        <v>1386000</v>
      </c>
      <c r="D122" s="150">
        <v>2406517</v>
      </c>
      <c r="E122" s="150">
        <v>2370323</v>
      </c>
      <c r="F122" s="10">
        <v>3318451</v>
      </c>
      <c r="G122" s="10">
        <v>152215</v>
      </c>
      <c r="H122" s="156">
        <v>0</v>
      </c>
      <c r="I122" s="150">
        <v>0</v>
      </c>
      <c r="J122" s="16">
        <v>0</v>
      </c>
      <c r="K122" s="150">
        <v>0</v>
      </c>
      <c r="L122" s="150">
        <v>101782</v>
      </c>
      <c r="M122" s="150">
        <v>114892</v>
      </c>
      <c r="N122" s="10">
        <v>108336.89</v>
      </c>
      <c r="O122" s="150">
        <v>1049188</v>
      </c>
      <c r="P122" s="150">
        <v>4297</v>
      </c>
      <c r="Q122" s="150">
        <v>56660</v>
      </c>
      <c r="R122" s="16">
        <v>4971</v>
      </c>
      <c r="S122" s="16">
        <v>0</v>
      </c>
      <c r="T122" s="150">
        <v>96358</v>
      </c>
      <c r="U122" s="150">
        <v>65862</v>
      </c>
      <c r="V122" s="150">
        <v>80833</v>
      </c>
      <c r="W122" s="150">
        <v>42122</v>
      </c>
      <c r="X122" s="150">
        <v>71293</v>
      </c>
      <c r="Y122" s="10">
        <v>118843</v>
      </c>
      <c r="Z122" s="16">
        <v>0</v>
      </c>
      <c r="AA122" s="150">
        <v>62625</v>
      </c>
    </row>
    <row r="123" spans="1:27" x14ac:dyDescent="0.35">
      <c r="A123" s="19">
        <v>2044</v>
      </c>
      <c r="B123" s="20" t="s">
        <v>170</v>
      </c>
      <c r="C123" s="150">
        <v>0</v>
      </c>
      <c r="D123" s="150">
        <v>0</v>
      </c>
      <c r="E123" s="150">
        <v>0</v>
      </c>
      <c r="F123" s="10">
        <v>0</v>
      </c>
      <c r="G123" s="10">
        <v>0</v>
      </c>
      <c r="H123" s="156">
        <v>0</v>
      </c>
      <c r="I123" s="150">
        <v>0</v>
      </c>
      <c r="J123" s="16">
        <v>0</v>
      </c>
      <c r="K123" s="150">
        <v>0</v>
      </c>
      <c r="L123" s="150">
        <v>0</v>
      </c>
      <c r="M123" s="150">
        <v>0</v>
      </c>
      <c r="N123" s="10">
        <v>0</v>
      </c>
      <c r="O123" s="150">
        <v>92008</v>
      </c>
      <c r="P123" s="150">
        <v>377</v>
      </c>
      <c r="Q123" s="150">
        <v>1375</v>
      </c>
      <c r="R123" s="16">
        <v>121</v>
      </c>
      <c r="S123" s="16">
        <v>0</v>
      </c>
      <c r="T123" s="150">
        <v>10432</v>
      </c>
      <c r="U123" s="150">
        <v>10433</v>
      </c>
      <c r="V123" s="150">
        <v>10399</v>
      </c>
      <c r="W123" s="150">
        <v>10421</v>
      </c>
      <c r="X123" s="150">
        <v>10421</v>
      </c>
      <c r="Y123" s="10">
        <v>17371</v>
      </c>
      <c r="Z123" s="16">
        <v>0</v>
      </c>
      <c r="AA123" s="150">
        <v>3972</v>
      </c>
    </row>
    <row r="124" spans="1:27" x14ac:dyDescent="0.35">
      <c r="A124" s="19">
        <v>2051</v>
      </c>
      <c r="B124" s="20" t="s">
        <v>171</v>
      </c>
      <c r="C124" s="150">
        <v>697271</v>
      </c>
      <c r="D124" s="150">
        <v>1157142</v>
      </c>
      <c r="E124" s="150">
        <v>1159008</v>
      </c>
      <c r="F124" s="10">
        <v>1622611</v>
      </c>
      <c r="G124" s="10">
        <v>74428</v>
      </c>
      <c r="H124" s="156">
        <v>0</v>
      </c>
      <c r="I124" s="150">
        <v>0</v>
      </c>
      <c r="J124" s="16">
        <v>0</v>
      </c>
      <c r="K124" s="150">
        <v>0</v>
      </c>
      <c r="L124" s="150">
        <v>0</v>
      </c>
      <c r="M124" s="150">
        <v>0</v>
      </c>
      <c r="N124" s="10">
        <v>0</v>
      </c>
      <c r="O124" s="150">
        <v>460040</v>
      </c>
      <c r="P124" s="150">
        <v>1884</v>
      </c>
      <c r="Q124" s="150">
        <v>8195</v>
      </c>
      <c r="R124" s="16">
        <v>719</v>
      </c>
      <c r="S124" s="16">
        <v>0</v>
      </c>
      <c r="T124" s="150">
        <v>24348</v>
      </c>
      <c r="U124" s="150">
        <v>24348</v>
      </c>
      <c r="V124" s="150">
        <v>24271</v>
      </c>
      <c r="W124" s="150">
        <v>24322</v>
      </c>
      <c r="X124" s="150">
        <v>24323</v>
      </c>
      <c r="Y124" s="10">
        <v>40545</v>
      </c>
      <c r="Z124" s="16">
        <v>0</v>
      </c>
      <c r="AA124" s="150">
        <v>24903</v>
      </c>
    </row>
    <row r="125" spans="1:27" x14ac:dyDescent="0.35">
      <c r="A125" s="19">
        <v>2058</v>
      </c>
      <c r="B125" s="20" t="s">
        <v>172</v>
      </c>
      <c r="C125" s="150">
        <v>1376653</v>
      </c>
      <c r="D125" s="150">
        <v>2763660</v>
      </c>
      <c r="E125" s="150">
        <v>2587696</v>
      </c>
      <c r="F125" s="10">
        <v>3622774</v>
      </c>
      <c r="G125" s="10">
        <v>166173</v>
      </c>
      <c r="H125" s="156">
        <v>0</v>
      </c>
      <c r="I125" s="150">
        <v>0</v>
      </c>
      <c r="J125" s="16">
        <v>0</v>
      </c>
      <c r="K125" s="150">
        <v>0</v>
      </c>
      <c r="L125" s="150">
        <v>0</v>
      </c>
      <c r="M125" s="150">
        <v>0</v>
      </c>
      <c r="N125" s="10">
        <v>0</v>
      </c>
      <c r="O125" s="150">
        <v>2864862</v>
      </c>
      <c r="P125" s="150">
        <v>11733</v>
      </c>
      <c r="Q125" s="150">
        <v>107820</v>
      </c>
      <c r="R125" s="16">
        <v>9459</v>
      </c>
      <c r="S125" s="16">
        <v>0</v>
      </c>
      <c r="T125" s="150">
        <v>327569</v>
      </c>
      <c r="U125" s="150">
        <v>327570</v>
      </c>
      <c r="V125" s="150">
        <v>326523</v>
      </c>
      <c r="W125" s="150">
        <v>327221</v>
      </c>
      <c r="X125" s="150">
        <v>327221</v>
      </c>
      <c r="Y125" s="10">
        <v>545461</v>
      </c>
      <c r="Z125" s="16">
        <v>20891</v>
      </c>
      <c r="AA125" s="150">
        <v>176291</v>
      </c>
    </row>
    <row r="126" spans="1:27" x14ac:dyDescent="0.35">
      <c r="A126" s="19">
        <v>2114</v>
      </c>
      <c r="B126" s="20" t="s">
        <v>173</v>
      </c>
      <c r="C126" s="150">
        <v>0</v>
      </c>
      <c r="D126" s="150">
        <v>0</v>
      </c>
      <c r="E126" s="150">
        <v>0</v>
      </c>
      <c r="F126" s="10">
        <v>0</v>
      </c>
      <c r="G126" s="10">
        <v>0</v>
      </c>
      <c r="H126" s="156">
        <v>865</v>
      </c>
      <c r="I126" s="150">
        <v>541</v>
      </c>
      <c r="J126" s="16">
        <v>756</v>
      </c>
      <c r="K126" s="150">
        <v>0</v>
      </c>
      <c r="L126" s="150">
        <v>0</v>
      </c>
      <c r="M126" s="150">
        <v>0</v>
      </c>
      <c r="N126" s="10">
        <v>0</v>
      </c>
      <c r="O126" s="150">
        <v>388808</v>
      </c>
      <c r="P126" s="150">
        <v>1592</v>
      </c>
      <c r="Q126" s="150">
        <v>39725</v>
      </c>
      <c r="R126" s="16">
        <v>3485</v>
      </c>
      <c r="S126" s="16">
        <v>219808</v>
      </c>
      <c r="T126" s="150">
        <v>52517</v>
      </c>
      <c r="U126" s="150">
        <v>52517</v>
      </c>
      <c r="V126" s="150">
        <v>52350</v>
      </c>
      <c r="W126" s="150">
        <v>52462</v>
      </c>
      <c r="X126" s="150">
        <v>52461</v>
      </c>
      <c r="Y126" s="10">
        <v>87450</v>
      </c>
      <c r="Z126" s="16">
        <v>0</v>
      </c>
      <c r="AA126" s="150">
        <v>24069</v>
      </c>
    </row>
    <row r="127" spans="1:27" x14ac:dyDescent="0.35">
      <c r="A127" s="19">
        <v>2128</v>
      </c>
      <c r="B127" s="20" t="s">
        <v>174</v>
      </c>
      <c r="C127" s="150">
        <v>561869</v>
      </c>
      <c r="D127" s="150">
        <v>952374</v>
      </c>
      <c r="E127" s="150">
        <v>946402</v>
      </c>
      <c r="F127" s="10">
        <v>1324962</v>
      </c>
      <c r="G127" s="10">
        <v>60775</v>
      </c>
      <c r="H127" s="156">
        <v>0</v>
      </c>
      <c r="I127" s="150">
        <v>0</v>
      </c>
      <c r="J127" s="16">
        <v>0</v>
      </c>
      <c r="K127" s="150">
        <v>40134</v>
      </c>
      <c r="L127" s="150">
        <v>69920</v>
      </c>
      <c r="M127" s="150">
        <v>90838</v>
      </c>
      <c r="N127" s="10">
        <v>80379.11</v>
      </c>
      <c r="O127" s="150">
        <v>424424</v>
      </c>
      <c r="P127" s="150">
        <v>1738</v>
      </c>
      <c r="Q127" s="150">
        <v>20900</v>
      </c>
      <c r="R127" s="16">
        <v>1834</v>
      </c>
      <c r="S127" s="16">
        <v>27655</v>
      </c>
      <c r="T127" s="150">
        <v>44929</v>
      </c>
      <c r="U127" s="150">
        <v>44930</v>
      </c>
      <c r="V127" s="150">
        <v>44786</v>
      </c>
      <c r="W127" s="150">
        <v>44881</v>
      </c>
      <c r="X127" s="150">
        <v>44882</v>
      </c>
      <c r="Y127" s="10">
        <v>74817</v>
      </c>
      <c r="Z127" s="16">
        <v>0</v>
      </c>
      <c r="AA127" s="150">
        <v>21531</v>
      </c>
    </row>
    <row r="128" spans="1:27" x14ac:dyDescent="0.35">
      <c r="A128" s="19">
        <v>2135</v>
      </c>
      <c r="B128" s="20" t="s">
        <v>175</v>
      </c>
      <c r="C128" s="150">
        <v>299861</v>
      </c>
      <c r="D128" s="150">
        <v>479949</v>
      </c>
      <c r="E128" s="150">
        <v>487381</v>
      </c>
      <c r="F128" s="10">
        <v>682333</v>
      </c>
      <c r="G128" s="10">
        <v>31298</v>
      </c>
      <c r="H128" s="156">
        <v>0</v>
      </c>
      <c r="I128" s="150">
        <v>0</v>
      </c>
      <c r="J128" s="16">
        <v>0</v>
      </c>
      <c r="K128" s="150">
        <v>25522</v>
      </c>
      <c r="L128" s="150">
        <v>28322</v>
      </c>
      <c r="M128" s="150">
        <v>27594</v>
      </c>
      <c r="N128" s="10">
        <v>27957.78</v>
      </c>
      <c r="O128" s="150">
        <v>268604</v>
      </c>
      <c r="P128" s="150">
        <v>1100</v>
      </c>
      <c r="Q128" s="150">
        <v>34655</v>
      </c>
      <c r="R128" s="16">
        <v>3040</v>
      </c>
      <c r="S128" s="16">
        <v>171189</v>
      </c>
      <c r="T128" s="150">
        <v>14436</v>
      </c>
      <c r="U128" s="150">
        <v>14435</v>
      </c>
      <c r="V128" s="150">
        <v>14390</v>
      </c>
      <c r="W128" s="150">
        <v>14421</v>
      </c>
      <c r="X128" s="150">
        <v>14420</v>
      </c>
      <c r="Y128" s="10">
        <v>24037</v>
      </c>
      <c r="Z128" s="16">
        <v>0</v>
      </c>
      <c r="AA128" s="150">
        <v>17526</v>
      </c>
    </row>
    <row r="129" spans="1:27" x14ac:dyDescent="0.35">
      <c r="A129" s="19">
        <v>2142</v>
      </c>
      <c r="B129" s="20" t="s">
        <v>176</v>
      </c>
      <c r="C129" s="150">
        <v>152028</v>
      </c>
      <c r="D129" s="150">
        <v>252117</v>
      </c>
      <c r="E129" s="150">
        <v>252591</v>
      </c>
      <c r="F129" s="10">
        <v>353627</v>
      </c>
      <c r="G129" s="10">
        <v>16221</v>
      </c>
      <c r="H129" s="156">
        <v>0</v>
      </c>
      <c r="I129" s="150">
        <v>0</v>
      </c>
      <c r="J129" s="16">
        <v>0</v>
      </c>
      <c r="K129" s="150">
        <v>0</v>
      </c>
      <c r="L129" s="150">
        <v>0</v>
      </c>
      <c r="M129" s="150">
        <v>0</v>
      </c>
      <c r="N129" s="10">
        <v>0</v>
      </c>
      <c r="O129" s="150">
        <v>125398</v>
      </c>
      <c r="P129" s="150">
        <v>514</v>
      </c>
      <c r="Q129" s="150">
        <v>6235</v>
      </c>
      <c r="R129" s="16">
        <v>547</v>
      </c>
      <c r="S129" s="16">
        <v>13101</v>
      </c>
      <c r="T129" s="150">
        <v>3559</v>
      </c>
      <c r="U129" s="150">
        <v>3559</v>
      </c>
      <c r="V129" s="150">
        <v>3549</v>
      </c>
      <c r="W129" s="150">
        <v>3555</v>
      </c>
      <c r="X129" s="150">
        <v>3556</v>
      </c>
      <c r="Y129" s="10">
        <v>5927</v>
      </c>
      <c r="Z129" s="16">
        <v>0</v>
      </c>
      <c r="AA129" s="150">
        <v>9080</v>
      </c>
    </row>
    <row r="130" spans="1:27" x14ac:dyDescent="0.35">
      <c r="A130" s="19">
        <v>2184</v>
      </c>
      <c r="B130" s="20" t="s">
        <v>177</v>
      </c>
      <c r="C130" s="150">
        <v>47286</v>
      </c>
      <c r="D130" s="150">
        <v>59064</v>
      </c>
      <c r="E130" s="150">
        <v>66469</v>
      </c>
      <c r="F130" s="10">
        <v>93057</v>
      </c>
      <c r="G130" s="10">
        <v>4268</v>
      </c>
      <c r="H130" s="156">
        <v>819</v>
      </c>
      <c r="I130" s="150">
        <v>512</v>
      </c>
      <c r="J130" s="16">
        <v>716</v>
      </c>
      <c r="K130" s="150">
        <v>0</v>
      </c>
      <c r="L130" s="150">
        <v>0</v>
      </c>
      <c r="M130" s="150">
        <v>0</v>
      </c>
      <c r="N130" s="10">
        <v>0</v>
      </c>
      <c r="O130" s="150">
        <v>693770</v>
      </c>
      <c r="P130" s="150">
        <v>2841</v>
      </c>
      <c r="Q130" s="150">
        <v>18620</v>
      </c>
      <c r="R130" s="16">
        <v>1633</v>
      </c>
      <c r="S130" s="16">
        <v>0</v>
      </c>
      <c r="T130" s="150">
        <v>120907</v>
      </c>
      <c r="U130" s="150">
        <v>120908</v>
      </c>
      <c r="V130" s="150">
        <v>120522</v>
      </c>
      <c r="W130" s="150">
        <v>120779</v>
      </c>
      <c r="X130" s="150">
        <v>120780</v>
      </c>
      <c r="Y130" s="10">
        <v>201331</v>
      </c>
      <c r="Z130" s="16">
        <v>548</v>
      </c>
      <c r="AA130" s="150">
        <v>38723</v>
      </c>
    </row>
    <row r="131" spans="1:27" x14ac:dyDescent="0.35">
      <c r="A131" s="19">
        <v>2198</v>
      </c>
      <c r="B131" s="20" t="s">
        <v>178</v>
      </c>
      <c r="C131" s="150">
        <v>797142</v>
      </c>
      <c r="D131" s="150">
        <v>1313226</v>
      </c>
      <c r="E131" s="150">
        <v>1318980</v>
      </c>
      <c r="F131" s="10">
        <v>1846571</v>
      </c>
      <c r="G131" s="10">
        <v>84701</v>
      </c>
      <c r="H131" s="156">
        <v>0</v>
      </c>
      <c r="I131" s="150">
        <v>0</v>
      </c>
      <c r="J131" s="16">
        <v>0</v>
      </c>
      <c r="K131" s="150">
        <v>0</v>
      </c>
      <c r="L131" s="150">
        <v>0</v>
      </c>
      <c r="M131" s="150">
        <v>0</v>
      </c>
      <c r="N131" s="10">
        <v>0</v>
      </c>
      <c r="O131" s="150">
        <v>514206</v>
      </c>
      <c r="P131" s="150">
        <v>2106</v>
      </c>
      <c r="Q131" s="150">
        <v>40325</v>
      </c>
      <c r="R131" s="16">
        <v>3538</v>
      </c>
      <c r="S131" s="16">
        <v>5500</v>
      </c>
      <c r="T131" s="150">
        <v>42037</v>
      </c>
      <c r="U131" s="150">
        <v>42037</v>
      </c>
      <c r="V131" s="150">
        <v>41904</v>
      </c>
      <c r="W131" s="150">
        <v>41993</v>
      </c>
      <c r="X131" s="150">
        <v>41992</v>
      </c>
      <c r="Y131" s="10">
        <v>70000</v>
      </c>
      <c r="Z131" s="16">
        <v>0</v>
      </c>
      <c r="AA131" s="150">
        <v>31580</v>
      </c>
    </row>
    <row r="132" spans="1:27" x14ac:dyDescent="0.35">
      <c r="A132" s="19">
        <v>2212</v>
      </c>
      <c r="B132" s="20" t="s">
        <v>179</v>
      </c>
      <c r="C132" s="150">
        <v>8082</v>
      </c>
      <c r="D132" s="150">
        <v>11231</v>
      </c>
      <c r="E132" s="150">
        <v>12071</v>
      </c>
      <c r="F132" s="10">
        <v>16899</v>
      </c>
      <c r="G132" s="10">
        <v>775</v>
      </c>
      <c r="H132" s="156">
        <v>14478</v>
      </c>
      <c r="I132" s="150">
        <v>9049</v>
      </c>
      <c r="J132" s="16">
        <v>12669</v>
      </c>
      <c r="K132" s="150">
        <v>7604</v>
      </c>
      <c r="L132" s="150">
        <v>15046</v>
      </c>
      <c r="M132" s="150">
        <v>14660</v>
      </c>
      <c r="N132" s="10">
        <v>14851.94</v>
      </c>
      <c r="O132" s="150">
        <v>81620</v>
      </c>
      <c r="P132" s="150">
        <v>334</v>
      </c>
      <c r="Q132" s="150">
        <v>4360</v>
      </c>
      <c r="R132" s="16">
        <v>382</v>
      </c>
      <c r="S132" s="16">
        <v>21331</v>
      </c>
      <c r="T132" s="150">
        <v>10062</v>
      </c>
      <c r="U132" s="150">
        <v>10061</v>
      </c>
      <c r="V132" s="150">
        <v>10030</v>
      </c>
      <c r="W132" s="150">
        <v>10051</v>
      </c>
      <c r="X132" s="150">
        <v>10051</v>
      </c>
      <c r="Y132" s="10">
        <v>16755</v>
      </c>
      <c r="Z132" s="16">
        <v>0</v>
      </c>
      <c r="AA132" s="150">
        <v>4106</v>
      </c>
    </row>
    <row r="133" spans="1:27" x14ac:dyDescent="0.35">
      <c r="A133" s="19">
        <v>2217</v>
      </c>
      <c r="B133" s="20" t="s">
        <v>180</v>
      </c>
      <c r="C133" s="150">
        <v>759985</v>
      </c>
      <c r="D133" s="150">
        <v>1730917</v>
      </c>
      <c r="E133" s="150">
        <v>1556814</v>
      </c>
      <c r="F133" s="10">
        <v>2179539</v>
      </c>
      <c r="G133" s="10">
        <v>99974</v>
      </c>
      <c r="H133" s="156">
        <v>0</v>
      </c>
      <c r="I133" s="150">
        <v>0</v>
      </c>
      <c r="J133" s="16">
        <v>0</v>
      </c>
      <c r="K133" s="150">
        <v>0</v>
      </c>
      <c r="L133" s="150">
        <v>0</v>
      </c>
      <c r="M133" s="150">
        <v>0</v>
      </c>
      <c r="N133" s="10">
        <v>0</v>
      </c>
      <c r="O133" s="150">
        <v>1443190</v>
      </c>
      <c r="P133" s="150">
        <v>5911</v>
      </c>
      <c r="Q133" s="150">
        <v>26215</v>
      </c>
      <c r="R133" s="16">
        <v>2300</v>
      </c>
      <c r="S133" s="16">
        <v>0</v>
      </c>
      <c r="T133" s="150">
        <v>174865</v>
      </c>
      <c r="U133" s="150">
        <v>174866</v>
      </c>
      <c r="V133" s="150">
        <v>174307</v>
      </c>
      <c r="W133" s="150">
        <v>174679</v>
      </c>
      <c r="X133" s="150">
        <v>174679</v>
      </c>
      <c r="Y133" s="10">
        <v>291181</v>
      </c>
      <c r="Z133" s="16">
        <v>0</v>
      </c>
      <c r="AA133" s="150">
        <v>105421</v>
      </c>
    </row>
    <row r="134" spans="1:27" x14ac:dyDescent="0.35">
      <c r="A134" s="19">
        <v>2226</v>
      </c>
      <c r="B134" s="20" t="s">
        <v>181</v>
      </c>
      <c r="C134" s="150">
        <v>242433</v>
      </c>
      <c r="D134" s="150">
        <v>429417</v>
      </c>
      <c r="E134" s="150">
        <v>419906</v>
      </c>
      <c r="F134" s="10">
        <v>587870</v>
      </c>
      <c r="G134" s="10">
        <v>26965</v>
      </c>
      <c r="H134" s="156">
        <v>0</v>
      </c>
      <c r="I134" s="150">
        <v>0</v>
      </c>
      <c r="J134" s="16">
        <v>0</v>
      </c>
      <c r="K134" s="150">
        <v>15868</v>
      </c>
      <c r="L134" s="150">
        <v>32747</v>
      </c>
      <c r="M134" s="150">
        <v>31905</v>
      </c>
      <c r="N134" s="10">
        <v>32327.06</v>
      </c>
      <c r="O134" s="150">
        <v>174370</v>
      </c>
      <c r="P134" s="150">
        <v>714</v>
      </c>
      <c r="Q134" s="150">
        <v>6035</v>
      </c>
      <c r="R134" s="16">
        <v>529</v>
      </c>
      <c r="S134" s="16">
        <v>16604</v>
      </c>
      <c r="T134" s="150">
        <v>9968</v>
      </c>
      <c r="U134" s="150">
        <v>9968</v>
      </c>
      <c r="V134" s="150">
        <v>9936</v>
      </c>
      <c r="W134" s="150">
        <v>9957</v>
      </c>
      <c r="X134" s="150">
        <v>9958</v>
      </c>
      <c r="Y134" s="10">
        <v>16598</v>
      </c>
      <c r="Z134" s="16">
        <v>7043</v>
      </c>
      <c r="AA134" s="150">
        <v>18727</v>
      </c>
    </row>
    <row r="135" spans="1:27" x14ac:dyDescent="0.35">
      <c r="A135" s="19">
        <v>2233</v>
      </c>
      <c r="B135" s="20" t="s">
        <v>182</v>
      </c>
      <c r="C135" s="150">
        <v>709375</v>
      </c>
      <c r="D135" s="150">
        <v>1310440</v>
      </c>
      <c r="E135" s="150">
        <v>1262384</v>
      </c>
      <c r="F135" s="10">
        <v>1767338</v>
      </c>
      <c r="G135" s="10">
        <v>81066</v>
      </c>
      <c r="H135" s="156">
        <v>0</v>
      </c>
      <c r="I135" s="150">
        <v>0</v>
      </c>
      <c r="J135" s="16">
        <v>0</v>
      </c>
      <c r="K135" s="150">
        <v>0</v>
      </c>
      <c r="L135" s="150">
        <v>103553</v>
      </c>
      <c r="M135" s="150">
        <v>100889</v>
      </c>
      <c r="N135" s="10">
        <v>102221.5</v>
      </c>
      <c r="O135" s="150">
        <v>616602</v>
      </c>
      <c r="P135" s="150">
        <v>2525</v>
      </c>
      <c r="Q135" s="150">
        <v>46190</v>
      </c>
      <c r="R135" s="16">
        <v>4052</v>
      </c>
      <c r="S135" s="16">
        <v>113969</v>
      </c>
      <c r="T135" s="150">
        <v>64887</v>
      </c>
      <c r="U135" s="150">
        <v>64886</v>
      </c>
      <c r="V135" s="150">
        <v>64680</v>
      </c>
      <c r="W135" s="150">
        <v>64817</v>
      </c>
      <c r="X135" s="150">
        <v>64818</v>
      </c>
      <c r="Y135" s="10">
        <v>108050</v>
      </c>
      <c r="Z135" s="16">
        <v>0</v>
      </c>
      <c r="AA135" s="150">
        <v>32948</v>
      </c>
    </row>
    <row r="136" spans="1:27" x14ac:dyDescent="0.35">
      <c r="A136" s="19">
        <v>2289</v>
      </c>
      <c r="B136" s="20" t="s">
        <v>183</v>
      </c>
      <c r="C136" s="150">
        <v>23518867</v>
      </c>
      <c r="D136" s="150">
        <v>41586296</v>
      </c>
      <c r="E136" s="150">
        <v>40690727</v>
      </c>
      <c r="F136" s="10">
        <v>56967017</v>
      </c>
      <c r="G136" s="10">
        <v>2613027</v>
      </c>
      <c r="H136" s="156">
        <v>0</v>
      </c>
      <c r="I136" s="150">
        <v>0</v>
      </c>
      <c r="J136" s="16">
        <v>0</v>
      </c>
      <c r="K136" s="150">
        <v>1475819</v>
      </c>
      <c r="L136" s="150">
        <v>1550634</v>
      </c>
      <c r="M136" s="150">
        <v>1510758</v>
      </c>
      <c r="N136" s="10">
        <v>1530697.31</v>
      </c>
      <c r="O136" s="150">
        <v>15622068</v>
      </c>
      <c r="P136" s="150">
        <v>63981</v>
      </c>
      <c r="Q136" s="150">
        <v>186775</v>
      </c>
      <c r="R136" s="16">
        <v>16385</v>
      </c>
      <c r="S136" s="16">
        <v>0</v>
      </c>
      <c r="T136" s="150">
        <v>1811927</v>
      </c>
      <c r="U136" s="150">
        <v>1811927</v>
      </c>
      <c r="V136" s="150">
        <v>1806146</v>
      </c>
      <c r="W136" s="150">
        <v>1810000</v>
      </c>
      <c r="X136" s="150">
        <v>1810000</v>
      </c>
      <c r="Y136" s="10">
        <v>3017172</v>
      </c>
      <c r="Z136" s="16">
        <v>152428</v>
      </c>
      <c r="AA136" s="150">
        <v>1121440</v>
      </c>
    </row>
    <row r="137" spans="1:27" x14ac:dyDescent="0.35">
      <c r="A137" s="19">
        <v>2310</v>
      </c>
      <c r="B137" s="20" t="s">
        <v>8</v>
      </c>
      <c r="C137" s="150">
        <v>0</v>
      </c>
      <c r="D137" s="150">
        <v>0</v>
      </c>
      <c r="E137" s="150">
        <v>0</v>
      </c>
      <c r="F137" s="10">
        <v>0</v>
      </c>
      <c r="G137" s="10">
        <v>0</v>
      </c>
      <c r="H137" s="156">
        <v>0</v>
      </c>
      <c r="I137" s="150">
        <v>0</v>
      </c>
      <c r="J137" s="16">
        <v>0</v>
      </c>
      <c r="K137" s="150">
        <v>0</v>
      </c>
      <c r="L137" s="150">
        <v>0</v>
      </c>
      <c r="M137" s="150">
        <v>0</v>
      </c>
      <c r="N137" s="10">
        <v>0</v>
      </c>
      <c r="O137" s="150">
        <v>197372</v>
      </c>
      <c r="P137" s="150">
        <v>808</v>
      </c>
      <c r="Q137" s="150">
        <v>3655</v>
      </c>
      <c r="R137" s="16">
        <v>321</v>
      </c>
      <c r="S137" s="16">
        <v>0</v>
      </c>
      <c r="T137" s="150">
        <v>16154</v>
      </c>
      <c r="U137" s="150">
        <v>16154</v>
      </c>
      <c r="V137" s="150">
        <v>16103</v>
      </c>
      <c r="W137" s="150">
        <v>16136</v>
      </c>
      <c r="X137" s="150">
        <v>16137</v>
      </c>
      <c r="Y137" s="10">
        <v>26901</v>
      </c>
      <c r="Z137" s="16">
        <v>0</v>
      </c>
      <c r="AA137" s="150">
        <v>12719</v>
      </c>
    </row>
    <row r="138" spans="1:27" x14ac:dyDescent="0.35">
      <c r="A138" s="19">
        <v>2296</v>
      </c>
      <c r="B138" s="20" t="s">
        <v>184</v>
      </c>
      <c r="C138" s="150">
        <v>2199436</v>
      </c>
      <c r="D138" s="150">
        <v>4526147</v>
      </c>
      <c r="E138" s="150">
        <v>4203490</v>
      </c>
      <c r="F138" s="10">
        <v>5884885</v>
      </c>
      <c r="G138" s="10">
        <v>269935</v>
      </c>
      <c r="H138" s="156">
        <v>0</v>
      </c>
      <c r="I138" s="150">
        <v>0</v>
      </c>
      <c r="J138" s="16">
        <v>0</v>
      </c>
      <c r="K138" s="150">
        <v>0</v>
      </c>
      <c r="L138" s="150">
        <v>0</v>
      </c>
      <c r="M138" s="150">
        <v>0</v>
      </c>
      <c r="N138" s="10">
        <v>0</v>
      </c>
      <c r="O138" s="150">
        <v>1853516</v>
      </c>
      <c r="P138" s="150">
        <v>7591</v>
      </c>
      <c r="Q138" s="150">
        <v>15775</v>
      </c>
      <c r="R138" s="16">
        <v>1384</v>
      </c>
      <c r="S138" s="16">
        <v>0</v>
      </c>
      <c r="T138" s="150">
        <v>198496</v>
      </c>
      <c r="U138" s="150">
        <v>198495</v>
      </c>
      <c r="V138" s="150">
        <v>197862</v>
      </c>
      <c r="W138" s="150">
        <v>198284</v>
      </c>
      <c r="X138" s="150">
        <v>198284</v>
      </c>
      <c r="Y138" s="10">
        <v>330528</v>
      </c>
      <c r="Z138" s="16">
        <v>1948</v>
      </c>
      <c r="AA138" s="150">
        <v>104887</v>
      </c>
    </row>
    <row r="139" spans="1:27" x14ac:dyDescent="0.35">
      <c r="A139" s="19">
        <v>2303</v>
      </c>
      <c r="B139" s="20" t="s">
        <v>185</v>
      </c>
      <c r="C139" s="150">
        <v>2915547</v>
      </c>
      <c r="D139" s="150">
        <v>5310724</v>
      </c>
      <c r="E139" s="150">
        <v>5141420</v>
      </c>
      <c r="F139" s="10">
        <v>7197988</v>
      </c>
      <c r="G139" s="10">
        <v>330165</v>
      </c>
      <c r="H139" s="156">
        <v>0</v>
      </c>
      <c r="I139" s="150">
        <v>0</v>
      </c>
      <c r="J139" s="16">
        <v>0</v>
      </c>
      <c r="K139" s="150">
        <v>0</v>
      </c>
      <c r="L139" s="150">
        <v>0</v>
      </c>
      <c r="M139" s="150">
        <v>0</v>
      </c>
      <c r="N139" s="10">
        <v>0</v>
      </c>
      <c r="O139" s="150">
        <v>2520574</v>
      </c>
      <c r="P139" s="150">
        <v>10323</v>
      </c>
      <c r="Q139" s="150">
        <v>47720</v>
      </c>
      <c r="R139" s="16">
        <v>4186</v>
      </c>
      <c r="S139" s="16">
        <v>0</v>
      </c>
      <c r="T139" s="150">
        <v>256166</v>
      </c>
      <c r="U139" s="150">
        <v>256166</v>
      </c>
      <c r="V139" s="150">
        <v>255350</v>
      </c>
      <c r="W139" s="150">
        <v>255893</v>
      </c>
      <c r="X139" s="150">
        <v>255894</v>
      </c>
      <c r="Y139" s="10">
        <v>426561</v>
      </c>
      <c r="Z139" s="16">
        <v>19727</v>
      </c>
      <c r="AA139" s="150">
        <v>139938</v>
      </c>
    </row>
    <row r="140" spans="1:27" x14ac:dyDescent="0.35">
      <c r="A140" s="19">
        <v>2394</v>
      </c>
      <c r="B140" s="20" t="s">
        <v>186</v>
      </c>
      <c r="C140" s="150">
        <v>343682</v>
      </c>
      <c r="D140" s="150">
        <v>649874</v>
      </c>
      <c r="E140" s="150">
        <v>620972</v>
      </c>
      <c r="F140" s="10">
        <v>869361</v>
      </c>
      <c r="G140" s="10">
        <v>39877</v>
      </c>
      <c r="H140" s="156">
        <v>0</v>
      </c>
      <c r="I140" s="150">
        <v>0</v>
      </c>
      <c r="J140" s="16">
        <v>0</v>
      </c>
      <c r="K140" s="150">
        <v>0</v>
      </c>
      <c r="L140" s="150">
        <v>38058</v>
      </c>
      <c r="M140" s="150">
        <v>37078</v>
      </c>
      <c r="N140" s="10">
        <v>37569.39</v>
      </c>
      <c r="O140" s="150">
        <v>285670</v>
      </c>
      <c r="P140" s="150">
        <v>1170</v>
      </c>
      <c r="Q140" s="150">
        <v>15780</v>
      </c>
      <c r="R140" s="16">
        <v>1384</v>
      </c>
      <c r="S140" s="16">
        <v>118203</v>
      </c>
      <c r="T140" s="150">
        <v>21815</v>
      </c>
      <c r="U140" s="150">
        <v>21815</v>
      </c>
      <c r="V140" s="150">
        <v>21745</v>
      </c>
      <c r="W140" s="150">
        <v>21792</v>
      </c>
      <c r="X140" s="150">
        <v>21792</v>
      </c>
      <c r="Y140" s="10">
        <v>36327</v>
      </c>
      <c r="Z140" s="16">
        <v>23889</v>
      </c>
      <c r="AA140" s="150">
        <v>28542</v>
      </c>
    </row>
    <row r="141" spans="1:27" x14ac:dyDescent="0.35">
      <c r="A141" s="19">
        <v>2415</v>
      </c>
      <c r="B141" s="20" t="s">
        <v>187</v>
      </c>
      <c r="C141" s="150">
        <v>240944</v>
      </c>
      <c r="D141" s="150">
        <v>385330</v>
      </c>
      <c r="E141" s="150">
        <v>391421</v>
      </c>
      <c r="F141" s="10">
        <v>547990</v>
      </c>
      <c r="G141" s="10">
        <v>25136</v>
      </c>
      <c r="H141" s="156">
        <v>0</v>
      </c>
      <c r="I141" s="150">
        <v>0</v>
      </c>
      <c r="J141" s="16">
        <v>0</v>
      </c>
      <c r="K141" s="150">
        <v>16992</v>
      </c>
      <c r="L141" s="150">
        <v>30092</v>
      </c>
      <c r="M141" s="150">
        <v>29318</v>
      </c>
      <c r="N141" s="10">
        <v>29705.89</v>
      </c>
      <c r="O141" s="150">
        <v>178080</v>
      </c>
      <c r="P141" s="150">
        <v>729</v>
      </c>
      <c r="Q141" s="150">
        <v>4295</v>
      </c>
      <c r="R141" s="16">
        <v>377</v>
      </c>
      <c r="S141" s="16">
        <v>44571</v>
      </c>
      <c r="T141" s="150">
        <v>20731</v>
      </c>
      <c r="U141" s="150">
        <v>20390</v>
      </c>
      <c r="V141" s="150">
        <v>20494</v>
      </c>
      <c r="W141" s="150">
        <v>20539</v>
      </c>
      <c r="X141" s="150">
        <v>20538</v>
      </c>
      <c r="Y141" s="10">
        <v>34238</v>
      </c>
      <c r="Z141" s="16">
        <v>0</v>
      </c>
      <c r="AA141" s="150">
        <v>9948</v>
      </c>
    </row>
    <row r="142" spans="1:27" x14ac:dyDescent="0.35">
      <c r="A142" s="19">
        <v>2420</v>
      </c>
      <c r="B142" s="20" t="s">
        <v>188</v>
      </c>
      <c r="C142" s="150">
        <v>3184813</v>
      </c>
      <c r="D142" s="150">
        <v>6214507</v>
      </c>
      <c r="E142" s="150">
        <v>5874575</v>
      </c>
      <c r="F142" s="10">
        <v>8224406</v>
      </c>
      <c r="G142" s="10">
        <v>377246</v>
      </c>
      <c r="H142" s="156">
        <v>0</v>
      </c>
      <c r="I142" s="150">
        <v>0</v>
      </c>
      <c r="J142" s="16">
        <v>0</v>
      </c>
      <c r="K142" s="150">
        <v>0</v>
      </c>
      <c r="L142" s="150">
        <v>0</v>
      </c>
      <c r="M142" s="150">
        <v>0</v>
      </c>
      <c r="N142" s="10">
        <v>0</v>
      </c>
      <c r="O142" s="150">
        <v>3574214</v>
      </c>
      <c r="P142" s="150">
        <v>14638</v>
      </c>
      <c r="Q142" s="150">
        <v>127470</v>
      </c>
      <c r="R142" s="16">
        <v>11183</v>
      </c>
      <c r="S142" s="16">
        <v>0</v>
      </c>
      <c r="T142" s="150">
        <v>290880</v>
      </c>
      <c r="U142" s="150">
        <v>290880</v>
      </c>
      <c r="V142" s="150">
        <v>289953</v>
      </c>
      <c r="W142" s="150">
        <v>290572</v>
      </c>
      <c r="X142" s="150">
        <v>290571</v>
      </c>
      <c r="Y142" s="10">
        <v>484363</v>
      </c>
      <c r="Z142" s="16">
        <v>45542</v>
      </c>
      <c r="AA142" s="150">
        <v>204032</v>
      </c>
    </row>
    <row r="143" spans="1:27" x14ac:dyDescent="0.35">
      <c r="A143" s="19">
        <v>2443</v>
      </c>
      <c r="B143" s="20" t="s">
        <v>189</v>
      </c>
      <c r="C143" s="150">
        <v>1700086</v>
      </c>
      <c r="D143" s="150">
        <v>2946476</v>
      </c>
      <c r="E143" s="150">
        <v>2904101</v>
      </c>
      <c r="F143" s="10">
        <v>4065743</v>
      </c>
      <c r="G143" s="10">
        <v>186492</v>
      </c>
      <c r="H143" s="156">
        <v>0</v>
      </c>
      <c r="I143" s="150">
        <v>0</v>
      </c>
      <c r="J143" s="16">
        <v>0</v>
      </c>
      <c r="K143" s="150">
        <v>0</v>
      </c>
      <c r="L143" s="150">
        <v>177898</v>
      </c>
      <c r="M143" s="150">
        <v>173324</v>
      </c>
      <c r="N143" s="10">
        <v>175610.16</v>
      </c>
      <c r="O143" s="150">
        <v>1449126</v>
      </c>
      <c r="P143" s="150">
        <v>5935</v>
      </c>
      <c r="Q143" s="150">
        <v>22030</v>
      </c>
      <c r="R143" s="16">
        <v>1933</v>
      </c>
      <c r="S143" s="16">
        <v>0</v>
      </c>
      <c r="T143" s="150">
        <v>125199</v>
      </c>
      <c r="U143" s="150">
        <v>125200</v>
      </c>
      <c r="V143" s="150">
        <v>124799</v>
      </c>
      <c r="W143" s="150">
        <v>125066</v>
      </c>
      <c r="X143" s="150">
        <v>125067</v>
      </c>
      <c r="Y143" s="10">
        <v>202433</v>
      </c>
      <c r="Z143" s="16">
        <v>0</v>
      </c>
      <c r="AA143" s="150">
        <v>81486</v>
      </c>
    </row>
    <row r="144" spans="1:27" x14ac:dyDescent="0.35">
      <c r="A144" s="19">
        <v>2436</v>
      </c>
      <c r="B144" s="20" t="s">
        <v>190</v>
      </c>
      <c r="C144" s="150">
        <v>876494</v>
      </c>
      <c r="D144" s="150">
        <v>1517670</v>
      </c>
      <c r="E144" s="150">
        <v>1496353</v>
      </c>
      <c r="F144" s="10">
        <v>2094894</v>
      </c>
      <c r="G144" s="10">
        <v>96091</v>
      </c>
      <c r="H144" s="156">
        <v>0</v>
      </c>
      <c r="I144" s="150">
        <v>0</v>
      </c>
      <c r="J144" s="16">
        <v>0</v>
      </c>
      <c r="K144" s="150">
        <v>0</v>
      </c>
      <c r="L144" s="150">
        <v>0</v>
      </c>
      <c r="M144" s="150">
        <v>0</v>
      </c>
      <c r="N144" s="10">
        <v>0</v>
      </c>
      <c r="O144" s="150">
        <v>1108548</v>
      </c>
      <c r="P144" s="150">
        <v>4540</v>
      </c>
      <c r="Q144" s="150">
        <v>67810</v>
      </c>
      <c r="R144" s="16">
        <v>5949</v>
      </c>
      <c r="S144" s="16">
        <v>0</v>
      </c>
      <c r="T144" s="150">
        <v>82826</v>
      </c>
      <c r="U144" s="150">
        <v>82827</v>
      </c>
      <c r="V144" s="150">
        <v>82561</v>
      </c>
      <c r="W144" s="150">
        <v>82738</v>
      </c>
      <c r="X144" s="150">
        <v>82738</v>
      </c>
      <c r="Y144" s="10">
        <v>137921</v>
      </c>
      <c r="Z144" s="16">
        <v>0</v>
      </c>
      <c r="AA144" s="150">
        <v>73875</v>
      </c>
    </row>
    <row r="145" spans="1:27" x14ac:dyDescent="0.35">
      <c r="A145" s="19">
        <v>2460</v>
      </c>
      <c r="B145" s="20" t="s">
        <v>191</v>
      </c>
      <c r="C145" s="150">
        <v>700189</v>
      </c>
      <c r="D145" s="150">
        <v>1182626</v>
      </c>
      <c r="E145" s="150">
        <v>1176760</v>
      </c>
      <c r="F145" s="10">
        <v>1647463</v>
      </c>
      <c r="G145" s="10">
        <v>75568</v>
      </c>
      <c r="H145" s="156">
        <v>0</v>
      </c>
      <c r="I145" s="150">
        <v>0</v>
      </c>
      <c r="J145" s="16">
        <v>0</v>
      </c>
      <c r="K145" s="150">
        <v>0</v>
      </c>
      <c r="L145" s="150">
        <v>0</v>
      </c>
      <c r="M145" s="150">
        <v>0</v>
      </c>
      <c r="N145" s="10">
        <v>0</v>
      </c>
      <c r="O145" s="150">
        <v>880754</v>
      </c>
      <c r="P145" s="150">
        <v>3607</v>
      </c>
      <c r="Q145" s="150">
        <v>17345</v>
      </c>
      <c r="R145" s="16">
        <v>1522</v>
      </c>
      <c r="S145" s="16">
        <v>0</v>
      </c>
      <c r="T145" s="150">
        <v>86629</v>
      </c>
      <c r="U145" s="150">
        <v>86628</v>
      </c>
      <c r="V145" s="150">
        <v>86353</v>
      </c>
      <c r="W145" s="150">
        <v>86537</v>
      </c>
      <c r="X145" s="150">
        <v>86536</v>
      </c>
      <c r="Y145" s="10">
        <v>144251</v>
      </c>
      <c r="Z145" s="16">
        <v>21195</v>
      </c>
      <c r="AA145" s="150">
        <v>49639</v>
      </c>
    </row>
    <row r="146" spans="1:27" x14ac:dyDescent="0.35">
      <c r="A146" s="19">
        <v>2478</v>
      </c>
      <c r="B146" s="20" t="s">
        <v>192</v>
      </c>
      <c r="C146" s="150">
        <v>42427</v>
      </c>
      <c r="D146" s="150">
        <v>50935</v>
      </c>
      <c r="E146" s="150">
        <v>58351</v>
      </c>
      <c r="F146" s="10">
        <v>81691</v>
      </c>
      <c r="G146" s="10">
        <v>3747</v>
      </c>
      <c r="H146" s="156">
        <v>2830</v>
      </c>
      <c r="I146" s="150">
        <v>1769</v>
      </c>
      <c r="J146" s="16">
        <v>2477</v>
      </c>
      <c r="K146" s="150">
        <v>119806</v>
      </c>
      <c r="L146" s="150">
        <v>246048</v>
      </c>
      <c r="M146" s="150">
        <v>239720</v>
      </c>
      <c r="N146" s="10">
        <v>242885.44</v>
      </c>
      <c r="O146" s="150">
        <v>1329664</v>
      </c>
      <c r="P146" s="150">
        <v>5446</v>
      </c>
      <c r="Q146" s="150">
        <v>174130</v>
      </c>
      <c r="R146" s="16">
        <v>15276</v>
      </c>
      <c r="S146" s="16">
        <v>76414</v>
      </c>
      <c r="T146" s="150">
        <v>120800</v>
      </c>
      <c r="U146" s="150">
        <v>120799</v>
      </c>
      <c r="V146" s="150">
        <v>120413</v>
      </c>
      <c r="W146" s="150">
        <v>120671</v>
      </c>
      <c r="X146" s="150">
        <v>120670</v>
      </c>
      <c r="Y146" s="10">
        <v>201152</v>
      </c>
      <c r="Z146" s="16">
        <v>28334</v>
      </c>
      <c r="AA146" s="150">
        <v>79516</v>
      </c>
    </row>
    <row r="147" spans="1:27" x14ac:dyDescent="0.35">
      <c r="A147" s="19">
        <v>2525</v>
      </c>
      <c r="B147" s="20" t="s">
        <v>452</v>
      </c>
      <c r="C147" s="150">
        <v>235473</v>
      </c>
      <c r="D147" s="150">
        <v>456032</v>
      </c>
      <c r="E147" s="150">
        <v>432191</v>
      </c>
      <c r="F147" s="10">
        <v>605067</v>
      </c>
      <c r="G147" s="10">
        <v>27754</v>
      </c>
      <c r="H147" s="156">
        <v>0</v>
      </c>
      <c r="I147" s="150">
        <v>0</v>
      </c>
      <c r="J147" s="16">
        <v>0</v>
      </c>
      <c r="K147" s="150">
        <v>0</v>
      </c>
      <c r="L147" s="150">
        <v>0</v>
      </c>
      <c r="M147" s="150">
        <v>0</v>
      </c>
      <c r="N147" s="10">
        <v>0</v>
      </c>
      <c r="O147" s="150">
        <v>244118</v>
      </c>
      <c r="P147" s="150">
        <v>1000</v>
      </c>
      <c r="Q147" s="150">
        <v>22070</v>
      </c>
      <c r="R147" s="16">
        <v>1936</v>
      </c>
      <c r="S147" s="16">
        <v>33319</v>
      </c>
      <c r="T147" s="150">
        <v>18041</v>
      </c>
      <c r="U147" s="150">
        <v>18040</v>
      </c>
      <c r="V147" s="150">
        <v>17983</v>
      </c>
      <c r="W147" s="150">
        <v>18022</v>
      </c>
      <c r="X147" s="150">
        <v>18021</v>
      </c>
      <c r="Y147" s="10">
        <v>30040</v>
      </c>
      <c r="Z147" s="16">
        <v>0</v>
      </c>
      <c r="AA147" s="150">
        <v>11684</v>
      </c>
    </row>
    <row r="148" spans="1:27" x14ac:dyDescent="0.35">
      <c r="A148" s="19">
        <v>2527</v>
      </c>
      <c r="B148" s="20" t="s">
        <v>193</v>
      </c>
      <c r="C148" s="150">
        <v>396340</v>
      </c>
      <c r="D148" s="150">
        <v>690879</v>
      </c>
      <c r="E148" s="150">
        <v>679512</v>
      </c>
      <c r="F148" s="10">
        <v>951316</v>
      </c>
      <c r="G148" s="10">
        <v>43636</v>
      </c>
      <c r="H148" s="156">
        <v>0</v>
      </c>
      <c r="I148" s="150">
        <v>0</v>
      </c>
      <c r="J148" s="16">
        <v>0</v>
      </c>
      <c r="K148" s="150">
        <v>0</v>
      </c>
      <c r="L148" s="150">
        <v>0</v>
      </c>
      <c r="M148" s="150">
        <v>0</v>
      </c>
      <c r="N148" s="10">
        <v>0</v>
      </c>
      <c r="O148" s="150">
        <v>227052</v>
      </c>
      <c r="P148" s="150">
        <v>930</v>
      </c>
      <c r="Q148" s="150">
        <v>4090</v>
      </c>
      <c r="R148" s="16">
        <v>359</v>
      </c>
      <c r="S148" s="16">
        <v>0</v>
      </c>
      <c r="T148" s="150">
        <v>17900</v>
      </c>
      <c r="U148" s="150">
        <v>17901</v>
      </c>
      <c r="V148" s="150">
        <v>17843</v>
      </c>
      <c r="W148" s="150">
        <v>17881</v>
      </c>
      <c r="X148" s="150">
        <v>17882</v>
      </c>
      <c r="Y148" s="10">
        <v>29808</v>
      </c>
      <c r="Z148" s="16">
        <v>6972</v>
      </c>
      <c r="AA148" s="150">
        <v>11917</v>
      </c>
    </row>
    <row r="149" spans="1:27" x14ac:dyDescent="0.35">
      <c r="A149" s="19">
        <v>2534</v>
      </c>
      <c r="B149" s="20" t="s">
        <v>194</v>
      </c>
      <c r="C149" s="150">
        <v>458690</v>
      </c>
      <c r="D149" s="150">
        <v>890170</v>
      </c>
      <c r="E149" s="150">
        <v>843038</v>
      </c>
      <c r="F149" s="10">
        <v>1180253</v>
      </c>
      <c r="G149" s="10">
        <v>54137</v>
      </c>
      <c r="H149" s="156">
        <v>0</v>
      </c>
      <c r="I149" s="150">
        <v>0</v>
      </c>
      <c r="J149" s="16">
        <v>0</v>
      </c>
      <c r="K149" s="150">
        <v>0</v>
      </c>
      <c r="L149" s="150">
        <v>0</v>
      </c>
      <c r="M149" s="150">
        <v>0</v>
      </c>
      <c r="N149" s="10">
        <v>0</v>
      </c>
      <c r="O149" s="150">
        <v>339836</v>
      </c>
      <c r="P149" s="150">
        <v>1392</v>
      </c>
      <c r="Q149" s="150">
        <v>7355</v>
      </c>
      <c r="R149" s="16">
        <v>645</v>
      </c>
      <c r="S149" s="16">
        <v>0</v>
      </c>
      <c r="T149" s="150">
        <v>12759</v>
      </c>
      <c r="U149" s="150">
        <v>12758</v>
      </c>
      <c r="V149" s="150">
        <v>12719</v>
      </c>
      <c r="W149" s="150">
        <v>12745</v>
      </c>
      <c r="X149" s="150">
        <v>12745</v>
      </c>
      <c r="Y149" s="10">
        <v>21246</v>
      </c>
      <c r="Z149" s="16">
        <v>0</v>
      </c>
      <c r="AA149" s="150">
        <v>23034</v>
      </c>
    </row>
    <row r="150" spans="1:27" x14ac:dyDescent="0.35">
      <c r="A150" s="19">
        <v>2541</v>
      </c>
      <c r="B150" s="20" t="s">
        <v>195</v>
      </c>
      <c r="C150" s="150">
        <v>567266</v>
      </c>
      <c r="D150" s="150">
        <v>936931</v>
      </c>
      <c r="E150" s="150">
        <v>940123</v>
      </c>
      <c r="F150" s="10">
        <v>1316172</v>
      </c>
      <c r="G150" s="10">
        <v>60372</v>
      </c>
      <c r="H150" s="156">
        <v>0</v>
      </c>
      <c r="I150" s="150">
        <v>0</v>
      </c>
      <c r="J150" s="16">
        <v>0</v>
      </c>
      <c r="K150" s="150">
        <v>0</v>
      </c>
      <c r="L150" s="150">
        <v>60184</v>
      </c>
      <c r="M150" s="150">
        <v>58638</v>
      </c>
      <c r="N150" s="10">
        <v>59409.78</v>
      </c>
      <c r="O150" s="150">
        <v>382872</v>
      </c>
      <c r="P150" s="150">
        <v>1568</v>
      </c>
      <c r="Q150" s="150">
        <v>18975</v>
      </c>
      <c r="R150" s="16">
        <v>1665</v>
      </c>
      <c r="S150" s="16">
        <v>10671</v>
      </c>
      <c r="T150" s="150">
        <v>34436</v>
      </c>
      <c r="U150" s="150">
        <v>34437</v>
      </c>
      <c r="V150" s="150">
        <v>34325</v>
      </c>
      <c r="W150" s="150">
        <v>34399</v>
      </c>
      <c r="X150" s="150">
        <v>34400</v>
      </c>
      <c r="Y150" s="10">
        <v>57344</v>
      </c>
      <c r="Z150" s="16">
        <v>0</v>
      </c>
      <c r="AA150" s="150">
        <v>41327</v>
      </c>
    </row>
    <row r="151" spans="1:27" x14ac:dyDescent="0.35">
      <c r="A151" s="19">
        <v>2562</v>
      </c>
      <c r="B151" s="20" t="s">
        <v>196</v>
      </c>
      <c r="C151" s="150">
        <v>4323769</v>
      </c>
      <c r="D151" s="150">
        <v>7697657</v>
      </c>
      <c r="E151" s="150">
        <v>7513391</v>
      </c>
      <c r="F151" s="10">
        <v>10518747</v>
      </c>
      <c r="G151" s="10">
        <v>482486</v>
      </c>
      <c r="H151" s="156">
        <v>0</v>
      </c>
      <c r="I151" s="150">
        <v>0</v>
      </c>
      <c r="J151" s="16">
        <v>0</v>
      </c>
      <c r="K151" s="150">
        <v>0</v>
      </c>
      <c r="L151" s="150">
        <v>0</v>
      </c>
      <c r="M151" s="150">
        <v>0</v>
      </c>
      <c r="N151" s="10">
        <v>0</v>
      </c>
      <c r="O151" s="150">
        <v>3022908</v>
      </c>
      <c r="P151" s="150">
        <v>12380</v>
      </c>
      <c r="Q151" s="150">
        <v>86170</v>
      </c>
      <c r="R151" s="16">
        <v>7560</v>
      </c>
      <c r="S151" s="16">
        <v>0</v>
      </c>
      <c r="T151" s="150">
        <v>346219</v>
      </c>
      <c r="U151" s="150">
        <v>346219</v>
      </c>
      <c r="V151" s="150">
        <v>345113</v>
      </c>
      <c r="W151" s="150">
        <v>345850</v>
      </c>
      <c r="X151" s="150">
        <v>345851</v>
      </c>
      <c r="Y151" s="10">
        <v>576514</v>
      </c>
      <c r="Z151" s="16">
        <v>3734</v>
      </c>
      <c r="AA151" s="150">
        <v>147482</v>
      </c>
    </row>
    <row r="152" spans="1:27" x14ac:dyDescent="0.35">
      <c r="A152" s="19">
        <v>2570</v>
      </c>
      <c r="B152" s="20" t="s">
        <v>474</v>
      </c>
      <c r="C152" s="150">
        <v>78092</v>
      </c>
      <c r="D152" s="150">
        <v>310587</v>
      </c>
      <c r="E152" s="150">
        <v>242925</v>
      </c>
      <c r="F152" s="10">
        <v>340094</v>
      </c>
      <c r="G152" s="10">
        <v>15600</v>
      </c>
      <c r="H152" s="156">
        <v>29292</v>
      </c>
      <c r="I152" s="150">
        <v>18308</v>
      </c>
      <c r="J152" s="16">
        <v>25631</v>
      </c>
      <c r="K152" s="150">
        <v>0</v>
      </c>
      <c r="L152" s="150">
        <v>0</v>
      </c>
      <c r="M152" s="150">
        <v>0</v>
      </c>
      <c r="N152" s="10">
        <v>0</v>
      </c>
      <c r="O152" s="150">
        <v>375452</v>
      </c>
      <c r="P152" s="150">
        <v>1538</v>
      </c>
      <c r="Q152" s="150">
        <v>17085</v>
      </c>
      <c r="R152" s="16">
        <v>1499</v>
      </c>
      <c r="S152" s="16">
        <v>154468</v>
      </c>
      <c r="T152" s="150">
        <v>26168</v>
      </c>
      <c r="U152" s="150">
        <v>26169</v>
      </c>
      <c r="V152" s="150">
        <v>26085</v>
      </c>
      <c r="W152" s="150">
        <v>26140</v>
      </c>
      <c r="X152" s="150">
        <v>26141</v>
      </c>
      <c r="Y152" s="10">
        <v>43574</v>
      </c>
      <c r="Z152" s="16">
        <v>0</v>
      </c>
      <c r="AA152" s="150">
        <v>21298</v>
      </c>
    </row>
    <row r="153" spans="1:27" x14ac:dyDescent="0.35">
      <c r="A153" s="19">
        <v>2576</v>
      </c>
      <c r="B153" s="20" t="s">
        <v>197</v>
      </c>
      <c r="C153" s="150">
        <v>759528</v>
      </c>
      <c r="D153" s="150">
        <v>1349012</v>
      </c>
      <c r="E153" s="150">
        <v>1317838</v>
      </c>
      <c r="F153" s="10">
        <v>1844973</v>
      </c>
      <c r="G153" s="10">
        <v>84627</v>
      </c>
      <c r="H153" s="156">
        <v>0</v>
      </c>
      <c r="I153" s="150">
        <v>0</v>
      </c>
      <c r="J153" s="16">
        <v>0</v>
      </c>
      <c r="K153" s="150">
        <v>0</v>
      </c>
      <c r="L153" s="150">
        <v>0</v>
      </c>
      <c r="M153" s="150">
        <v>0</v>
      </c>
      <c r="N153" s="10">
        <v>0</v>
      </c>
      <c r="O153" s="150">
        <v>593600</v>
      </c>
      <c r="P153" s="150">
        <v>2431</v>
      </c>
      <c r="Q153" s="150">
        <v>9095</v>
      </c>
      <c r="R153" s="16">
        <v>798</v>
      </c>
      <c r="S153" s="16">
        <v>0</v>
      </c>
      <c r="T153" s="150">
        <v>42858</v>
      </c>
      <c r="U153" s="150">
        <v>42858</v>
      </c>
      <c r="V153" s="150">
        <v>42722</v>
      </c>
      <c r="W153" s="150">
        <v>42813</v>
      </c>
      <c r="X153" s="150">
        <v>42813</v>
      </c>
      <c r="Y153" s="10">
        <v>71366</v>
      </c>
      <c r="Z153" s="16">
        <v>13854</v>
      </c>
      <c r="AA153" s="150">
        <v>40493</v>
      </c>
    </row>
    <row r="154" spans="1:27" x14ac:dyDescent="0.35">
      <c r="A154" s="19">
        <v>2583</v>
      </c>
      <c r="B154" s="20" t="s">
        <v>198</v>
      </c>
      <c r="C154" s="150">
        <v>3358031</v>
      </c>
      <c r="D154" s="150">
        <v>6042162</v>
      </c>
      <c r="E154" s="150">
        <v>5875120</v>
      </c>
      <c r="F154" s="10">
        <v>8225169</v>
      </c>
      <c r="G154" s="10">
        <v>377281</v>
      </c>
      <c r="H154" s="156">
        <v>0</v>
      </c>
      <c r="I154" s="150">
        <v>0</v>
      </c>
      <c r="J154" s="16">
        <v>0</v>
      </c>
      <c r="K154" s="150">
        <v>0</v>
      </c>
      <c r="L154" s="150">
        <v>0</v>
      </c>
      <c r="M154" s="150">
        <v>0</v>
      </c>
      <c r="N154" s="10">
        <v>0</v>
      </c>
      <c r="O154" s="150">
        <v>2905672</v>
      </c>
      <c r="P154" s="150">
        <v>11900</v>
      </c>
      <c r="Q154" s="150">
        <v>127775</v>
      </c>
      <c r="R154" s="16">
        <v>11209</v>
      </c>
      <c r="S154" s="16">
        <v>157004</v>
      </c>
      <c r="T154" s="150">
        <v>210432</v>
      </c>
      <c r="U154" s="150">
        <v>210431</v>
      </c>
      <c r="V154" s="150">
        <v>209762</v>
      </c>
      <c r="W154" s="150">
        <v>210208</v>
      </c>
      <c r="X154" s="150">
        <v>210208</v>
      </c>
      <c r="Y154" s="10">
        <v>350405</v>
      </c>
      <c r="Z154" s="16">
        <v>14750</v>
      </c>
      <c r="AA154" s="150">
        <v>197489</v>
      </c>
    </row>
    <row r="155" spans="1:27" x14ac:dyDescent="0.35">
      <c r="A155" s="19">
        <v>2605</v>
      </c>
      <c r="B155" s="20" t="s">
        <v>199</v>
      </c>
      <c r="C155" s="150">
        <v>726827</v>
      </c>
      <c r="D155" s="150">
        <v>1269025</v>
      </c>
      <c r="E155" s="150">
        <v>1247407</v>
      </c>
      <c r="F155" s="10">
        <v>1746371</v>
      </c>
      <c r="G155" s="10">
        <v>80104</v>
      </c>
      <c r="H155" s="156">
        <v>0</v>
      </c>
      <c r="I155" s="150">
        <v>0</v>
      </c>
      <c r="J155" s="16">
        <v>0</v>
      </c>
      <c r="K155" s="150">
        <v>0</v>
      </c>
      <c r="L155" s="150">
        <v>0</v>
      </c>
      <c r="M155" s="150">
        <v>0</v>
      </c>
      <c r="N155" s="10">
        <v>0</v>
      </c>
      <c r="O155" s="150">
        <v>605472</v>
      </c>
      <c r="P155" s="150">
        <v>2480</v>
      </c>
      <c r="Q155" s="150">
        <v>129695</v>
      </c>
      <c r="R155" s="16">
        <v>1363</v>
      </c>
      <c r="S155" s="16">
        <v>3567</v>
      </c>
      <c r="T155" s="150">
        <v>53903</v>
      </c>
      <c r="U155" s="150">
        <v>53904</v>
      </c>
      <c r="V155" s="150">
        <v>53730</v>
      </c>
      <c r="W155" s="150">
        <v>53846</v>
      </c>
      <c r="X155" s="150">
        <v>53846</v>
      </c>
      <c r="Y155" s="10">
        <v>89758</v>
      </c>
      <c r="Z155" s="16">
        <v>2116</v>
      </c>
      <c r="AA155" s="150">
        <v>56015</v>
      </c>
    </row>
    <row r="156" spans="1:27" x14ac:dyDescent="0.35">
      <c r="A156" s="19">
        <v>2604</v>
      </c>
      <c r="B156" s="20" t="s">
        <v>200</v>
      </c>
      <c r="C156" s="150">
        <v>5170620</v>
      </c>
      <c r="D156" s="150">
        <v>9300669</v>
      </c>
      <c r="E156" s="150">
        <v>9044555</v>
      </c>
      <c r="F156" s="10">
        <v>12662378</v>
      </c>
      <c r="G156" s="10">
        <v>580812</v>
      </c>
      <c r="H156" s="156">
        <v>0</v>
      </c>
      <c r="I156" s="150">
        <v>0</v>
      </c>
      <c r="J156" s="16">
        <v>0</v>
      </c>
      <c r="K156" s="150">
        <v>0</v>
      </c>
      <c r="L156" s="150">
        <v>0</v>
      </c>
      <c r="M156" s="150">
        <v>0</v>
      </c>
      <c r="N156" s="10">
        <v>0</v>
      </c>
      <c r="O156" s="150">
        <v>4089904</v>
      </c>
      <c r="P156" s="150">
        <v>16750</v>
      </c>
      <c r="Q156" s="150">
        <v>15535</v>
      </c>
      <c r="R156" s="16">
        <v>12487</v>
      </c>
      <c r="S156" s="16">
        <v>0</v>
      </c>
      <c r="T156" s="150">
        <v>299094</v>
      </c>
      <c r="U156" s="150">
        <v>299095</v>
      </c>
      <c r="V156" s="150">
        <v>298141</v>
      </c>
      <c r="W156" s="150">
        <v>298776</v>
      </c>
      <c r="X156" s="150">
        <v>298777</v>
      </c>
      <c r="Y156" s="10">
        <v>498044</v>
      </c>
      <c r="Z156" s="16">
        <v>0</v>
      </c>
      <c r="AA156" s="150">
        <v>236646</v>
      </c>
    </row>
    <row r="157" spans="1:27" x14ac:dyDescent="0.35">
      <c r="A157" s="19">
        <v>2611</v>
      </c>
      <c r="B157" s="20" t="s">
        <v>201</v>
      </c>
      <c r="C157" s="150">
        <v>3235366</v>
      </c>
      <c r="D157" s="150">
        <v>5522932</v>
      </c>
      <c r="E157" s="150">
        <v>5473936</v>
      </c>
      <c r="F157" s="10">
        <v>7663510</v>
      </c>
      <c r="G157" s="10">
        <v>351519</v>
      </c>
      <c r="H157" s="156">
        <v>0</v>
      </c>
      <c r="I157" s="150">
        <v>0</v>
      </c>
      <c r="J157" s="16">
        <v>0</v>
      </c>
      <c r="K157" s="150">
        <v>0</v>
      </c>
      <c r="L157" s="150">
        <v>0</v>
      </c>
      <c r="M157" s="150">
        <v>0</v>
      </c>
      <c r="N157" s="10">
        <v>0</v>
      </c>
      <c r="O157" s="150">
        <v>4066160</v>
      </c>
      <c r="P157" s="150">
        <v>16653</v>
      </c>
      <c r="Q157" s="150">
        <v>159245</v>
      </c>
      <c r="R157" s="16">
        <v>14248</v>
      </c>
      <c r="S157" s="16">
        <v>0</v>
      </c>
      <c r="T157" s="150">
        <v>435811</v>
      </c>
      <c r="U157" s="150">
        <v>435811</v>
      </c>
      <c r="V157" s="150">
        <v>434421</v>
      </c>
      <c r="W157" s="150">
        <v>435348</v>
      </c>
      <c r="X157" s="150">
        <v>435348</v>
      </c>
      <c r="Y157" s="10">
        <v>725701</v>
      </c>
      <c r="Z157" s="16">
        <v>103715</v>
      </c>
      <c r="AA157" s="150">
        <v>237247</v>
      </c>
    </row>
    <row r="158" spans="1:27" x14ac:dyDescent="0.35">
      <c r="A158" s="19">
        <v>2618</v>
      </c>
      <c r="B158" s="20" t="s">
        <v>202</v>
      </c>
      <c r="C158" s="150">
        <v>390790</v>
      </c>
      <c r="D158" s="150">
        <v>728463</v>
      </c>
      <c r="E158" s="150">
        <v>699533</v>
      </c>
      <c r="F158" s="10">
        <v>979345</v>
      </c>
      <c r="G158" s="10">
        <v>44922</v>
      </c>
      <c r="H158" s="156">
        <v>0</v>
      </c>
      <c r="I158" s="150">
        <v>0</v>
      </c>
      <c r="J158" s="16">
        <v>0</v>
      </c>
      <c r="K158" s="150">
        <v>36299</v>
      </c>
      <c r="L158" s="150">
        <v>55759</v>
      </c>
      <c r="M158" s="150">
        <v>54325</v>
      </c>
      <c r="N158" s="10">
        <v>55042.5</v>
      </c>
      <c r="O158" s="150">
        <v>394744</v>
      </c>
      <c r="P158" s="150">
        <v>1617</v>
      </c>
      <c r="Q158" s="150">
        <v>47345</v>
      </c>
      <c r="R158" s="16">
        <v>4153</v>
      </c>
      <c r="S158" s="16">
        <v>65022</v>
      </c>
      <c r="T158" s="150">
        <v>18708</v>
      </c>
      <c r="U158" s="150">
        <v>18707</v>
      </c>
      <c r="V158" s="150">
        <v>18648</v>
      </c>
      <c r="W158" s="150">
        <v>18687</v>
      </c>
      <c r="X158" s="150">
        <v>18688</v>
      </c>
      <c r="Y158" s="10">
        <v>31152</v>
      </c>
      <c r="Z158" s="16">
        <v>0</v>
      </c>
      <c r="AA158" s="150">
        <v>23034</v>
      </c>
    </row>
    <row r="159" spans="1:27" x14ac:dyDescent="0.35">
      <c r="A159" s="19">
        <v>2625</v>
      </c>
      <c r="B159" s="20" t="s">
        <v>203</v>
      </c>
      <c r="C159" s="150">
        <v>264164</v>
      </c>
      <c r="D159" s="150">
        <v>351707</v>
      </c>
      <c r="E159" s="150">
        <v>384920</v>
      </c>
      <c r="F159" s="10">
        <v>538888</v>
      </c>
      <c r="G159" s="10">
        <v>24718</v>
      </c>
      <c r="H159" s="156">
        <v>0</v>
      </c>
      <c r="I159" s="150">
        <v>0</v>
      </c>
      <c r="J159" s="16">
        <v>0</v>
      </c>
      <c r="K159" s="150">
        <v>0</v>
      </c>
      <c r="L159" s="150">
        <v>0</v>
      </c>
      <c r="M159" s="150">
        <v>0</v>
      </c>
      <c r="N159" s="10">
        <v>0</v>
      </c>
      <c r="O159" s="150">
        <v>298284</v>
      </c>
      <c r="P159" s="150">
        <v>1222</v>
      </c>
      <c r="Q159" s="150">
        <v>8310</v>
      </c>
      <c r="R159" s="16">
        <v>729</v>
      </c>
      <c r="S159" s="16">
        <v>0</v>
      </c>
      <c r="T159" s="150">
        <v>25220</v>
      </c>
      <c r="U159" s="150">
        <v>25220</v>
      </c>
      <c r="V159" s="150">
        <v>25139</v>
      </c>
      <c r="W159" s="150">
        <v>25193</v>
      </c>
      <c r="X159" s="150">
        <v>25194</v>
      </c>
      <c r="Y159" s="10">
        <v>41995</v>
      </c>
      <c r="Z159" s="16">
        <v>0</v>
      </c>
      <c r="AA159" s="150">
        <v>20363</v>
      </c>
    </row>
    <row r="160" spans="1:27" x14ac:dyDescent="0.35">
      <c r="A160" s="19">
        <v>2632</v>
      </c>
      <c r="B160" s="20" t="s">
        <v>204</v>
      </c>
      <c r="C160" s="150">
        <v>400957</v>
      </c>
      <c r="D160" s="150">
        <v>951519</v>
      </c>
      <c r="E160" s="150">
        <v>845297</v>
      </c>
      <c r="F160" s="10">
        <v>1183417</v>
      </c>
      <c r="G160" s="10">
        <v>54282</v>
      </c>
      <c r="H160" s="156">
        <v>0</v>
      </c>
      <c r="I160" s="150">
        <v>0</v>
      </c>
      <c r="J160" s="16">
        <v>0</v>
      </c>
      <c r="K160" s="150">
        <v>27108</v>
      </c>
      <c r="L160" s="150">
        <v>92047</v>
      </c>
      <c r="M160" s="150">
        <v>89679</v>
      </c>
      <c r="N160" s="10">
        <v>90863.78</v>
      </c>
      <c r="O160" s="150">
        <v>328706</v>
      </c>
      <c r="P160" s="150">
        <v>1346</v>
      </c>
      <c r="Q160" s="150">
        <v>14340</v>
      </c>
      <c r="R160" s="16">
        <v>1258</v>
      </c>
      <c r="S160" s="16">
        <v>41974</v>
      </c>
      <c r="T160" s="150">
        <v>21716</v>
      </c>
      <c r="U160" s="150">
        <v>21717</v>
      </c>
      <c r="V160" s="150">
        <v>21647</v>
      </c>
      <c r="W160" s="150">
        <v>21693</v>
      </c>
      <c r="X160" s="150">
        <v>21694</v>
      </c>
      <c r="Y160" s="10">
        <v>36161</v>
      </c>
      <c r="Z160" s="16">
        <v>0</v>
      </c>
      <c r="AA160" s="150">
        <v>19295</v>
      </c>
    </row>
    <row r="161" spans="1:27" x14ac:dyDescent="0.35">
      <c r="A161" s="19">
        <v>2639</v>
      </c>
      <c r="B161" s="20" t="s">
        <v>205</v>
      </c>
      <c r="C161" s="150">
        <v>527037</v>
      </c>
      <c r="D161" s="150">
        <v>1018926</v>
      </c>
      <c r="E161" s="150">
        <v>966227</v>
      </c>
      <c r="F161" s="10">
        <v>1352718</v>
      </c>
      <c r="G161" s="10">
        <v>62048</v>
      </c>
      <c r="H161" s="156">
        <v>0</v>
      </c>
      <c r="I161" s="150">
        <v>0</v>
      </c>
      <c r="J161" s="16">
        <v>0</v>
      </c>
      <c r="K161" s="150">
        <v>0</v>
      </c>
      <c r="L161" s="150">
        <v>0</v>
      </c>
      <c r="M161" s="150">
        <v>0</v>
      </c>
      <c r="N161" s="10">
        <v>0</v>
      </c>
      <c r="O161" s="150">
        <v>484526</v>
      </c>
      <c r="P161" s="150">
        <v>1984</v>
      </c>
      <c r="Q161" s="150">
        <v>18060</v>
      </c>
      <c r="R161" s="16">
        <v>1584</v>
      </c>
      <c r="S161" s="16">
        <v>0</v>
      </c>
      <c r="T161" s="150">
        <v>22810</v>
      </c>
      <c r="U161" s="150">
        <v>22810</v>
      </c>
      <c r="V161" s="150">
        <v>22736</v>
      </c>
      <c r="W161" s="150">
        <v>22786</v>
      </c>
      <c r="X161" s="150">
        <v>22785</v>
      </c>
      <c r="Y161" s="10">
        <v>37983</v>
      </c>
      <c r="Z161" s="16">
        <v>21420</v>
      </c>
      <c r="AA161" s="150">
        <v>26939</v>
      </c>
    </row>
    <row r="162" spans="1:27" x14ac:dyDescent="0.35">
      <c r="A162" s="19">
        <v>2646</v>
      </c>
      <c r="B162" s="20" t="s">
        <v>206</v>
      </c>
      <c r="C162" s="150">
        <v>859382</v>
      </c>
      <c r="D162" s="150">
        <v>1438398</v>
      </c>
      <c r="E162" s="150">
        <v>1436113</v>
      </c>
      <c r="F162" s="10">
        <v>2010557</v>
      </c>
      <c r="G162" s="10">
        <v>92223</v>
      </c>
      <c r="H162" s="156">
        <v>0</v>
      </c>
      <c r="I162" s="150">
        <v>0</v>
      </c>
      <c r="J162" s="16">
        <v>0</v>
      </c>
      <c r="K162" s="150">
        <v>0</v>
      </c>
      <c r="L162" s="150">
        <v>0</v>
      </c>
      <c r="M162" s="150">
        <v>0</v>
      </c>
      <c r="N162" s="10">
        <v>0</v>
      </c>
      <c r="O162" s="150">
        <v>522368</v>
      </c>
      <c r="P162" s="150">
        <v>2139</v>
      </c>
      <c r="Q162" s="150">
        <v>40945</v>
      </c>
      <c r="R162" s="16">
        <v>3592</v>
      </c>
      <c r="S162" s="16">
        <v>0</v>
      </c>
      <c r="T162" s="150">
        <v>66467</v>
      </c>
      <c r="U162" s="150">
        <v>66466</v>
      </c>
      <c r="V162" s="150">
        <v>65898</v>
      </c>
      <c r="W162" s="150">
        <v>66277</v>
      </c>
      <c r="X162" s="150">
        <v>66277</v>
      </c>
      <c r="Y162" s="10">
        <v>110480</v>
      </c>
      <c r="Z162" s="16">
        <v>0</v>
      </c>
      <c r="AA162" s="150">
        <v>26672</v>
      </c>
    </row>
    <row r="163" spans="1:27" x14ac:dyDescent="0.35">
      <c r="A163" s="19">
        <v>2660</v>
      </c>
      <c r="B163" s="20" t="s">
        <v>207</v>
      </c>
      <c r="C163" s="150">
        <v>334051</v>
      </c>
      <c r="D163" s="150">
        <v>643090</v>
      </c>
      <c r="E163" s="150">
        <v>610713</v>
      </c>
      <c r="F163" s="10">
        <v>854998</v>
      </c>
      <c r="G163" s="10">
        <v>39218</v>
      </c>
      <c r="H163" s="156">
        <v>0</v>
      </c>
      <c r="I163" s="150">
        <v>0</v>
      </c>
      <c r="J163" s="16">
        <v>0</v>
      </c>
      <c r="K163" s="150">
        <v>0</v>
      </c>
      <c r="L163" s="150">
        <v>0</v>
      </c>
      <c r="M163" s="150">
        <v>0</v>
      </c>
      <c r="N163" s="10">
        <v>0</v>
      </c>
      <c r="O163" s="150">
        <v>224084</v>
      </c>
      <c r="P163" s="150">
        <v>918</v>
      </c>
      <c r="Q163" s="150">
        <v>16125</v>
      </c>
      <c r="R163" s="16">
        <v>1415</v>
      </c>
      <c r="S163" s="16">
        <v>175735</v>
      </c>
      <c r="T163" s="150">
        <v>23158</v>
      </c>
      <c r="U163" s="150">
        <v>23158</v>
      </c>
      <c r="V163" s="150">
        <v>23084</v>
      </c>
      <c r="W163" s="150">
        <v>23134</v>
      </c>
      <c r="X163" s="150">
        <v>23133</v>
      </c>
      <c r="Y163" s="10">
        <v>38563</v>
      </c>
      <c r="Z163" s="16">
        <v>0</v>
      </c>
      <c r="AA163" s="150">
        <v>14288</v>
      </c>
    </row>
    <row r="164" spans="1:27" x14ac:dyDescent="0.35">
      <c r="A164" s="19">
        <v>2695</v>
      </c>
      <c r="B164" s="20" t="s">
        <v>208</v>
      </c>
      <c r="C164" s="150">
        <v>9430097</v>
      </c>
      <c r="D164" s="150">
        <v>16070133</v>
      </c>
      <c r="E164" s="150">
        <v>15937643</v>
      </c>
      <c r="F164" s="10">
        <v>22312701</v>
      </c>
      <c r="G164" s="10">
        <v>1023464</v>
      </c>
      <c r="H164" s="156">
        <v>0</v>
      </c>
      <c r="I164" s="150">
        <v>0</v>
      </c>
      <c r="J164" s="16">
        <v>0</v>
      </c>
      <c r="K164" s="150">
        <v>640683</v>
      </c>
      <c r="L164" s="150">
        <v>201795</v>
      </c>
      <c r="M164" s="150">
        <v>196605</v>
      </c>
      <c r="N164" s="10">
        <v>199200.66</v>
      </c>
      <c r="O164" s="150">
        <v>6962186</v>
      </c>
      <c r="P164" s="150">
        <v>28514</v>
      </c>
      <c r="Q164" s="150">
        <v>20105</v>
      </c>
      <c r="R164" s="16">
        <v>1764</v>
      </c>
      <c r="S164" s="16">
        <v>0</v>
      </c>
      <c r="T164" s="150">
        <v>727301</v>
      </c>
      <c r="U164" s="150">
        <v>727301</v>
      </c>
      <c r="V164" s="150">
        <v>719225</v>
      </c>
      <c r="W164" s="150">
        <v>724609</v>
      </c>
      <c r="X164" s="150">
        <v>724609</v>
      </c>
      <c r="Y164" s="10">
        <v>1207884</v>
      </c>
      <c r="Z164" s="16">
        <v>43429</v>
      </c>
      <c r="AA164" s="150">
        <v>437239</v>
      </c>
    </row>
    <row r="165" spans="1:27" x14ac:dyDescent="0.35">
      <c r="A165" s="19">
        <v>2702</v>
      </c>
      <c r="B165" s="20" t="s">
        <v>209</v>
      </c>
      <c r="C165" s="150">
        <v>1806965</v>
      </c>
      <c r="D165" s="150">
        <v>2985383</v>
      </c>
      <c r="E165" s="150">
        <v>2995218</v>
      </c>
      <c r="F165" s="10">
        <v>4193305</v>
      </c>
      <c r="G165" s="10">
        <v>192343</v>
      </c>
      <c r="H165" s="156">
        <v>0</v>
      </c>
      <c r="I165" s="150">
        <v>0</v>
      </c>
      <c r="J165" s="16">
        <v>0</v>
      </c>
      <c r="K165" s="150">
        <v>0</v>
      </c>
      <c r="L165" s="150">
        <v>0</v>
      </c>
      <c r="M165" s="150">
        <v>0</v>
      </c>
      <c r="N165" s="10">
        <v>0</v>
      </c>
      <c r="O165" s="150">
        <v>1334858</v>
      </c>
      <c r="P165" s="150">
        <v>5467</v>
      </c>
      <c r="Q165" s="150">
        <v>50135</v>
      </c>
      <c r="R165" s="16">
        <v>4398</v>
      </c>
      <c r="S165" s="16">
        <v>0</v>
      </c>
      <c r="T165" s="150">
        <v>134580</v>
      </c>
      <c r="U165" s="150">
        <v>134581</v>
      </c>
      <c r="V165" s="150">
        <v>134152</v>
      </c>
      <c r="W165" s="150">
        <v>134437</v>
      </c>
      <c r="X165" s="150">
        <v>134438</v>
      </c>
      <c r="Y165" s="10">
        <v>224098</v>
      </c>
      <c r="Z165" s="16">
        <v>20527</v>
      </c>
      <c r="AA165" s="150">
        <v>80651</v>
      </c>
    </row>
    <row r="166" spans="1:27" x14ac:dyDescent="0.35">
      <c r="A166" s="19">
        <v>2730</v>
      </c>
      <c r="B166" s="20" t="s">
        <v>210</v>
      </c>
      <c r="C166" s="150">
        <v>689141</v>
      </c>
      <c r="D166" s="150">
        <v>1242347</v>
      </c>
      <c r="E166" s="150">
        <v>1207180</v>
      </c>
      <c r="F166" s="10">
        <v>1690053</v>
      </c>
      <c r="G166" s="10">
        <v>77521</v>
      </c>
      <c r="H166" s="156">
        <v>0</v>
      </c>
      <c r="I166" s="150">
        <v>0</v>
      </c>
      <c r="J166" s="16">
        <v>0</v>
      </c>
      <c r="K166" s="150">
        <v>0</v>
      </c>
      <c r="L166" s="150">
        <v>0</v>
      </c>
      <c r="M166" s="150">
        <v>0</v>
      </c>
      <c r="N166" s="10">
        <v>0</v>
      </c>
      <c r="O166" s="150">
        <v>528304</v>
      </c>
      <c r="P166" s="150">
        <v>2164</v>
      </c>
      <c r="Q166" s="150">
        <v>20560</v>
      </c>
      <c r="R166" s="16">
        <v>1804</v>
      </c>
      <c r="S166" s="16">
        <v>0</v>
      </c>
      <c r="T166" s="150">
        <v>43935</v>
      </c>
      <c r="U166" s="150">
        <v>43935</v>
      </c>
      <c r="V166" s="150">
        <v>43795</v>
      </c>
      <c r="W166" s="150">
        <v>43888</v>
      </c>
      <c r="X166" s="150">
        <v>43889</v>
      </c>
      <c r="Y166" s="10">
        <v>73159</v>
      </c>
      <c r="Z166" s="16">
        <v>0</v>
      </c>
      <c r="AA166" s="150">
        <v>33282</v>
      </c>
    </row>
    <row r="167" spans="1:27" x14ac:dyDescent="0.35">
      <c r="A167" s="19">
        <v>2737</v>
      </c>
      <c r="B167" s="20" t="s">
        <v>211</v>
      </c>
      <c r="C167" s="150">
        <v>250956</v>
      </c>
      <c r="D167" s="150">
        <v>416397</v>
      </c>
      <c r="E167" s="150">
        <v>417096</v>
      </c>
      <c r="F167" s="10">
        <v>583933</v>
      </c>
      <c r="G167" s="10">
        <v>26785</v>
      </c>
      <c r="H167" s="156">
        <v>0</v>
      </c>
      <c r="I167" s="150">
        <v>0</v>
      </c>
      <c r="J167" s="16">
        <v>0</v>
      </c>
      <c r="K167" s="150">
        <v>16133</v>
      </c>
      <c r="L167" s="150">
        <v>0</v>
      </c>
      <c r="M167" s="150">
        <v>0</v>
      </c>
      <c r="N167" s="10">
        <v>0</v>
      </c>
      <c r="O167" s="150">
        <v>175112</v>
      </c>
      <c r="P167" s="150">
        <v>717</v>
      </c>
      <c r="Q167" s="150">
        <v>6220</v>
      </c>
      <c r="R167" s="16">
        <v>546</v>
      </c>
      <c r="S167" s="16">
        <v>32767</v>
      </c>
      <c r="T167" s="150">
        <v>18549</v>
      </c>
      <c r="U167" s="150">
        <v>18548</v>
      </c>
      <c r="V167" s="150">
        <v>18489</v>
      </c>
      <c r="W167" s="150">
        <v>18528</v>
      </c>
      <c r="X167" s="150">
        <v>18529</v>
      </c>
      <c r="Y167" s="10">
        <v>30887</v>
      </c>
      <c r="Z167" s="16">
        <v>0</v>
      </c>
      <c r="AA167" s="150">
        <v>10148</v>
      </c>
    </row>
    <row r="168" spans="1:27" x14ac:dyDescent="0.35">
      <c r="A168" s="19">
        <v>2758</v>
      </c>
      <c r="B168" s="20" t="s">
        <v>212</v>
      </c>
      <c r="C168" s="150">
        <v>4419666</v>
      </c>
      <c r="D168" s="150">
        <v>7970842</v>
      </c>
      <c r="E168" s="150">
        <v>7744067</v>
      </c>
      <c r="F168" s="10">
        <v>10841694</v>
      </c>
      <c r="G168" s="10">
        <v>497299</v>
      </c>
      <c r="H168" s="156">
        <v>0</v>
      </c>
      <c r="I168" s="150">
        <v>0</v>
      </c>
      <c r="J168" s="16">
        <v>0</v>
      </c>
      <c r="K168" s="150">
        <v>0</v>
      </c>
      <c r="L168" s="150">
        <v>0</v>
      </c>
      <c r="M168" s="150">
        <v>0</v>
      </c>
      <c r="N168" s="10">
        <v>0</v>
      </c>
      <c r="O168" s="150">
        <v>3432492</v>
      </c>
      <c r="P168" s="150">
        <v>14058</v>
      </c>
      <c r="Q168" s="150">
        <v>79960</v>
      </c>
      <c r="R168" s="16">
        <v>7015</v>
      </c>
      <c r="S168" s="16">
        <v>0</v>
      </c>
      <c r="T168" s="150">
        <v>286146</v>
      </c>
      <c r="U168" s="150">
        <v>286147</v>
      </c>
      <c r="V168" s="150">
        <v>285232</v>
      </c>
      <c r="W168" s="150">
        <v>285842</v>
      </c>
      <c r="X168" s="150">
        <v>285842</v>
      </c>
      <c r="Y168" s="10">
        <v>476484</v>
      </c>
      <c r="Z168" s="16">
        <v>0</v>
      </c>
      <c r="AA168" s="150">
        <v>167245</v>
      </c>
    </row>
    <row r="169" spans="1:27" x14ac:dyDescent="0.35">
      <c r="A169" s="19">
        <v>2793</v>
      </c>
      <c r="B169" s="20" t="s">
        <v>213</v>
      </c>
      <c r="C169" s="150">
        <v>22082488</v>
      </c>
      <c r="D169" s="150">
        <v>35550109</v>
      </c>
      <c r="E169" s="150">
        <v>36020373</v>
      </c>
      <c r="F169" s="10">
        <v>50428523</v>
      </c>
      <c r="G169" s="10">
        <v>2313112</v>
      </c>
      <c r="H169" s="156">
        <v>0</v>
      </c>
      <c r="I169" s="150">
        <v>0</v>
      </c>
      <c r="J169" s="16">
        <v>0</v>
      </c>
      <c r="K169" s="150">
        <v>1425636</v>
      </c>
      <c r="L169" s="150">
        <v>0</v>
      </c>
      <c r="M169" s="150">
        <v>0</v>
      </c>
      <c r="N169" s="10">
        <v>0</v>
      </c>
      <c r="O169" s="150">
        <v>15115282</v>
      </c>
      <c r="P169" s="150">
        <v>61905</v>
      </c>
      <c r="Q169" s="150">
        <v>225620</v>
      </c>
      <c r="R169" s="16">
        <v>19793</v>
      </c>
      <c r="S169" s="16">
        <v>0</v>
      </c>
      <c r="T169" s="150">
        <v>1728818</v>
      </c>
      <c r="U169" s="150">
        <v>1717876</v>
      </c>
      <c r="V169" s="150">
        <v>1717847</v>
      </c>
      <c r="W169" s="150">
        <v>1721514</v>
      </c>
      <c r="X169" s="150">
        <v>1721514</v>
      </c>
      <c r="Y169" s="10">
        <v>2899087</v>
      </c>
      <c r="Z169" s="16">
        <v>88722</v>
      </c>
      <c r="AA169" s="150">
        <v>978464</v>
      </c>
    </row>
    <row r="170" spans="1:27" x14ac:dyDescent="0.35">
      <c r="A170" s="19">
        <v>1376</v>
      </c>
      <c r="B170" s="20" t="s">
        <v>214</v>
      </c>
      <c r="C170" s="150">
        <v>1020312</v>
      </c>
      <c r="D170" s="150">
        <v>2569495</v>
      </c>
      <c r="E170" s="150">
        <v>2243630</v>
      </c>
      <c r="F170" s="10">
        <v>3141081</v>
      </c>
      <c r="G170" s="10">
        <v>144079</v>
      </c>
      <c r="H170" s="156">
        <v>0</v>
      </c>
      <c r="I170" s="150">
        <v>0</v>
      </c>
      <c r="J170" s="16">
        <v>0</v>
      </c>
      <c r="K170" s="150">
        <v>0</v>
      </c>
      <c r="L170" s="150">
        <v>0</v>
      </c>
      <c r="M170" s="150">
        <v>0</v>
      </c>
      <c r="N170" s="10">
        <v>0</v>
      </c>
      <c r="O170" s="150">
        <v>2530220</v>
      </c>
      <c r="P170" s="150">
        <v>10363</v>
      </c>
      <c r="Q170" s="150">
        <v>116015</v>
      </c>
      <c r="R170" s="16">
        <v>10178</v>
      </c>
      <c r="S170" s="16">
        <v>184849</v>
      </c>
      <c r="T170" s="150">
        <v>249493</v>
      </c>
      <c r="U170" s="150">
        <v>249493</v>
      </c>
      <c r="V170" s="150">
        <v>248698</v>
      </c>
      <c r="W170" s="150">
        <v>249227</v>
      </c>
      <c r="X170" s="150">
        <v>249228</v>
      </c>
      <c r="Y170" s="10">
        <v>415448</v>
      </c>
      <c r="Z170" s="16">
        <v>92793</v>
      </c>
      <c r="AA170" s="150">
        <v>134463</v>
      </c>
    </row>
    <row r="171" spans="1:27" x14ac:dyDescent="0.35">
      <c r="A171" s="19">
        <v>2800</v>
      </c>
      <c r="B171" s="20" t="s">
        <v>215</v>
      </c>
      <c r="C171" s="150">
        <v>1188424</v>
      </c>
      <c r="D171" s="150">
        <v>2465449</v>
      </c>
      <c r="E171" s="150">
        <v>2283671</v>
      </c>
      <c r="F171" s="10">
        <v>3197138</v>
      </c>
      <c r="G171" s="10">
        <v>146650</v>
      </c>
      <c r="H171" s="156">
        <v>0</v>
      </c>
      <c r="I171" s="150">
        <v>0</v>
      </c>
      <c r="J171" s="16">
        <v>0</v>
      </c>
      <c r="K171" s="150">
        <v>0</v>
      </c>
      <c r="L171" s="150">
        <v>0</v>
      </c>
      <c r="M171" s="150">
        <v>0</v>
      </c>
      <c r="N171" s="10">
        <v>0</v>
      </c>
      <c r="O171" s="150">
        <v>1355634</v>
      </c>
      <c r="P171" s="150">
        <v>5552</v>
      </c>
      <c r="Q171" s="150">
        <v>69180</v>
      </c>
      <c r="R171" s="16">
        <v>6069</v>
      </c>
      <c r="S171" s="16">
        <v>0</v>
      </c>
      <c r="T171" s="150">
        <v>95107</v>
      </c>
      <c r="U171" s="150">
        <v>95108</v>
      </c>
      <c r="V171" s="150">
        <v>94803</v>
      </c>
      <c r="W171" s="150">
        <v>95006</v>
      </c>
      <c r="X171" s="150">
        <v>95006</v>
      </c>
      <c r="Y171" s="10">
        <v>158370</v>
      </c>
      <c r="Z171" s="16">
        <v>3095</v>
      </c>
      <c r="AA171" s="150">
        <v>79950</v>
      </c>
    </row>
    <row r="172" spans="1:27" x14ac:dyDescent="0.35">
      <c r="A172" s="19">
        <v>2814</v>
      </c>
      <c r="B172" s="20" t="s">
        <v>216</v>
      </c>
      <c r="C172" s="150">
        <v>867765</v>
      </c>
      <c r="D172" s="150">
        <v>1568091</v>
      </c>
      <c r="E172" s="150">
        <v>1522410</v>
      </c>
      <c r="F172" s="10">
        <v>2131375</v>
      </c>
      <c r="G172" s="10">
        <v>97764</v>
      </c>
      <c r="H172" s="156">
        <v>0</v>
      </c>
      <c r="I172" s="150">
        <v>0</v>
      </c>
      <c r="J172" s="16">
        <v>0</v>
      </c>
      <c r="K172" s="150">
        <v>0</v>
      </c>
      <c r="L172" s="150">
        <v>0</v>
      </c>
      <c r="M172" s="150">
        <v>0</v>
      </c>
      <c r="N172" s="10">
        <v>0</v>
      </c>
      <c r="O172" s="150">
        <v>716772</v>
      </c>
      <c r="P172" s="150">
        <v>2936</v>
      </c>
      <c r="Q172" s="150">
        <v>48685</v>
      </c>
      <c r="R172" s="16">
        <v>4271</v>
      </c>
      <c r="S172" s="16">
        <v>0</v>
      </c>
      <c r="T172" s="150">
        <v>57005</v>
      </c>
      <c r="U172" s="150">
        <v>57004</v>
      </c>
      <c r="V172" s="150">
        <v>56822</v>
      </c>
      <c r="W172" s="150">
        <v>56943</v>
      </c>
      <c r="X172" s="150">
        <v>56944</v>
      </c>
      <c r="Y172" s="10">
        <v>94922</v>
      </c>
      <c r="Z172" s="16">
        <v>0</v>
      </c>
      <c r="AA172" s="150">
        <v>43163</v>
      </c>
    </row>
    <row r="173" spans="1:27" x14ac:dyDescent="0.35">
      <c r="A173" s="19">
        <v>5960</v>
      </c>
      <c r="B173" s="20" t="s">
        <v>217</v>
      </c>
      <c r="C173" s="150">
        <v>476796</v>
      </c>
      <c r="D173" s="150">
        <v>820709</v>
      </c>
      <c r="E173" s="150">
        <v>810941</v>
      </c>
      <c r="F173" s="10">
        <v>1135317</v>
      </c>
      <c r="G173" s="10">
        <v>52076</v>
      </c>
      <c r="H173" s="156">
        <v>0</v>
      </c>
      <c r="I173" s="150">
        <v>0</v>
      </c>
      <c r="J173" s="16">
        <v>0</v>
      </c>
      <c r="K173" s="150">
        <v>0</v>
      </c>
      <c r="L173" s="150">
        <v>58414</v>
      </c>
      <c r="M173" s="150">
        <v>56912</v>
      </c>
      <c r="N173" s="10">
        <v>57663.67</v>
      </c>
      <c r="O173" s="150">
        <v>331674</v>
      </c>
      <c r="P173" s="150">
        <v>1358</v>
      </c>
      <c r="Q173" s="150">
        <v>29650</v>
      </c>
      <c r="R173" s="16">
        <v>2601</v>
      </c>
      <c r="S173" s="16">
        <v>56685</v>
      </c>
      <c r="T173" s="150">
        <v>31346</v>
      </c>
      <c r="U173" s="150">
        <v>31346</v>
      </c>
      <c r="V173" s="150">
        <v>31246</v>
      </c>
      <c r="W173" s="150">
        <v>31312</v>
      </c>
      <c r="X173" s="150">
        <v>31313</v>
      </c>
      <c r="Y173" s="10">
        <v>52196</v>
      </c>
      <c r="Z173" s="16">
        <v>0</v>
      </c>
      <c r="AA173" s="150">
        <v>27574</v>
      </c>
    </row>
    <row r="174" spans="1:27" x14ac:dyDescent="0.35">
      <c r="A174" s="19">
        <v>2828</v>
      </c>
      <c r="B174" s="20" t="s">
        <v>218</v>
      </c>
      <c r="C174" s="150">
        <v>1107190</v>
      </c>
      <c r="D174" s="150">
        <v>1795017</v>
      </c>
      <c r="E174" s="150">
        <v>1813880</v>
      </c>
      <c r="F174" s="10">
        <v>2539431</v>
      </c>
      <c r="G174" s="10">
        <v>116482</v>
      </c>
      <c r="H174" s="156">
        <v>0</v>
      </c>
      <c r="I174" s="150">
        <v>0</v>
      </c>
      <c r="J174" s="16">
        <v>0</v>
      </c>
      <c r="K174" s="150">
        <v>0</v>
      </c>
      <c r="L174" s="150">
        <v>0</v>
      </c>
      <c r="M174" s="150">
        <v>0</v>
      </c>
      <c r="N174" s="10">
        <v>0</v>
      </c>
      <c r="O174" s="150">
        <v>921564</v>
      </c>
      <c r="P174" s="150">
        <v>3774</v>
      </c>
      <c r="Q174" s="150">
        <v>46560</v>
      </c>
      <c r="R174" s="16">
        <v>4085</v>
      </c>
      <c r="S174" s="16">
        <v>0</v>
      </c>
      <c r="T174" s="150">
        <v>53104</v>
      </c>
      <c r="U174" s="150">
        <v>53104</v>
      </c>
      <c r="V174" s="150">
        <v>52935</v>
      </c>
      <c r="W174" s="150">
        <v>53048</v>
      </c>
      <c r="X174" s="150">
        <v>53048</v>
      </c>
      <c r="Y174" s="10">
        <v>88426</v>
      </c>
      <c r="Z174" s="16">
        <v>0</v>
      </c>
      <c r="AA174" s="150">
        <v>57284</v>
      </c>
    </row>
    <row r="175" spans="1:27" x14ac:dyDescent="0.35">
      <c r="A175" s="19">
        <v>2835</v>
      </c>
      <c r="B175" s="20" t="s">
        <v>219</v>
      </c>
      <c r="C175" s="150">
        <v>4897844</v>
      </c>
      <c r="D175" s="150">
        <v>8658522</v>
      </c>
      <c r="E175" s="150">
        <v>8472729</v>
      </c>
      <c r="F175" s="10">
        <v>11861820</v>
      </c>
      <c r="G175" s="10">
        <v>544091</v>
      </c>
      <c r="H175" s="156">
        <v>0</v>
      </c>
      <c r="I175" s="150">
        <v>0</v>
      </c>
      <c r="J175" s="16">
        <v>0</v>
      </c>
      <c r="K175" s="150">
        <v>0</v>
      </c>
      <c r="L175" s="150">
        <v>0</v>
      </c>
      <c r="M175" s="150">
        <v>0</v>
      </c>
      <c r="N175" s="10">
        <v>0</v>
      </c>
      <c r="O175" s="150">
        <v>3497788</v>
      </c>
      <c r="P175" s="150">
        <v>14325</v>
      </c>
      <c r="Q175" s="150">
        <v>75845</v>
      </c>
      <c r="R175" s="16">
        <v>6654</v>
      </c>
      <c r="S175" s="16">
        <v>0</v>
      </c>
      <c r="T175" s="150">
        <v>296497</v>
      </c>
      <c r="U175" s="150">
        <v>296497</v>
      </c>
      <c r="V175" s="150">
        <v>295551</v>
      </c>
      <c r="W175" s="150">
        <v>296182</v>
      </c>
      <c r="X175" s="150">
        <v>296182</v>
      </c>
      <c r="Y175" s="10">
        <v>493722</v>
      </c>
      <c r="Z175" s="16">
        <v>0</v>
      </c>
      <c r="AA175" s="150">
        <v>204933</v>
      </c>
    </row>
    <row r="176" spans="1:27" x14ac:dyDescent="0.35">
      <c r="A176" s="19">
        <v>2842</v>
      </c>
      <c r="B176" s="20" t="s">
        <v>220</v>
      </c>
      <c r="C176" s="150">
        <v>15623</v>
      </c>
      <c r="D176" s="150">
        <v>23827</v>
      </c>
      <c r="E176" s="150">
        <v>24656</v>
      </c>
      <c r="F176" s="10">
        <v>34519</v>
      </c>
      <c r="G176" s="10">
        <v>1583</v>
      </c>
      <c r="H176" s="156">
        <v>14190</v>
      </c>
      <c r="I176" s="150">
        <v>8869</v>
      </c>
      <c r="J176" s="16">
        <v>12417</v>
      </c>
      <c r="K176" s="150">
        <v>0</v>
      </c>
      <c r="L176" s="150">
        <v>0</v>
      </c>
      <c r="M176" s="150">
        <v>0</v>
      </c>
      <c r="N176" s="10">
        <v>0</v>
      </c>
      <c r="O176" s="150">
        <v>360612</v>
      </c>
      <c r="P176" s="150">
        <v>1477</v>
      </c>
      <c r="Q176" s="150">
        <v>2085</v>
      </c>
      <c r="R176" s="16">
        <v>183</v>
      </c>
      <c r="S176" s="16">
        <v>0</v>
      </c>
      <c r="T176" s="150">
        <v>26037</v>
      </c>
      <c r="U176" s="150">
        <v>26038</v>
      </c>
      <c r="V176" s="150">
        <v>25954</v>
      </c>
      <c r="W176" s="150">
        <v>26009</v>
      </c>
      <c r="X176" s="150">
        <v>26010</v>
      </c>
      <c r="Y176" s="10">
        <v>43357</v>
      </c>
      <c r="Z176" s="16">
        <v>10498</v>
      </c>
      <c r="AA176" s="150">
        <v>21632</v>
      </c>
    </row>
    <row r="177" spans="1:28" x14ac:dyDescent="0.35">
      <c r="A177" s="19">
        <v>1848</v>
      </c>
      <c r="B177" s="20" t="s">
        <v>7</v>
      </c>
      <c r="C177" s="150">
        <v>0</v>
      </c>
      <c r="D177" s="150">
        <v>215833</v>
      </c>
      <c r="E177" s="150">
        <v>134895</v>
      </c>
      <c r="F177" s="10">
        <v>188853</v>
      </c>
      <c r="G177" s="10">
        <v>8663</v>
      </c>
      <c r="H177" s="156">
        <v>0</v>
      </c>
      <c r="I177" s="150">
        <v>0</v>
      </c>
      <c r="J177" s="16">
        <v>0</v>
      </c>
      <c r="K177" s="150">
        <v>36695</v>
      </c>
      <c r="L177" s="150">
        <v>181438</v>
      </c>
      <c r="M177" s="150">
        <v>176772</v>
      </c>
      <c r="N177" s="10">
        <v>179106.39</v>
      </c>
      <c r="O177" s="150">
        <v>419230</v>
      </c>
      <c r="P177" s="150">
        <v>1717</v>
      </c>
      <c r="Q177" s="150">
        <v>26910</v>
      </c>
      <c r="R177" s="16">
        <v>1453</v>
      </c>
      <c r="S177" s="16">
        <v>128417</v>
      </c>
      <c r="T177" s="150">
        <v>117003</v>
      </c>
      <c r="U177" s="150">
        <v>117002</v>
      </c>
      <c r="V177" s="150">
        <v>116628</v>
      </c>
      <c r="W177" s="150">
        <v>116878</v>
      </c>
      <c r="X177" s="150">
        <v>116878</v>
      </c>
      <c r="Y177" s="10">
        <v>194832</v>
      </c>
      <c r="Z177" s="16">
        <v>86309</v>
      </c>
      <c r="AA177" s="150">
        <v>20129</v>
      </c>
    </row>
    <row r="178" spans="1:28" x14ac:dyDescent="0.35">
      <c r="A178" s="19">
        <v>2849</v>
      </c>
      <c r="B178" s="20" t="s">
        <v>221</v>
      </c>
      <c r="C178" s="150">
        <v>4785506</v>
      </c>
      <c r="D178" s="150">
        <v>8169565</v>
      </c>
      <c r="E178" s="150">
        <v>8096919</v>
      </c>
      <c r="F178" s="10">
        <v>11335687</v>
      </c>
      <c r="G178" s="10">
        <v>519958</v>
      </c>
      <c r="H178" s="156">
        <v>0</v>
      </c>
      <c r="I178" s="150">
        <v>0</v>
      </c>
      <c r="J178" s="16">
        <v>0</v>
      </c>
      <c r="K178" s="150">
        <v>0</v>
      </c>
      <c r="L178" s="150">
        <v>807179</v>
      </c>
      <c r="M178" s="150">
        <v>796907</v>
      </c>
      <c r="N178" s="10">
        <v>802042.99</v>
      </c>
      <c r="O178" s="150">
        <v>4690182</v>
      </c>
      <c r="P178" s="150">
        <v>19209</v>
      </c>
      <c r="Q178" s="150">
        <v>80240</v>
      </c>
      <c r="R178" s="16">
        <v>7039</v>
      </c>
      <c r="S178" s="16">
        <v>0</v>
      </c>
      <c r="T178" s="150">
        <v>601743</v>
      </c>
      <c r="U178" s="150">
        <v>600263</v>
      </c>
      <c r="V178" s="150">
        <v>599085</v>
      </c>
      <c r="W178" s="150">
        <v>600363</v>
      </c>
      <c r="X178" s="150">
        <v>600364</v>
      </c>
      <c r="Y178" s="10">
        <v>1000417</v>
      </c>
      <c r="Z178" s="16">
        <v>18204</v>
      </c>
      <c r="AA178" s="150">
        <v>311155</v>
      </c>
    </row>
    <row r="179" spans="1:28" x14ac:dyDescent="0.35">
      <c r="A179" s="19">
        <v>2856</v>
      </c>
      <c r="B179" s="20" t="s">
        <v>222</v>
      </c>
      <c r="C179" s="150">
        <v>978314</v>
      </c>
      <c r="D179" s="150">
        <v>1636326</v>
      </c>
      <c r="E179" s="150">
        <v>1634150</v>
      </c>
      <c r="F179" s="10">
        <v>2287809</v>
      </c>
      <c r="G179" s="10">
        <v>104940</v>
      </c>
      <c r="H179" s="156">
        <v>0</v>
      </c>
      <c r="I179" s="150">
        <v>0</v>
      </c>
      <c r="J179" s="16">
        <v>0</v>
      </c>
      <c r="K179" s="150">
        <v>52564</v>
      </c>
      <c r="L179" s="150">
        <v>112403</v>
      </c>
      <c r="M179" s="150">
        <v>109513</v>
      </c>
      <c r="N179" s="10">
        <v>110958.05</v>
      </c>
      <c r="O179" s="150">
        <v>555016</v>
      </c>
      <c r="P179" s="150">
        <v>2273</v>
      </c>
      <c r="Q179" s="150">
        <v>17770</v>
      </c>
      <c r="R179" s="16">
        <v>1559</v>
      </c>
      <c r="S179" s="16">
        <v>44564</v>
      </c>
      <c r="T179" s="150">
        <v>60026</v>
      </c>
      <c r="U179" s="150">
        <v>60026</v>
      </c>
      <c r="V179" s="150">
        <v>59835</v>
      </c>
      <c r="W179" s="150">
        <v>59962</v>
      </c>
      <c r="X179" s="150">
        <v>59963</v>
      </c>
      <c r="Y179" s="10">
        <v>99954</v>
      </c>
      <c r="Z179" s="16">
        <v>0</v>
      </c>
      <c r="AA179" s="150">
        <v>32748</v>
      </c>
    </row>
    <row r="180" spans="1:28" x14ac:dyDescent="0.35">
      <c r="A180" s="19">
        <v>2863</v>
      </c>
      <c r="B180" s="20" t="s">
        <v>223</v>
      </c>
      <c r="C180" s="150">
        <v>263593</v>
      </c>
      <c r="D180" s="150">
        <v>483484</v>
      </c>
      <c r="E180" s="150">
        <v>466923</v>
      </c>
      <c r="F180" s="10">
        <v>653693</v>
      </c>
      <c r="G180" s="10">
        <v>29984</v>
      </c>
      <c r="H180" s="156">
        <v>0</v>
      </c>
      <c r="I180" s="150">
        <v>0</v>
      </c>
      <c r="J180" s="16">
        <v>0</v>
      </c>
      <c r="K180" s="150">
        <v>16860</v>
      </c>
      <c r="L180" s="150">
        <v>38058</v>
      </c>
      <c r="M180" s="150">
        <v>37078</v>
      </c>
      <c r="N180" s="10">
        <v>37569.39</v>
      </c>
      <c r="O180" s="150">
        <v>186242</v>
      </c>
      <c r="P180" s="150">
        <v>763</v>
      </c>
      <c r="Q180" s="150">
        <v>9110</v>
      </c>
      <c r="R180" s="16">
        <v>799</v>
      </c>
      <c r="S180" s="16">
        <v>0</v>
      </c>
      <c r="T180" s="150">
        <v>15907</v>
      </c>
      <c r="U180" s="150">
        <v>15907</v>
      </c>
      <c r="V180" s="150">
        <v>15857</v>
      </c>
      <c r="W180" s="150">
        <v>15890</v>
      </c>
      <c r="X180" s="150">
        <v>15890</v>
      </c>
      <c r="Y180" s="10">
        <v>26489</v>
      </c>
      <c r="Z180" s="16">
        <v>0</v>
      </c>
      <c r="AA180" s="150">
        <v>19095</v>
      </c>
    </row>
    <row r="181" spans="1:28" x14ac:dyDescent="0.35">
      <c r="A181" s="19">
        <v>3862</v>
      </c>
      <c r="B181" s="20" t="s">
        <v>224</v>
      </c>
      <c r="C181" s="150">
        <v>0</v>
      </c>
      <c r="D181" s="150">
        <v>1096</v>
      </c>
      <c r="E181" s="150">
        <v>685</v>
      </c>
      <c r="F181" s="10">
        <v>959</v>
      </c>
      <c r="G181" s="10">
        <v>44</v>
      </c>
      <c r="H181" s="156">
        <v>11568</v>
      </c>
      <c r="I181" s="150">
        <v>7230</v>
      </c>
      <c r="J181" s="16">
        <v>10123</v>
      </c>
      <c r="K181" s="150">
        <v>0</v>
      </c>
      <c r="L181" s="150">
        <v>0</v>
      </c>
      <c r="M181" s="150">
        <v>0</v>
      </c>
      <c r="N181" s="10">
        <v>0</v>
      </c>
      <c r="O181" s="150">
        <v>267120</v>
      </c>
      <c r="P181" s="150">
        <v>1094</v>
      </c>
      <c r="Q181" s="150">
        <v>11080</v>
      </c>
      <c r="R181" s="16">
        <v>972</v>
      </c>
      <c r="S181" s="16">
        <v>0</v>
      </c>
      <c r="T181" s="150">
        <v>18642</v>
      </c>
      <c r="U181" s="150">
        <v>18641</v>
      </c>
      <c r="V181" s="150">
        <v>18583</v>
      </c>
      <c r="W181" s="150">
        <v>18622</v>
      </c>
      <c r="X181" s="150">
        <v>18622</v>
      </c>
      <c r="Y181" s="10">
        <v>31040</v>
      </c>
      <c r="Z181" s="16">
        <v>16299</v>
      </c>
      <c r="AA181" s="150">
        <v>13253</v>
      </c>
    </row>
    <row r="182" spans="1:28" x14ac:dyDescent="0.35">
      <c r="A182" s="19">
        <v>2885</v>
      </c>
      <c r="B182" s="20" t="s">
        <v>225</v>
      </c>
      <c r="C182" s="150">
        <v>662053</v>
      </c>
      <c r="D182" s="150">
        <v>1518140</v>
      </c>
      <c r="E182" s="150">
        <v>1362620</v>
      </c>
      <c r="F182" s="10">
        <v>1907669</v>
      </c>
      <c r="G182" s="10">
        <v>87503</v>
      </c>
      <c r="H182" s="156">
        <v>0</v>
      </c>
      <c r="I182" s="150">
        <v>0</v>
      </c>
      <c r="J182" s="16">
        <v>0</v>
      </c>
      <c r="K182" s="150">
        <v>0</v>
      </c>
      <c r="L182" s="150">
        <v>222151</v>
      </c>
      <c r="M182" s="150">
        <v>216439</v>
      </c>
      <c r="N182" s="10">
        <v>219294.94</v>
      </c>
      <c r="O182" s="150">
        <v>1371216</v>
      </c>
      <c r="P182" s="150">
        <v>5616</v>
      </c>
      <c r="Q182" s="150">
        <v>42970</v>
      </c>
      <c r="R182" s="16">
        <v>3770</v>
      </c>
      <c r="S182" s="16">
        <v>0</v>
      </c>
      <c r="T182" s="150">
        <v>127561</v>
      </c>
      <c r="U182" s="150">
        <v>127560</v>
      </c>
      <c r="V182" s="150">
        <v>127154</v>
      </c>
      <c r="W182" s="150">
        <v>127425</v>
      </c>
      <c r="X182" s="150">
        <v>127425</v>
      </c>
      <c r="Y182" s="10">
        <v>212409</v>
      </c>
      <c r="Z182" s="16">
        <v>24325</v>
      </c>
      <c r="AA182" s="150">
        <v>85325</v>
      </c>
    </row>
    <row r="183" spans="1:28" x14ac:dyDescent="0.35">
      <c r="A183" s="19">
        <v>2884</v>
      </c>
      <c r="B183" s="20" t="s">
        <v>226</v>
      </c>
      <c r="C183" s="150">
        <v>91442</v>
      </c>
      <c r="D183" s="150">
        <v>108952</v>
      </c>
      <c r="E183" s="150">
        <v>125246</v>
      </c>
      <c r="F183" s="10">
        <v>175345</v>
      </c>
      <c r="G183" s="10">
        <v>8043</v>
      </c>
      <c r="H183" s="156">
        <v>360957</v>
      </c>
      <c r="I183" s="150">
        <v>225598</v>
      </c>
      <c r="J183" s="16">
        <v>315838</v>
      </c>
      <c r="K183" s="150">
        <v>0</v>
      </c>
      <c r="L183" s="150">
        <v>0</v>
      </c>
      <c r="M183" s="150">
        <v>0</v>
      </c>
      <c r="N183" s="10">
        <v>0</v>
      </c>
      <c r="O183" s="150">
        <v>952728</v>
      </c>
      <c r="P183" s="150">
        <v>3902</v>
      </c>
      <c r="Q183" s="150">
        <v>43975</v>
      </c>
      <c r="R183" s="16">
        <v>3858</v>
      </c>
      <c r="S183" s="16">
        <v>0</v>
      </c>
      <c r="T183" s="150">
        <v>40103</v>
      </c>
      <c r="U183" s="150">
        <v>40104</v>
      </c>
      <c r="V183" s="150">
        <v>39975</v>
      </c>
      <c r="W183" s="150">
        <v>40061</v>
      </c>
      <c r="X183" s="150">
        <v>40061</v>
      </c>
      <c r="Y183" s="10">
        <v>66779</v>
      </c>
      <c r="Z183" s="16">
        <v>10896</v>
      </c>
      <c r="AA183" s="150">
        <v>62291</v>
      </c>
    </row>
    <row r="184" spans="1:28" x14ac:dyDescent="0.35">
      <c r="A184" s="19">
        <v>2891</v>
      </c>
      <c r="B184" s="20" t="s">
        <v>45</v>
      </c>
      <c r="C184" s="150">
        <v>14422</v>
      </c>
      <c r="D184" s="150">
        <v>18755</v>
      </c>
      <c r="E184" s="150">
        <v>20735</v>
      </c>
      <c r="F184" s="10">
        <v>29029</v>
      </c>
      <c r="G184" s="10">
        <v>1332</v>
      </c>
      <c r="H184" s="156">
        <v>25012</v>
      </c>
      <c r="I184" s="150">
        <v>15633</v>
      </c>
      <c r="J184" s="16">
        <v>21885</v>
      </c>
      <c r="K184" s="150">
        <v>20563</v>
      </c>
      <c r="L184" s="150">
        <v>38943</v>
      </c>
      <c r="M184" s="150">
        <v>37941</v>
      </c>
      <c r="N184" s="10">
        <v>38442.44</v>
      </c>
      <c r="O184" s="150">
        <v>221858</v>
      </c>
      <c r="P184" s="150">
        <v>909</v>
      </c>
      <c r="Q184" s="150">
        <v>17620</v>
      </c>
      <c r="R184" s="16">
        <v>1546</v>
      </c>
      <c r="S184" s="16">
        <v>211388</v>
      </c>
      <c r="T184" s="150">
        <v>21594</v>
      </c>
      <c r="U184" s="150">
        <v>21595</v>
      </c>
      <c r="V184" s="150">
        <v>21526</v>
      </c>
      <c r="W184" s="150">
        <v>21571</v>
      </c>
      <c r="X184" s="150">
        <v>21572</v>
      </c>
      <c r="Y184" s="10">
        <v>35957</v>
      </c>
      <c r="Z184" s="16">
        <v>808</v>
      </c>
      <c r="AA184" s="150">
        <v>13153</v>
      </c>
    </row>
    <row r="185" spans="1:28" x14ac:dyDescent="0.35">
      <c r="A185" s="19">
        <v>2898</v>
      </c>
      <c r="B185" s="20" t="s">
        <v>227</v>
      </c>
      <c r="C185" s="150">
        <v>1233910</v>
      </c>
      <c r="D185" s="150">
        <v>2261683</v>
      </c>
      <c r="E185" s="150">
        <v>2184745</v>
      </c>
      <c r="F185" s="10">
        <v>3058644</v>
      </c>
      <c r="G185" s="10">
        <v>140297</v>
      </c>
      <c r="H185" s="156">
        <v>0</v>
      </c>
      <c r="I185" s="150">
        <v>0</v>
      </c>
      <c r="J185" s="16">
        <v>0</v>
      </c>
      <c r="K185" s="150">
        <v>0</v>
      </c>
      <c r="L185" s="150">
        <v>0</v>
      </c>
      <c r="M185" s="150">
        <v>0</v>
      </c>
      <c r="N185" s="10">
        <v>0</v>
      </c>
      <c r="O185" s="150">
        <v>1147874</v>
      </c>
      <c r="P185" s="150">
        <v>4701</v>
      </c>
      <c r="Q185" s="150">
        <v>18230</v>
      </c>
      <c r="R185" s="16">
        <v>1599</v>
      </c>
      <c r="S185" s="16">
        <v>0</v>
      </c>
      <c r="T185" s="150">
        <v>111961</v>
      </c>
      <c r="U185" s="150">
        <v>111961</v>
      </c>
      <c r="V185" s="150">
        <v>111603</v>
      </c>
      <c r="W185" s="150">
        <v>111842</v>
      </c>
      <c r="X185" s="150">
        <v>111842</v>
      </c>
      <c r="Y185" s="10">
        <v>186434</v>
      </c>
      <c r="Z185" s="16">
        <v>39733</v>
      </c>
      <c r="AA185" s="150">
        <v>61056</v>
      </c>
    </row>
    <row r="186" spans="1:28" x14ac:dyDescent="0.35">
      <c r="A186" s="19">
        <v>3647</v>
      </c>
      <c r="B186" s="20" t="s">
        <v>54</v>
      </c>
      <c r="C186" s="150">
        <v>0</v>
      </c>
      <c r="D186" s="150">
        <v>0</v>
      </c>
      <c r="E186" s="150">
        <v>0</v>
      </c>
      <c r="F186" s="10">
        <v>0</v>
      </c>
      <c r="G186" s="10">
        <v>0</v>
      </c>
      <c r="H186" s="156">
        <v>8628</v>
      </c>
      <c r="I186" s="150">
        <v>5393</v>
      </c>
      <c r="J186" s="16">
        <v>7550</v>
      </c>
      <c r="K186" s="150">
        <v>0</v>
      </c>
      <c r="L186" s="150">
        <v>0</v>
      </c>
      <c r="M186" s="150">
        <v>0</v>
      </c>
      <c r="N186" s="10">
        <v>0</v>
      </c>
      <c r="O186" s="150">
        <v>538692</v>
      </c>
      <c r="P186" s="150">
        <v>2206</v>
      </c>
      <c r="Q186" s="150">
        <v>82465</v>
      </c>
      <c r="R186" s="16">
        <v>7234</v>
      </c>
      <c r="S186" s="16">
        <v>322014</v>
      </c>
      <c r="T186" s="150">
        <v>0</v>
      </c>
      <c r="U186" s="150">
        <v>244999</v>
      </c>
      <c r="V186" s="150">
        <v>122107</v>
      </c>
      <c r="W186" s="150">
        <v>122369</v>
      </c>
      <c r="X186" s="150">
        <v>122368</v>
      </c>
      <c r="Y186" s="10">
        <v>203983</v>
      </c>
      <c r="Z186" s="16">
        <v>0</v>
      </c>
      <c r="AA186" s="150">
        <v>34016</v>
      </c>
    </row>
    <row r="187" spans="1:28" x14ac:dyDescent="0.35">
      <c r="A187" s="19">
        <v>2912</v>
      </c>
      <c r="B187" s="20" t="s">
        <v>228</v>
      </c>
      <c r="C187" s="150">
        <v>986310</v>
      </c>
      <c r="D187" s="150">
        <v>1959243</v>
      </c>
      <c r="E187" s="150">
        <v>1840971</v>
      </c>
      <c r="F187" s="10">
        <v>2577359</v>
      </c>
      <c r="G187" s="10">
        <v>118221</v>
      </c>
      <c r="H187" s="156">
        <v>0</v>
      </c>
      <c r="I187" s="150">
        <v>0</v>
      </c>
      <c r="J187" s="16">
        <v>0</v>
      </c>
      <c r="K187" s="150">
        <v>0</v>
      </c>
      <c r="L187" s="150">
        <v>101782</v>
      </c>
      <c r="M187" s="150">
        <v>99166</v>
      </c>
      <c r="N187" s="10">
        <v>100473.39</v>
      </c>
      <c r="O187" s="150">
        <v>720482</v>
      </c>
      <c r="P187" s="150">
        <v>2951</v>
      </c>
      <c r="Q187" s="150">
        <v>22050</v>
      </c>
      <c r="R187" s="16">
        <v>1934</v>
      </c>
      <c r="S187" s="16">
        <v>0</v>
      </c>
      <c r="T187" s="150">
        <v>77424</v>
      </c>
      <c r="U187" s="150">
        <v>77424</v>
      </c>
      <c r="V187" s="150">
        <v>77177</v>
      </c>
      <c r="W187" s="150">
        <v>77342</v>
      </c>
      <c r="X187" s="150">
        <v>77342</v>
      </c>
      <c r="Y187" s="10">
        <v>128924</v>
      </c>
      <c r="Z187" s="16">
        <v>34634</v>
      </c>
      <c r="AA187" s="150">
        <v>46368</v>
      </c>
    </row>
    <row r="188" spans="1:28" x14ac:dyDescent="0.35">
      <c r="A188" s="19">
        <v>2940</v>
      </c>
      <c r="B188" s="20" t="s">
        <v>229</v>
      </c>
      <c r="C188" s="150">
        <v>151621</v>
      </c>
      <c r="D188" s="150">
        <v>372259</v>
      </c>
      <c r="E188" s="150">
        <v>327425</v>
      </c>
      <c r="F188" s="10">
        <v>458395</v>
      </c>
      <c r="G188" s="10">
        <v>21026</v>
      </c>
      <c r="H188" s="156">
        <v>0</v>
      </c>
      <c r="I188" s="150">
        <v>0</v>
      </c>
      <c r="J188" s="16">
        <v>0</v>
      </c>
      <c r="K188" s="150">
        <v>0</v>
      </c>
      <c r="L188" s="150">
        <v>38943</v>
      </c>
      <c r="M188" s="150">
        <v>37941</v>
      </c>
      <c r="N188" s="10">
        <v>38442.44</v>
      </c>
      <c r="O188" s="150">
        <v>169918</v>
      </c>
      <c r="P188" s="150">
        <v>696</v>
      </c>
      <c r="Q188" s="150">
        <v>15170</v>
      </c>
      <c r="R188" s="16">
        <v>1331</v>
      </c>
      <c r="S188" s="16">
        <v>4905</v>
      </c>
      <c r="T188" s="150">
        <v>13253</v>
      </c>
      <c r="U188" s="150">
        <v>13253</v>
      </c>
      <c r="V188" s="150">
        <v>13210</v>
      </c>
      <c r="W188" s="150">
        <v>13239</v>
      </c>
      <c r="X188" s="150">
        <v>13239</v>
      </c>
      <c r="Y188" s="10">
        <v>22069</v>
      </c>
      <c r="Z188" s="16">
        <v>0</v>
      </c>
      <c r="AA188" s="150">
        <v>9514</v>
      </c>
    </row>
    <row r="189" spans="1:28" x14ac:dyDescent="0.35">
      <c r="A189" s="19">
        <v>2961</v>
      </c>
      <c r="B189" s="20" t="s">
        <v>230</v>
      </c>
      <c r="C189" s="150">
        <v>403817</v>
      </c>
      <c r="D189" s="150">
        <v>774429</v>
      </c>
      <c r="E189" s="150">
        <v>736404</v>
      </c>
      <c r="F189" s="10">
        <v>1030965</v>
      </c>
      <c r="G189" s="10">
        <v>47289</v>
      </c>
      <c r="H189" s="156">
        <v>0</v>
      </c>
      <c r="I189" s="150">
        <v>0</v>
      </c>
      <c r="J189" s="16">
        <v>0</v>
      </c>
      <c r="K189" s="150">
        <v>0</v>
      </c>
      <c r="L189" s="150">
        <v>0</v>
      </c>
      <c r="M189" s="150">
        <v>0</v>
      </c>
      <c r="N189" s="10">
        <v>0</v>
      </c>
      <c r="O189" s="150">
        <v>298284</v>
      </c>
      <c r="P189" s="150">
        <v>1222</v>
      </c>
      <c r="Q189" s="150">
        <v>11930</v>
      </c>
      <c r="R189" s="16">
        <v>1047</v>
      </c>
      <c r="S189" s="16">
        <v>0</v>
      </c>
      <c r="T189" s="150">
        <v>29130</v>
      </c>
      <c r="U189" s="150">
        <v>29129</v>
      </c>
      <c r="V189" s="150">
        <v>29037</v>
      </c>
      <c r="W189" s="150">
        <v>29098</v>
      </c>
      <c r="X189" s="150">
        <v>29099</v>
      </c>
      <c r="Y189" s="10">
        <v>48505</v>
      </c>
      <c r="Z189" s="16">
        <v>0</v>
      </c>
      <c r="AA189" s="150">
        <v>19228</v>
      </c>
    </row>
    <row r="190" spans="1:28" x14ac:dyDescent="0.35">
      <c r="A190" s="19">
        <v>3087</v>
      </c>
      <c r="B190" s="20" t="s">
        <v>42</v>
      </c>
      <c r="C190" s="150">
        <v>0</v>
      </c>
      <c r="D190" s="150">
        <v>0</v>
      </c>
      <c r="E190" s="150">
        <v>0</v>
      </c>
      <c r="F190" s="10">
        <v>0</v>
      </c>
      <c r="G190" s="10">
        <v>0</v>
      </c>
      <c r="H190" s="156">
        <v>1158</v>
      </c>
      <c r="I190" s="150">
        <v>724</v>
      </c>
      <c r="J190" s="16">
        <v>1013</v>
      </c>
      <c r="K190" s="150">
        <v>0</v>
      </c>
      <c r="L190" s="150">
        <v>0</v>
      </c>
      <c r="M190" s="150">
        <v>0</v>
      </c>
      <c r="N190" s="10">
        <v>0</v>
      </c>
      <c r="O190" s="150">
        <v>76426</v>
      </c>
      <c r="P190" s="150">
        <v>313</v>
      </c>
      <c r="Q190" s="150">
        <v>1740</v>
      </c>
      <c r="R190" s="16">
        <v>153</v>
      </c>
      <c r="S190" s="16">
        <v>0</v>
      </c>
      <c r="T190" s="150">
        <v>5372</v>
      </c>
      <c r="U190" s="150">
        <v>5373</v>
      </c>
      <c r="V190" s="150">
        <v>5354</v>
      </c>
      <c r="W190" s="150">
        <v>5367</v>
      </c>
      <c r="X190" s="150">
        <v>5366</v>
      </c>
      <c r="Y190" s="10">
        <v>8945</v>
      </c>
      <c r="Z190" s="16">
        <v>0</v>
      </c>
      <c r="AA190" s="150">
        <v>3372</v>
      </c>
      <c r="AB190" s="24"/>
    </row>
    <row r="191" spans="1:28" x14ac:dyDescent="0.35">
      <c r="A191" s="19">
        <v>3094</v>
      </c>
      <c r="B191" s="20" t="s">
        <v>231</v>
      </c>
      <c r="C191" s="150">
        <v>0</v>
      </c>
      <c r="D191" s="150">
        <v>0</v>
      </c>
      <c r="E191" s="150">
        <v>0</v>
      </c>
      <c r="F191" s="10">
        <v>0</v>
      </c>
      <c r="G191" s="10">
        <v>0</v>
      </c>
      <c r="H191" s="156">
        <v>270</v>
      </c>
      <c r="I191" s="150">
        <v>169</v>
      </c>
      <c r="J191" s="16">
        <v>235</v>
      </c>
      <c r="K191" s="150">
        <v>0</v>
      </c>
      <c r="L191" s="150">
        <v>0</v>
      </c>
      <c r="M191" s="150">
        <v>0</v>
      </c>
      <c r="N191" s="10">
        <v>0</v>
      </c>
      <c r="O191" s="150">
        <v>63812</v>
      </c>
      <c r="P191" s="150">
        <v>261</v>
      </c>
      <c r="Q191" s="150">
        <v>2425</v>
      </c>
      <c r="R191" s="16">
        <v>213</v>
      </c>
      <c r="S191" s="16">
        <v>26166</v>
      </c>
      <c r="T191" s="150">
        <v>5033</v>
      </c>
      <c r="U191" s="150">
        <v>5034</v>
      </c>
      <c r="V191" s="150">
        <v>5017</v>
      </c>
      <c r="W191" s="150">
        <v>5028</v>
      </c>
      <c r="X191" s="150">
        <v>5028</v>
      </c>
      <c r="Y191" s="10">
        <v>8382</v>
      </c>
      <c r="Z191" s="16">
        <v>0</v>
      </c>
      <c r="AA191" s="150">
        <v>3038</v>
      </c>
    </row>
    <row r="192" spans="1:28" x14ac:dyDescent="0.35">
      <c r="A192" s="19">
        <v>3129</v>
      </c>
      <c r="B192" s="20" t="s">
        <v>232</v>
      </c>
      <c r="C192" s="150">
        <v>1315141</v>
      </c>
      <c r="D192" s="150">
        <v>2422719</v>
      </c>
      <c r="E192" s="150">
        <v>2336162</v>
      </c>
      <c r="F192" s="10">
        <v>3270627</v>
      </c>
      <c r="G192" s="10">
        <v>150021</v>
      </c>
      <c r="H192" s="156">
        <v>0</v>
      </c>
      <c r="I192" s="150">
        <v>0</v>
      </c>
      <c r="J192" s="16">
        <v>0</v>
      </c>
      <c r="K192" s="150">
        <v>0</v>
      </c>
      <c r="L192" s="150">
        <v>0</v>
      </c>
      <c r="M192" s="150">
        <v>0</v>
      </c>
      <c r="N192" s="10">
        <v>0</v>
      </c>
      <c r="O192" s="150">
        <v>914886</v>
      </c>
      <c r="P192" s="150">
        <v>3747</v>
      </c>
      <c r="Q192" s="150">
        <v>835</v>
      </c>
      <c r="R192" s="16">
        <v>73</v>
      </c>
      <c r="S192" s="16">
        <v>0</v>
      </c>
      <c r="T192" s="150">
        <v>111050</v>
      </c>
      <c r="U192" s="150">
        <v>111049</v>
      </c>
      <c r="V192" s="150">
        <v>110696</v>
      </c>
      <c r="W192" s="150">
        <v>110931</v>
      </c>
      <c r="X192" s="150">
        <v>110932</v>
      </c>
      <c r="Y192" s="10">
        <v>184917</v>
      </c>
      <c r="Z192" s="16">
        <v>0</v>
      </c>
      <c r="AA192" s="150">
        <v>56583</v>
      </c>
    </row>
    <row r="193" spans="1:27" x14ac:dyDescent="0.35">
      <c r="A193" s="19">
        <v>3150</v>
      </c>
      <c r="B193" s="20" t="s">
        <v>233</v>
      </c>
      <c r="C193" s="150">
        <v>709324</v>
      </c>
      <c r="D193" s="150">
        <v>1397976</v>
      </c>
      <c r="E193" s="150">
        <v>1317062</v>
      </c>
      <c r="F193" s="10">
        <v>1843887</v>
      </c>
      <c r="G193" s="10">
        <v>84578</v>
      </c>
      <c r="H193" s="156">
        <v>0</v>
      </c>
      <c r="I193" s="150">
        <v>0</v>
      </c>
      <c r="J193" s="16">
        <v>0</v>
      </c>
      <c r="K193" s="150">
        <v>0</v>
      </c>
      <c r="L193" s="150">
        <v>0</v>
      </c>
      <c r="M193" s="150">
        <v>0</v>
      </c>
      <c r="N193" s="10">
        <v>0</v>
      </c>
      <c r="O193" s="150">
        <v>1085546</v>
      </c>
      <c r="P193" s="150">
        <v>4446</v>
      </c>
      <c r="Q193" s="150">
        <v>42625</v>
      </c>
      <c r="R193" s="16">
        <v>3739</v>
      </c>
      <c r="S193" s="16">
        <v>0</v>
      </c>
      <c r="T193" s="150">
        <v>136143</v>
      </c>
      <c r="U193" s="150">
        <v>136143</v>
      </c>
      <c r="V193" s="150">
        <v>135709</v>
      </c>
      <c r="W193" s="150">
        <v>135998</v>
      </c>
      <c r="X193" s="150">
        <v>135998</v>
      </c>
      <c r="Y193" s="10">
        <v>226703</v>
      </c>
      <c r="Z193" s="16">
        <v>739</v>
      </c>
      <c r="AA193" s="150">
        <v>63760</v>
      </c>
    </row>
    <row r="194" spans="1:27" x14ac:dyDescent="0.35">
      <c r="A194" s="19">
        <v>3171</v>
      </c>
      <c r="B194" s="20" t="s">
        <v>234</v>
      </c>
      <c r="C194" s="150">
        <v>1055331</v>
      </c>
      <c r="D194" s="150">
        <v>1888562</v>
      </c>
      <c r="E194" s="150">
        <v>1839933</v>
      </c>
      <c r="F194" s="10">
        <v>2575906</v>
      </c>
      <c r="G194" s="10">
        <v>118155</v>
      </c>
      <c r="H194" s="156">
        <v>0</v>
      </c>
      <c r="I194" s="150">
        <v>0</v>
      </c>
      <c r="J194" s="16">
        <v>0</v>
      </c>
      <c r="K194" s="150">
        <v>0</v>
      </c>
      <c r="L194" s="150">
        <v>0</v>
      </c>
      <c r="M194" s="150">
        <v>0</v>
      </c>
      <c r="N194" s="10">
        <v>0</v>
      </c>
      <c r="O194" s="150">
        <v>778358</v>
      </c>
      <c r="P194" s="150">
        <v>3188</v>
      </c>
      <c r="Q194" s="150">
        <v>35825</v>
      </c>
      <c r="R194" s="16">
        <v>3143</v>
      </c>
      <c r="S194" s="16">
        <v>0</v>
      </c>
      <c r="T194" s="150">
        <v>63478</v>
      </c>
      <c r="U194" s="150">
        <v>63478</v>
      </c>
      <c r="V194" s="150">
        <v>63276</v>
      </c>
      <c r="W194" s="150">
        <v>63411</v>
      </c>
      <c r="X194" s="150">
        <v>63411</v>
      </c>
      <c r="Y194" s="10">
        <v>105702</v>
      </c>
      <c r="Z194" s="16">
        <v>0</v>
      </c>
      <c r="AA194" s="150">
        <v>44565</v>
      </c>
    </row>
    <row r="195" spans="1:27" x14ac:dyDescent="0.35">
      <c r="A195" s="19">
        <v>3206</v>
      </c>
      <c r="B195" s="20" t="s">
        <v>235</v>
      </c>
      <c r="C195" s="150">
        <v>600762</v>
      </c>
      <c r="D195" s="150">
        <v>1067092</v>
      </c>
      <c r="E195" s="150">
        <v>1042409</v>
      </c>
      <c r="F195" s="10">
        <v>1459372</v>
      </c>
      <c r="G195" s="10">
        <v>66940</v>
      </c>
      <c r="H195" s="156">
        <v>0</v>
      </c>
      <c r="I195" s="150">
        <v>0</v>
      </c>
      <c r="J195" s="16">
        <v>0</v>
      </c>
      <c r="K195" s="150">
        <v>0</v>
      </c>
      <c r="L195" s="150">
        <v>47794</v>
      </c>
      <c r="M195" s="150">
        <v>46564</v>
      </c>
      <c r="N195" s="10">
        <v>47179</v>
      </c>
      <c r="O195" s="150">
        <v>388066</v>
      </c>
      <c r="P195" s="150">
        <v>1589</v>
      </c>
      <c r="Q195" s="150">
        <v>19085</v>
      </c>
      <c r="R195" s="16">
        <v>1674</v>
      </c>
      <c r="S195" s="16">
        <v>2026</v>
      </c>
      <c r="T195" s="150">
        <v>624</v>
      </c>
      <c r="U195" s="150">
        <v>624</v>
      </c>
      <c r="V195" s="150">
        <v>622</v>
      </c>
      <c r="W195" s="150">
        <v>624</v>
      </c>
      <c r="X195" s="150">
        <v>623</v>
      </c>
      <c r="Y195" s="10">
        <v>1039</v>
      </c>
      <c r="Z195" s="16">
        <v>11484</v>
      </c>
      <c r="AA195" s="150">
        <v>34384</v>
      </c>
    </row>
    <row r="196" spans="1:27" x14ac:dyDescent="0.35">
      <c r="A196" s="19">
        <v>3213</v>
      </c>
      <c r="B196" s="20" t="s">
        <v>236</v>
      </c>
      <c r="C196" s="150">
        <v>373608</v>
      </c>
      <c r="D196" s="150">
        <v>759341</v>
      </c>
      <c r="E196" s="150">
        <v>708093</v>
      </c>
      <c r="F196" s="10">
        <v>991332</v>
      </c>
      <c r="G196" s="10">
        <v>45471</v>
      </c>
      <c r="H196" s="156">
        <v>0</v>
      </c>
      <c r="I196" s="150">
        <v>0</v>
      </c>
      <c r="J196" s="16">
        <v>0</v>
      </c>
      <c r="K196" s="150">
        <v>33257</v>
      </c>
      <c r="L196" s="150">
        <v>53104</v>
      </c>
      <c r="M196" s="150">
        <v>51738</v>
      </c>
      <c r="N196" s="10">
        <v>52421.33</v>
      </c>
      <c r="O196" s="150">
        <v>361354</v>
      </c>
      <c r="P196" s="150">
        <v>1480</v>
      </c>
      <c r="Q196" s="150">
        <v>17810</v>
      </c>
      <c r="R196" s="16">
        <v>1562</v>
      </c>
      <c r="S196" s="16">
        <v>2699</v>
      </c>
      <c r="T196" s="150">
        <v>22383</v>
      </c>
      <c r="U196" s="150">
        <v>22384</v>
      </c>
      <c r="V196" s="150">
        <v>22312</v>
      </c>
      <c r="W196" s="150">
        <v>22359</v>
      </c>
      <c r="X196" s="150">
        <v>22360</v>
      </c>
      <c r="Y196" s="10">
        <v>37272</v>
      </c>
      <c r="Z196" s="16">
        <v>2028</v>
      </c>
      <c r="AA196" s="150">
        <v>19095</v>
      </c>
    </row>
    <row r="197" spans="1:27" x14ac:dyDescent="0.35">
      <c r="A197" s="19">
        <v>3220</v>
      </c>
      <c r="B197" s="20" t="s">
        <v>237</v>
      </c>
      <c r="C197" s="150">
        <v>1624858</v>
      </c>
      <c r="D197" s="150">
        <v>2883698</v>
      </c>
      <c r="E197" s="150">
        <v>2817847</v>
      </c>
      <c r="F197" s="10">
        <v>3944987</v>
      </c>
      <c r="G197" s="10">
        <v>180953</v>
      </c>
      <c r="H197" s="156">
        <v>0</v>
      </c>
      <c r="I197" s="150">
        <v>0</v>
      </c>
      <c r="J197" s="16">
        <v>0</v>
      </c>
      <c r="K197" s="150">
        <v>0</v>
      </c>
      <c r="L197" s="150">
        <v>0</v>
      </c>
      <c r="M197" s="150">
        <v>0</v>
      </c>
      <c r="N197" s="10">
        <v>0</v>
      </c>
      <c r="O197" s="150">
        <v>1332632</v>
      </c>
      <c r="P197" s="150">
        <v>5458</v>
      </c>
      <c r="Q197" s="150">
        <v>139845</v>
      </c>
      <c r="R197" s="16">
        <v>12268</v>
      </c>
      <c r="S197" s="16">
        <v>60838</v>
      </c>
      <c r="T197" s="150">
        <v>116221</v>
      </c>
      <c r="U197" s="150">
        <v>116222</v>
      </c>
      <c r="V197" s="150">
        <v>115850</v>
      </c>
      <c r="W197" s="150">
        <v>116098</v>
      </c>
      <c r="X197" s="150">
        <v>116098</v>
      </c>
      <c r="Y197" s="10">
        <v>193528</v>
      </c>
      <c r="Z197" s="16">
        <v>24278</v>
      </c>
      <c r="AA197" s="150">
        <v>89164</v>
      </c>
    </row>
    <row r="198" spans="1:27" x14ac:dyDescent="0.35">
      <c r="A198" s="19">
        <v>3269</v>
      </c>
      <c r="B198" s="20" t="s">
        <v>238</v>
      </c>
      <c r="C198" s="150">
        <v>5410544</v>
      </c>
      <c r="D198" s="150">
        <v>9707146</v>
      </c>
      <c r="E198" s="150">
        <v>9448557</v>
      </c>
      <c r="F198" s="10">
        <v>13227979</v>
      </c>
      <c r="G198" s="10">
        <v>606756</v>
      </c>
      <c r="H198" s="156">
        <v>0</v>
      </c>
      <c r="I198" s="150">
        <v>0</v>
      </c>
      <c r="J198" s="16">
        <v>0</v>
      </c>
      <c r="K198" s="150">
        <v>0</v>
      </c>
      <c r="L198" s="150">
        <v>2396756</v>
      </c>
      <c r="M198" s="150">
        <v>2352596</v>
      </c>
      <c r="N198" s="10">
        <v>2374676.96</v>
      </c>
      <c r="O198" s="150">
        <v>19962768</v>
      </c>
      <c r="P198" s="150">
        <v>81758</v>
      </c>
      <c r="Q198" s="150">
        <v>222140</v>
      </c>
      <c r="R198" s="16">
        <v>19488</v>
      </c>
      <c r="S198" s="16">
        <v>0</v>
      </c>
      <c r="T198" s="150">
        <v>3200590</v>
      </c>
      <c r="U198" s="150">
        <v>3192676</v>
      </c>
      <c r="V198" s="150">
        <v>3186498</v>
      </c>
      <c r="W198" s="150">
        <v>3192498</v>
      </c>
      <c r="X198" s="150">
        <v>3193066</v>
      </c>
      <c r="Y198" s="10">
        <v>5322660</v>
      </c>
      <c r="Z198" s="16">
        <v>1469469</v>
      </c>
      <c r="AA198" s="150">
        <v>929693</v>
      </c>
    </row>
    <row r="199" spans="1:27" x14ac:dyDescent="0.35">
      <c r="A199" s="19">
        <v>3276</v>
      </c>
      <c r="B199" s="20" t="s">
        <v>239</v>
      </c>
      <c r="C199" s="150">
        <v>639344</v>
      </c>
      <c r="D199" s="150">
        <v>1113097</v>
      </c>
      <c r="E199" s="150">
        <v>1095276</v>
      </c>
      <c r="F199" s="10">
        <v>1533386</v>
      </c>
      <c r="G199" s="10">
        <v>70335</v>
      </c>
      <c r="H199" s="156">
        <v>0</v>
      </c>
      <c r="I199" s="150">
        <v>0</v>
      </c>
      <c r="J199" s="16">
        <v>0</v>
      </c>
      <c r="K199" s="150">
        <v>0</v>
      </c>
      <c r="L199" s="150">
        <v>0</v>
      </c>
      <c r="M199" s="150">
        <v>0</v>
      </c>
      <c r="N199" s="10">
        <v>0</v>
      </c>
      <c r="O199" s="150">
        <v>509754</v>
      </c>
      <c r="P199" s="150">
        <v>2088</v>
      </c>
      <c r="Q199" s="150">
        <v>21805</v>
      </c>
      <c r="R199" s="16">
        <v>1913</v>
      </c>
      <c r="S199" s="16">
        <v>31495</v>
      </c>
      <c r="T199" s="150">
        <v>23481</v>
      </c>
      <c r="U199" s="150">
        <v>29686</v>
      </c>
      <c r="V199" s="150">
        <v>26499</v>
      </c>
      <c r="W199" s="150">
        <v>26556</v>
      </c>
      <c r="X199" s="150">
        <v>26555</v>
      </c>
      <c r="Y199" s="10">
        <v>44266</v>
      </c>
      <c r="Z199" s="16">
        <v>0</v>
      </c>
      <c r="AA199" s="150">
        <v>35218</v>
      </c>
    </row>
    <row r="200" spans="1:27" x14ac:dyDescent="0.35">
      <c r="A200" s="19">
        <v>3290</v>
      </c>
      <c r="B200" s="20" t="s">
        <v>240</v>
      </c>
      <c r="C200" s="150">
        <v>5047652</v>
      </c>
      <c r="D200" s="150">
        <v>8783014</v>
      </c>
      <c r="E200" s="150">
        <v>8644166</v>
      </c>
      <c r="F200" s="10">
        <v>12101832</v>
      </c>
      <c r="G200" s="10">
        <v>555101</v>
      </c>
      <c r="H200" s="156">
        <v>0</v>
      </c>
      <c r="I200" s="150">
        <v>0</v>
      </c>
      <c r="J200" s="16">
        <v>0</v>
      </c>
      <c r="K200" s="150">
        <v>0</v>
      </c>
      <c r="L200" s="150">
        <v>287646</v>
      </c>
      <c r="M200" s="150">
        <v>280250</v>
      </c>
      <c r="N200" s="10">
        <v>283947.05</v>
      </c>
      <c r="O200" s="150">
        <v>3734486</v>
      </c>
      <c r="P200" s="150">
        <v>15295</v>
      </c>
      <c r="Q200" s="150">
        <v>26645</v>
      </c>
      <c r="R200" s="16">
        <v>2338</v>
      </c>
      <c r="S200" s="16">
        <v>0</v>
      </c>
      <c r="T200" s="150">
        <v>423329</v>
      </c>
      <c r="U200" s="150">
        <v>423329</v>
      </c>
      <c r="V200" s="150">
        <v>421978</v>
      </c>
      <c r="W200" s="150">
        <v>422879</v>
      </c>
      <c r="X200" s="150">
        <v>422879</v>
      </c>
      <c r="Y200" s="10">
        <v>704918</v>
      </c>
      <c r="Z200" s="16">
        <v>60029</v>
      </c>
      <c r="AA200" s="150">
        <v>247662</v>
      </c>
    </row>
    <row r="201" spans="1:27" x14ac:dyDescent="0.35">
      <c r="A201" s="19">
        <v>3297</v>
      </c>
      <c r="B201" s="20" t="s">
        <v>241</v>
      </c>
      <c r="C201" s="150">
        <v>897720</v>
      </c>
      <c r="D201" s="150">
        <v>1599574</v>
      </c>
      <c r="E201" s="150">
        <v>1560809</v>
      </c>
      <c r="F201" s="10">
        <v>2185133</v>
      </c>
      <c r="G201" s="10">
        <v>100230</v>
      </c>
      <c r="H201" s="156">
        <v>0</v>
      </c>
      <c r="I201" s="150">
        <v>0</v>
      </c>
      <c r="J201" s="16">
        <v>0</v>
      </c>
      <c r="K201" s="150">
        <v>0</v>
      </c>
      <c r="L201" s="150">
        <v>0</v>
      </c>
      <c r="M201" s="150">
        <v>0</v>
      </c>
      <c r="N201" s="10">
        <v>0</v>
      </c>
      <c r="O201" s="150">
        <v>923790</v>
      </c>
      <c r="P201" s="150">
        <v>3783</v>
      </c>
      <c r="Q201" s="150">
        <v>125460</v>
      </c>
      <c r="R201" s="16">
        <v>11006</v>
      </c>
      <c r="S201" s="16">
        <v>672484</v>
      </c>
      <c r="T201" s="150">
        <v>95358</v>
      </c>
      <c r="U201" s="150">
        <v>95359</v>
      </c>
      <c r="V201" s="150">
        <v>95055</v>
      </c>
      <c r="W201" s="150">
        <v>95257</v>
      </c>
      <c r="X201" s="150">
        <v>95257</v>
      </c>
      <c r="Y201" s="10">
        <v>158788</v>
      </c>
      <c r="Z201" s="16">
        <v>0</v>
      </c>
      <c r="AA201" s="150">
        <v>51709</v>
      </c>
    </row>
    <row r="202" spans="1:27" x14ac:dyDescent="0.35">
      <c r="A202" s="19">
        <v>1897</v>
      </c>
      <c r="B202" s="20" t="s">
        <v>242</v>
      </c>
      <c r="C202" s="150">
        <v>10584</v>
      </c>
      <c r="D202" s="150">
        <v>14441</v>
      </c>
      <c r="E202" s="150">
        <v>15640</v>
      </c>
      <c r="F202" s="10">
        <v>21897</v>
      </c>
      <c r="G202" s="10">
        <v>1004</v>
      </c>
      <c r="H202" s="156">
        <v>1005</v>
      </c>
      <c r="I202" s="150">
        <v>628</v>
      </c>
      <c r="J202" s="16">
        <v>879</v>
      </c>
      <c r="K202" s="150">
        <v>0</v>
      </c>
      <c r="L202" s="150">
        <v>0</v>
      </c>
      <c r="M202" s="150">
        <v>0</v>
      </c>
      <c r="N202" s="10">
        <v>0</v>
      </c>
      <c r="O202" s="150">
        <v>299768</v>
      </c>
      <c r="P202" s="150">
        <v>1228</v>
      </c>
      <c r="Q202" s="150">
        <v>5665</v>
      </c>
      <c r="R202" s="16">
        <v>497</v>
      </c>
      <c r="S202" s="16">
        <v>0</v>
      </c>
      <c r="T202" s="150">
        <v>48900</v>
      </c>
      <c r="U202" s="150">
        <v>48900</v>
      </c>
      <c r="V202" s="150">
        <v>48743</v>
      </c>
      <c r="W202" s="150">
        <v>48848</v>
      </c>
      <c r="X202" s="150">
        <v>48848</v>
      </c>
      <c r="Y202" s="10">
        <v>81427</v>
      </c>
      <c r="Z202" s="16">
        <v>10983</v>
      </c>
      <c r="AA202" s="150">
        <v>18327</v>
      </c>
    </row>
    <row r="203" spans="1:27" x14ac:dyDescent="0.35">
      <c r="A203" s="19">
        <v>3304</v>
      </c>
      <c r="B203" s="20" t="s">
        <v>243</v>
      </c>
      <c r="C203" s="150">
        <v>547290</v>
      </c>
      <c r="D203" s="150">
        <v>1017069</v>
      </c>
      <c r="E203" s="150">
        <v>977724</v>
      </c>
      <c r="F203" s="10">
        <v>1368815</v>
      </c>
      <c r="G203" s="10">
        <v>62786</v>
      </c>
      <c r="H203" s="156">
        <v>0</v>
      </c>
      <c r="I203" s="150">
        <v>0</v>
      </c>
      <c r="J203" s="16">
        <v>0</v>
      </c>
      <c r="K203" s="150">
        <v>0</v>
      </c>
      <c r="L203" s="150">
        <v>0</v>
      </c>
      <c r="M203" s="150">
        <v>0</v>
      </c>
      <c r="N203" s="10">
        <v>0</v>
      </c>
      <c r="O203" s="150">
        <v>489720</v>
      </c>
      <c r="P203" s="150">
        <v>2006</v>
      </c>
      <c r="Q203" s="150">
        <v>25785</v>
      </c>
      <c r="R203" s="16">
        <v>2262</v>
      </c>
      <c r="S203" s="16">
        <v>91734</v>
      </c>
      <c r="T203" s="150">
        <v>2307</v>
      </c>
      <c r="U203" s="150">
        <v>2306</v>
      </c>
      <c r="V203" s="150">
        <v>2299</v>
      </c>
      <c r="W203" s="150">
        <v>2305</v>
      </c>
      <c r="X203" s="150">
        <v>2304</v>
      </c>
      <c r="Y203" s="10">
        <v>3840</v>
      </c>
      <c r="Z203" s="16">
        <v>0</v>
      </c>
      <c r="AA203" s="150">
        <v>34617</v>
      </c>
    </row>
    <row r="204" spans="1:27" x14ac:dyDescent="0.35">
      <c r="A204" s="19">
        <v>3311</v>
      </c>
      <c r="B204" s="20" t="s">
        <v>244</v>
      </c>
      <c r="C204" s="150">
        <v>2092267</v>
      </c>
      <c r="D204" s="150">
        <v>3806229</v>
      </c>
      <c r="E204" s="150">
        <v>3686560</v>
      </c>
      <c r="F204" s="10">
        <v>5161185</v>
      </c>
      <c r="G204" s="10">
        <v>236739</v>
      </c>
      <c r="H204" s="156">
        <v>0</v>
      </c>
      <c r="I204" s="150">
        <v>0</v>
      </c>
      <c r="J204" s="16">
        <v>0</v>
      </c>
      <c r="K204" s="150">
        <v>145724</v>
      </c>
      <c r="L204" s="150">
        <v>255784</v>
      </c>
      <c r="M204" s="150">
        <v>249206</v>
      </c>
      <c r="N204" s="10">
        <v>252495.05</v>
      </c>
      <c r="O204" s="150">
        <v>1574524</v>
      </c>
      <c r="P204" s="150">
        <v>6449</v>
      </c>
      <c r="Q204" s="150">
        <v>40080</v>
      </c>
      <c r="R204" s="16">
        <v>3516</v>
      </c>
      <c r="S204" s="16">
        <v>0</v>
      </c>
      <c r="T204" s="150">
        <v>155850</v>
      </c>
      <c r="U204" s="150">
        <v>153707</v>
      </c>
      <c r="V204" s="150">
        <v>154285</v>
      </c>
      <c r="W204" s="150">
        <v>154613</v>
      </c>
      <c r="X204" s="150">
        <v>154614</v>
      </c>
      <c r="Y204" s="10">
        <v>257734</v>
      </c>
      <c r="Z204" s="16">
        <v>0</v>
      </c>
      <c r="AA204" s="150">
        <v>88095</v>
      </c>
    </row>
    <row r="205" spans="1:27" x14ac:dyDescent="0.35">
      <c r="A205" s="19">
        <v>3318</v>
      </c>
      <c r="B205" s="20" t="s">
        <v>245</v>
      </c>
      <c r="C205" s="150">
        <v>407554</v>
      </c>
      <c r="D205" s="150">
        <v>771327</v>
      </c>
      <c r="E205" s="150">
        <v>736801</v>
      </c>
      <c r="F205" s="10">
        <v>1031521</v>
      </c>
      <c r="G205" s="10">
        <v>47315</v>
      </c>
      <c r="H205" s="156">
        <v>0</v>
      </c>
      <c r="I205" s="150">
        <v>0</v>
      </c>
      <c r="J205" s="16">
        <v>0</v>
      </c>
      <c r="K205" s="150">
        <v>0</v>
      </c>
      <c r="L205" s="150">
        <v>40713</v>
      </c>
      <c r="M205" s="150">
        <v>39667</v>
      </c>
      <c r="N205" s="10">
        <v>40188.550000000003</v>
      </c>
      <c r="O205" s="150">
        <v>350224</v>
      </c>
      <c r="P205" s="150">
        <v>1434</v>
      </c>
      <c r="Q205" s="150">
        <v>15450</v>
      </c>
      <c r="R205" s="16">
        <v>1355</v>
      </c>
      <c r="S205" s="16">
        <v>0</v>
      </c>
      <c r="T205" s="150">
        <v>26305</v>
      </c>
      <c r="U205" s="150">
        <v>26305</v>
      </c>
      <c r="V205" s="150">
        <v>26221</v>
      </c>
      <c r="W205" s="150">
        <v>26276</v>
      </c>
      <c r="X205" s="150">
        <v>26277</v>
      </c>
      <c r="Y205" s="10">
        <v>43804</v>
      </c>
      <c r="Z205" s="16">
        <v>0</v>
      </c>
      <c r="AA205" s="150">
        <v>24536</v>
      </c>
    </row>
    <row r="206" spans="1:27" x14ac:dyDescent="0.35">
      <c r="A206" s="19">
        <v>3325</v>
      </c>
      <c r="B206" s="20" t="s">
        <v>246</v>
      </c>
      <c r="C206" s="150">
        <v>520710</v>
      </c>
      <c r="D206" s="150">
        <v>997434</v>
      </c>
      <c r="E206" s="150">
        <v>948840</v>
      </c>
      <c r="F206" s="10">
        <v>1328377</v>
      </c>
      <c r="G206" s="10">
        <v>60931</v>
      </c>
      <c r="H206" s="156">
        <v>0</v>
      </c>
      <c r="I206" s="150">
        <v>0</v>
      </c>
      <c r="J206" s="16">
        <v>0</v>
      </c>
      <c r="K206" s="150">
        <v>0</v>
      </c>
      <c r="L206" s="150">
        <v>0</v>
      </c>
      <c r="M206" s="150">
        <v>0</v>
      </c>
      <c r="N206" s="10">
        <v>0</v>
      </c>
      <c r="O206" s="150">
        <v>607698</v>
      </c>
      <c r="P206" s="150">
        <v>2489</v>
      </c>
      <c r="Q206" s="150">
        <v>48985</v>
      </c>
      <c r="R206" s="16">
        <v>4297</v>
      </c>
      <c r="S206" s="16">
        <v>0</v>
      </c>
      <c r="T206" s="150">
        <v>36826</v>
      </c>
      <c r="U206" s="150">
        <v>36826</v>
      </c>
      <c r="V206" s="150">
        <v>36706</v>
      </c>
      <c r="W206" s="150">
        <v>36787</v>
      </c>
      <c r="X206" s="150">
        <v>36786</v>
      </c>
      <c r="Y206" s="10">
        <v>61322</v>
      </c>
      <c r="Z206" s="16">
        <v>0</v>
      </c>
      <c r="AA206" s="150">
        <v>53645</v>
      </c>
    </row>
    <row r="207" spans="1:27" x14ac:dyDescent="0.35">
      <c r="A207" s="19">
        <v>3332</v>
      </c>
      <c r="B207" s="20" t="s">
        <v>247</v>
      </c>
      <c r="C207" s="150">
        <v>1177970</v>
      </c>
      <c r="D207" s="150">
        <v>1895246</v>
      </c>
      <c r="E207" s="150">
        <v>1920760</v>
      </c>
      <c r="F207" s="10">
        <v>2689064</v>
      </c>
      <c r="G207" s="10">
        <v>123345</v>
      </c>
      <c r="H207" s="156">
        <v>0</v>
      </c>
      <c r="I207" s="150">
        <v>0</v>
      </c>
      <c r="J207" s="16">
        <v>0</v>
      </c>
      <c r="K207" s="150">
        <v>0</v>
      </c>
      <c r="L207" s="150">
        <v>98242</v>
      </c>
      <c r="M207" s="150">
        <v>127168</v>
      </c>
      <c r="N207" s="10">
        <v>112706.16</v>
      </c>
      <c r="O207" s="150">
        <v>741258</v>
      </c>
      <c r="P207" s="150">
        <v>3036</v>
      </c>
      <c r="Q207" s="150">
        <v>10635</v>
      </c>
      <c r="R207" s="16">
        <v>933</v>
      </c>
      <c r="S207" s="16">
        <v>34169</v>
      </c>
      <c r="T207" s="150">
        <v>82498</v>
      </c>
      <c r="U207" s="150">
        <v>82498</v>
      </c>
      <c r="V207" s="150">
        <v>82234</v>
      </c>
      <c r="W207" s="150">
        <v>82410</v>
      </c>
      <c r="X207" s="150">
        <v>82410</v>
      </c>
      <c r="Y207" s="10">
        <v>137374</v>
      </c>
      <c r="Z207" s="16">
        <v>6996</v>
      </c>
      <c r="AA207" s="150">
        <v>40326</v>
      </c>
    </row>
    <row r="208" spans="1:27" x14ac:dyDescent="0.35">
      <c r="A208" s="19">
        <v>3339</v>
      </c>
      <c r="B208" s="20" t="s">
        <v>248</v>
      </c>
      <c r="C208" s="150">
        <v>3429372</v>
      </c>
      <c r="D208" s="150">
        <v>6090041</v>
      </c>
      <c r="E208" s="150">
        <v>5949633</v>
      </c>
      <c r="F208" s="10">
        <v>8329487</v>
      </c>
      <c r="G208" s="10">
        <v>382066</v>
      </c>
      <c r="H208" s="156">
        <v>0</v>
      </c>
      <c r="I208" s="150">
        <v>0</v>
      </c>
      <c r="J208" s="16">
        <v>0</v>
      </c>
      <c r="K208" s="150">
        <v>0</v>
      </c>
      <c r="L208" s="150">
        <v>0</v>
      </c>
      <c r="M208" s="150">
        <v>0</v>
      </c>
      <c r="N208" s="10">
        <v>0</v>
      </c>
      <c r="O208" s="150">
        <v>2813664</v>
      </c>
      <c r="P208" s="150">
        <v>11523</v>
      </c>
      <c r="Q208" s="150">
        <v>96895</v>
      </c>
      <c r="R208" s="16">
        <v>8500</v>
      </c>
      <c r="S208" s="16">
        <v>0</v>
      </c>
      <c r="T208" s="150">
        <v>240628</v>
      </c>
      <c r="U208" s="150">
        <v>240628</v>
      </c>
      <c r="V208" s="150">
        <v>239860</v>
      </c>
      <c r="W208" s="150">
        <v>240373</v>
      </c>
      <c r="X208" s="150">
        <v>240372</v>
      </c>
      <c r="Y208" s="10">
        <v>400689</v>
      </c>
      <c r="Z208" s="16">
        <v>5620</v>
      </c>
      <c r="AA208" s="150">
        <v>185171</v>
      </c>
    </row>
    <row r="209" spans="1:27" x14ac:dyDescent="0.35">
      <c r="A209" s="19">
        <v>3360</v>
      </c>
      <c r="B209" s="20" t="s">
        <v>249</v>
      </c>
      <c r="C209" s="150">
        <v>1409849</v>
      </c>
      <c r="D209" s="150">
        <v>2412028</v>
      </c>
      <c r="E209" s="150">
        <v>2388673</v>
      </c>
      <c r="F209" s="10">
        <v>3344143</v>
      </c>
      <c r="G209" s="10">
        <v>153393</v>
      </c>
      <c r="H209" s="156">
        <v>0</v>
      </c>
      <c r="I209" s="150">
        <v>0</v>
      </c>
      <c r="J209" s="16">
        <v>0</v>
      </c>
      <c r="K209" s="150">
        <v>95210</v>
      </c>
      <c r="L209" s="150">
        <v>164622</v>
      </c>
      <c r="M209" s="150">
        <v>240768</v>
      </c>
      <c r="N209" s="10">
        <v>202694.89</v>
      </c>
      <c r="O209" s="150">
        <v>1038058</v>
      </c>
      <c r="P209" s="150">
        <v>4251</v>
      </c>
      <c r="Q209" s="150">
        <v>67135</v>
      </c>
      <c r="R209" s="16">
        <v>5890</v>
      </c>
      <c r="S209" s="16">
        <v>0</v>
      </c>
      <c r="T209" s="150">
        <v>97900</v>
      </c>
      <c r="U209" s="150">
        <v>97900</v>
      </c>
      <c r="V209" s="150">
        <v>97587</v>
      </c>
      <c r="W209" s="150">
        <v>97795</v>
      </c>
      <c r="X209" s="150">
        <v>97796</v>
      </c>
      <c r="Y209" s="10">
        <v>163020</v>
      </c>
      <c r="Z209" s="16">
        <v>24039</v>
      </c>
      <c r="AA209" s="150">
        <v>61390</v>
      </c>
    </row>
    <row r="210" spans="1:27" x14ac:dyDescent="0.35">
      <c r="A210" s="19">
        <v>3367</v>
      </c>
      <c r="B210" s="20" t="s">
        <v>250</v>
      </c>
      <c r="C210" s="150">
        <v>1000981</v>
      </c>
      <c r="D210" s="150">
        <v>1622296</v>
      </c>
      <c r="E210" s="150">
        <v>1639548</v>
      </c>
      <c r="F210" s="10">
        <v>2295368</v>
      </c>
      <c r="G210" s="10">
        <v>105286</v>
      </c>
      <c r="H210" s="156">
        <v>0</v>
      </c>
      <c r="I210" s="150">
        <v>0</v>
      </c>
      <c r="J210" s="16">
        <v>0</v>
      </c>
      <c r="K210" s="150">
        <v>0</v>
      </c>
      <c r="L210" s="150">
        <v>0</v>
      </c>
      <c r="M210" s="150">
        <v>0</v>
      </c>
      <c r="N210" s="10">
        <v>0</v>
      </c>
      <c r="O210" s="150">
        <v>776132</v>
      </c>
      <c r="P210" s="150">
        <v>3179</v>
      </c>
      <c r="Q210" s="150">
        <v>20325</v>
      </c>
      <c r="R210" s="16">
        <v>1783</v>
      </c>
      <c r="S210" s="16">
        <v>0</v>
      </c>
      <c r="T210" s="150">
        <v>75293</v>
      </c>
      <c r="U210" s="150">
        <v>75174</v>
      </c>
      <c r="V210" s="150">
        <v>74993</v>
      </c>
      <c r="W210" s="150">
        <v>75153</v>
      </c>
      <c r="X210" s="150">
        <v>75154</v>
      </c>
      <c r="Y210" s="10">
        <v>125274</v>
      </c>
      <c r="Z210" s="16">
        <v>6530</v>
      </c>
      <c r="AA210" s="150">
        <v>56516</v>
      </c>
    </row>
    <row r="211" spans="1:27" x14ac:dyDescent="0.35">
      <c r="A211" s="19">
        <v>3381</v>
      </c>
      <c r="B211" s="20" t="s">
        <v>251</v>
      </c>
      <c r="C211" s="150">
        <v>1830709</v>
      </c>
      <c r="D211" s="150">
        <v>3271217</v>
      </c>
      <c r="E211" s="150">
        <v>3188704</v>
      </c>
      <c r="F211" s="10">
        <v>4464185</v>
      </c>
      <c r="G211" s="10">
        <v>204768</v>
      </c>
      <c r="H211" s="156">
        <v>0</v>
      </c>
      <c r="I211" s="150">
        <v>0</v>
      </c>
      <c r="J211" s="16">
        <v>0</v>
      </c>
      <c r="K211" s="150">
        <v>0</v>
      </c>
      <c r="L211" s="150">
        <v>0</v>
      </c>
      <c r="M211" s="150">
        <v>0</v>
      </c>
      <c r="N211" s="10">
        <v>0</v>
      </c>
      <c r="O211" s="150">
        <v>1686566</v>
      </c>
      <c r="P211" s="150">
        <v>6907</v>
      </c>
      <c r="Q211" s="150">
        <v>20610</v>
      </c>
      <c r="R211" s="16">
        <v>1808</v>
      </c>
      <c r="S211" s="16">
        <v>0</v>
      </c>
      <c r="T211" s="150">
        <v>273720</v>
      </c>
      <c r="U211" s="150">
        <v>277645</v>
      </c>
      <c r="V211" s="150">
        <v>274802</v>
      </c>
      <c r="W211" s="150">
        <v>275389</v>
      </c>
      <c r="X211" s="150">
        <v>275389</v>
      </c>
      <c r="Y211" s="10">
        <v>459059</v>
      </c>
      <c r="Z211" s="16">
        <v>176840</v>
      </c>
      <c r="AA211" s="150">
        <v>93003</v>
      </c>
    </row>
    <row r="212" spans="1:27" x14ac:dyDescent="0.35">
      <c r="A212" s="19">
        <v>3409</v>
      </c>
      <c r="B212" s="20" t="s">
        <v>252</v>
      </c>
      <c r="C212" s="150">
        <v>2151350</v>
      </c>
      <c r="D212" s="150">
        <v>3723555</v>
      </c>
      <c r="E212" s="150">
        <v>3671816</v>
      </c>
      <c r="F212" s="10">
        <v>5140542</v>
      </c>
      <c r="G212" s="10">
        <v>235792</v>
      </c>
      <c r="H212" s="156">
        <v>0</v>
      </c>
      <c r="I212" s="150">
        <v>0</v>
      </c>
      <c r="J212" s="16">
        <v>0</v>
      </c>
      <c r="K212" s="150">
        <v>0</v>
      </c>
      <c r="L212" s="150">
        <v>0</v>
      </c>
      <c r="M212" s="150">
        <v>0</v>
      </c>
      <c r="N212" s="10">
        <v>0</v>
      </c>
      <c r="O212" s="150">
        <v>1551522</v>
      </c>
      <c r="P212" s="150">
        <v>6354</v>
      </c>
      <c r="Q212" s="150">
        <v>127035</v>
      </c>
      <c r="R212" s="16">
        <v>11145</v>
      </c>
      <c r="S212" s="16">
        <v>0</v>
      </c>
      <c r="T212" s="150">
        <v>213296</v>
      </c>
      <c r="U212" s="150">
        <v>211017</v>
      </c>
      <c r="V212" s="150">
        <v>210879</v>
      </c>
      <c r="W212" s="150">
        <v>211731</v>
      </c>
      <c r="X212" s="150">
        <v>211731</v>
      </c>
      <c r="Y212" s="10">
        <v>352943</v>
      </c>
      <c r="Z212" s="16">
        <v>163537</v>
      </c>
      <c r="AA212" s="150">
        <v>97676</v>
      </c>
    </row>
    <row r="213" spans="1:27" x14ac:dyDescent="0.35">
      <c r="A213" s="19">
        <v>3427</v>
      </c>
      <c r="B213" s="20" t="s">
        <v>253</v>
      </c>
      <c r="C213" s="150">
        <v>310692</v>
      </c>
      <c r="D213" s="150">
        <v>479742</v>
      </c>
      <c r="E213" s="150">
        <v>494021</v>
      </c>
      <c r="F213" s="10">
        <v>691631</v>
      </c>
      <c r="G213" s="10">
        <v>31724</v>
      </c>
      <c r="H213" s="156">
        <v>0</v>
      </c>
      <c r="I213" s="150">
        <v>0</v>
      </c>
      <c r="J213" s="16">
        <v>0</v>
      </c>
      <c r="K213" s="150">
        <v>19174</v>
      </c>
      <c r="L213" s="150">
        <v>45138</v>
      </c>
      <c r="M213" s="150">
        <v>43978</v>
      </c>
      <c r="N213" s="10">
        <v>44557.83</v>
      </c>
      <c r="O213" s="150">
        <v>208502</v>
      </c>
      <c r="P213" s="150">
        <v>854</v>
      </c>
      <c r="Q213" s="150">
        <v>14155</v>
      </c>
      <c r="R213" s="16">
        <v>1242</v>
      </c>
      <c r="S213" s="16">
        <v>740</v>
      </c>
      <c r="T213" s="150">
        <v>18103</v>
      </c>
      <c r="U213" s="150">
        <v>18103</v>
      </c>
      <c r="V213" s="150">
        <v>18045</v>
      </c>
      <c r="W213" s="150">
        <v>18083</v>
      </c>
      <c r="X213" s="150">
        <v>18084</v>
      </c>
      <c r="Y213" s="10">
        <v>27675</v>
      </c>
      <c r="Z213" s="16">
        <v>0</v>
      </c>
      <c r="AA213" s="150">
        <v>12051</v>
      </c>
    </row>
    <row r="214" spans="1:27" x14ac:dyDescent="0.35">
      <c r="A214" s="19">
        <v>3428</v>
      </c>
      <c r="B214" s="20" t="s">
        <v>254</v>
      </c>
      <c r="C214" s="150">
        <v>841337</v>
      </c>
      <c r="D214" s="150">
        <v>1495061</v>
      </c>
      <c r="E214" s="150">
        <v>1460249</v>
      </c>
      <c r="F214" s="10">
        <v>2044349</v>
      </c>
      <c r="G214" s="10">
        <v>93772</v>
      </c>
      <c r="H214" s="156">
        <v>0</v>
      </c>
      <c r="I214" s="150">
        <v>0</v>
      </c>
      <c r="J214" s="16">
        <v>0</v>
      </c>
      <c r="K214" s="150">
        <v>0</v>
      </c>
      <c r="L214" s="150">
        <v>0</v>
      </c>
      <c r="M214" s="150">
        <v>0</v>
      </c>
      <c r="N214" s="10">
        <v>0</v>
      </c>
      <c r="O214" s="150">
        <v>561694</v>
      </c>
      <c r="P214" s="150">
        <v>2300</v>
      </c>
      <c r="Q214" s="150">
        <v>52660</v>
      </c>
      <c r="R214" s="16">
        <v>4620</v>
      </c>
      <c r="S214" s="16">
        <v>100740</v>
      </c>
      <c r="T214" s="150">
        <v>49914</v>
      </c>
      <c r="U214" s="150">
        <v>49913</v>
      </c>
      <c r="V214" s="150">
        <v>49754</v>
      </c>
      <c r="W214" s="150">
        <v>49860</v>
      </c>
      <c r="X214" s="150">
        <v>49861</v>
      </c>
      <c r="Y214" s="10">
        <v>83116</v>
      </c>
      <c r="Z214" s="16">
        <v>0</v>
      </c>
      <c r="AA214" s="150">
        <v>34283</v>
      </c>
    </row>
    <row r="215" spans="1:27" x14ac:dyDescent="0.35">
      <c r="A215" s="19">
        <v>3430</v>
      </c>
      <c r="B215" s="20" t="s">
        <v>255</v>
      </c>
      <c r="C215" s="150">
        <v>4314958</v>
      </c>
      <c r="D215" s="150">
        <v>7507435</v>
      </c>
      <c r="E215" s="150">
        <v>7388995</v>
      </c>
      <c r="F215" s="10">
        <v>10344594</v>
      </c>
      <c r="G215" s="10">
        <v>474497</v>
      </c>
      <c r="H215" s="156">
        <v>0</v>
      </c>
      <c r="I215" s="150">
        <v>0</v>
      </c>
      <c r="J215" s="16">
        <v>0</v>
      </c>
      <c r="K215" s="150">
        <v>250852</v>
      </c>
      <c r="L215" s="150">
        <v>0</v>
      </c>
      <c r="M215" s="150">
        <v>0</v>
      </c>
      <c r="N215" s="10">
        <v>0</v>
      </c>
      <c r="O215" s="150">
        <v>2658586</v>
      </c>
      <c r="P215" s="150">
        <v>10888</v>
      </c>
      <c r="Q215" s="150">
        <v>69535</v>
      </c>
      <c r="R215" s="16">
        <v>6100</v>
      </c>
      <c r="S215" s="16">
        <v>0</v>
      </c>
      <c r="T215" s="150">
        <v>401598</v>
      </c>
      <c r="U215" s="150">
        <v>401597</v>
      </c>
      <c r="V215" s="150">
        <v>400317</v>
      </c>
      <c r="W215" s="150">
        <v>401170</v>
      </c>
      <c r="X215" s="150">
        <v>401171</v>
      </c>
      <c r="Y215" s="10">
        <v>668730</v>
      </c>
      <c r="Z215" s="16">
        <v>2766</v>
      </c>
      <c r="AA215" s="150">
        <v>153091</v>
      </c>
    </row>
    <row r="216" spans="1:27" x14ac:dyDescent="0.35">
      <c r="A216" s="19">
        <v>3434</v>
      </c>
      <c r="B216" s="20" t="s">
        <v>256</v>
      </c>
      <c r="C216" s="150">
        <v>1151398</v>
      </c>
      <c r="D216" s="150">
        <v>1898610</v>
      </c>
      <c r="E216" s="150">
        <v>1906255</v>
      </c>
      <c r="F216" s="10">
        <v>2668756</v>
      </c>
      <c r="G216" s="10">
        <v>122414</v>
      </c>
      <c r="H216" s="156">
        <v>0</v>
      </c>
      <c r="I216" s="150">
        <v>0</v>
      </c>
      <c r="J216" s="16">
        <v>0</v>
      </c>
      <c r="K216" s="150">
        <v>62878</v>
      </c>
      <c r="L216" s="150">
        <v>212416</v>
      </c>
      <c r="M216" s="150">
        <v>206952</v>
      </c>
      <c r="N216" s="10">
        <v>209685.33</v>
      </c>
      <c r="O216" s="150">
        <v>726418</v>
      </c>
      <c r="P216" s="150">
        <v>2975</v>
      </c>
      <c r="Q216" s="150">
        <v>122185</v>
      </c>
      <c r="R216" s="16">
        <v>10719</v>
      </c>
      <c r="S216" s="16">
        <v>473603</v>
      </c>
      <c r="T216" s="150">
        <v>60391</v>
      </c>
      <c r="U216" s="150">
        <v>60392</v>
      </c>
      <c r="V216" s="150">
        <v>60199</v>
      </c>
      <c r="W216" s="150">
        <v>60328</v>
      </c>
      <c r="X216" s="150">
        <v>60327</v>
      </c>
      <c r="Y216" s="10">
        <v>100562</v>
      </c>
      <c r="Z216" s="16">
        <v>0</v>
      </c>
      <c r="AA216" s="150">
        <v>48004</v>
      </c>
    </row>
    <row r="217" spans="1:27" x14ac:dyDescent="0.35">
      <c r="A217" s="19">
        <v>3437</v>
      </c>
      <c r="B217" s="20" t="s">
        <v>257</v>
      </c>
      <c r="C217" s="150">
        <v>1326512</v>
      </c>
      <c r="D217" s="150">
        <v>1978896</v>
      </c>
      <c r="E217" s="150">
        <v>2065880</v>
      </c>
      <c r="F217" s="10">
        <v>2892232</v>
      </c>
      <c r="G217" s="10">
        <v>132664</v>
      </c>
      <c r="H217" s="156">
        <v>0</v>
      </c>
      <c r="I217" s="150">
        <v>0</v>
      </c>
      <c r="J217" s="16">
        <v>0</v>
      </c>
      <c r="K217" s="150">
        <v>0</v>
      </c>
      <c r="L217" s="150">
        <v>0</v>
      </c>
      <c r="M217" s="150">
        <v>0</v>
      </c>
      <c r="N217" s="10">
        <v>0</v>
      </c>
      <c r="O217" s="150">
        <v>2778048</v>
      </c>
      <c r="P217" s="150">
        <v>11378</v>
      </c>
      <c r="Q217" s="150">
        <v>73060</v>
      </c>
      <c r="R217" s="16">
        <v>6409</v>
      </c>
      <c r="S217" s="16">
        <v>0</v>
      </c>
      <c r="T217" s="150">
        <v>280755</v>
      </c>
      <c r="U217" s="150">
        <v>280755</v>
      </c>
      <c r="V217" s="150">
        <v>279860</v>
      </c>
      <c r="W217" s="150">
        <v>280457</v>
      </c>
      <c r="X217" s="150">
        <v>280456</v>
      </c>
      <c r="Y217" s="10">
        <v>467504</v>
      </c>
      <c r="Z217" s="16">
        <v>0</v>
      </c>
      <c r="AA217" s="150">
        <v>167478</v>
      </c>
    </row>
    <row r="218" spans="1:27" x14ac:dyDescent="0.35">
      <c r="A218" s="19">
        <v>3444</v>
      </c>
      <c r="B218" s="20" t="s">
        <v>258</v>
      </c>
      <c r="C218" s="150">
        <v>3218161</v>
      </c>
      <c r="D218" s="150">
        <v>5206844</v>
      </c>
      <c r="E218" s="150">
        <v>5265628</v>
      </c>
      <c r="F218" s="10">
        <v>7371879</v>
      </c>
      <c r="G218" s="10">
        <v>338142</v>
      </c>
      <c r="H218" s="156">
        <v>0</v>
      </c>
      <c r="I218" s="150">
        <v>0</v>
      </c>
      <c r="J218" s="16">
        <v>0</v>
      </c>
      <c r="K218" s="150">
        <v>0</v>
      </c>
      <c r="L218" s="150">
        <v>0</v>
      </c>
      <c r="M218" s="150">
        <v>0</v>
      </c>
      <c r="N218" s="10">
        <v>0</v>
      </c>
      <c r="O218" s="150">
        <v>2518348</v>
      </c>
      <c r="P218" s="150">
        <v>10314</v>
      </c>
      <c r="Q218" s="150">
        <v>105825</v>
      </c>
      <c r="R218" s="16">
        <v>9284</v>
      </c>
      <c r="S218" s="16">
        <v>0</v>
      </c>
      <c r="T218" s="150">
        <v>227498</v>
      </c>
      <c r="U218" s="150">
        <v>227498</v>
      </c>
      <c r="V218" s="150">
        <v>226771</v>
      </c>
      <c r="W218" s="150">
        <v>227256</v>
      </c>
      <c r="X218" s="150">
        <v>227256</v>
      </c>
      <c r="Y218" s="10">
        <v>378823</v>
      </c>
      <c r="Z218" s="16">
        <v>10315</v>
      </c>
      <c r="AA218" s="150">
        <v>149385</v>
      </c>
    </row>
    <row r="219" spans="1:27" x14ac:dyDescent="0.35">
      <c r="A219" s="19">
        <v>3479</v>
      </c>
      <c r="B219" s="20" t="s">
        <v>259</v>
      </c>
      <c r="C219" s="150">
        <v>140995</v>
      </c>
      <c r="D219" s="150">
        <v>189814</v>
      </c>
      <c r="E219" s="150">
        <v>206756</v>
      </c>
      <c r="F219" s="10">
        <v>289458</v>
      </c>
      <c r="G219" s="10">
        <v>13277</v>
      </c>
      <c r="H219" s="156">
        <v>8319</v>
      </c>
      <c r="I219" s="150">
        <v>5200</v>
      </c>
      <c r="J219" s="16">
        <v>7279</v>
      </c>
      <c r="K219" s="150">
        <v>0</v>
      </c>
      <c r="L219" s="150">
        <v>0</v>
      </c>
      <c r="M219" s="150">
        <v>0</v>
      </c>
      <c r="N219" s="10">
        <v>0</v>
      </c>
      <c r="O219" s="150">
        <v>2609614</v>
      </c>
      <c r="P219" s="150">
        <v>10688</v>
      </c>
      <c r="Q219" s="150">
        <v>73990</v>
      </c>
      <c r="R219" s="16">
        <v>6491</v>
      </c>
      <c r="S219" s="16">
        <v>0</v>
      </c>
      <c r="T219" s="150">
        <v>270644</v>
      </c>
      <c r="U219" s="150">
        <v>270643</v>
      </c>
      <c r="V219" s="150">
        <v>269781</v>
      </c>
      <c r="W219" s="150">
        <v>270356</v>
      </c>
      <c r="X219" s="150">
        <v>270356</v>
      </c>
      <c r="Y219" s="10">
        <v>450667</v>
      </c>
      <c r="Z219" s="16">
        <v>141396</v>
      </c>
      <c r="AA219" s="150">
        <v>149185</v>
      </c>
    </row>
    <row r="220" spans="1:27" x14ac:dyDescent="0.35">
      <c r="A220" s="19">
        <v>3484</v>
      </c>
      <c r="B220" s="20" t="s">
        <v>9</v>
      </c>
      <c r="C220" s="150">
        <v>0</v>
      </c>
      <c r="D220" s="150">
        <v>0</v>
      </c>
      <c r="E220" s="150">
        <v>0</v>
      </c>
      <c r="F220" s="10">
        <v>0</v>
      </c>
      <c r="G220" s="10">
        <v>0</v>
      </c>
      <c r="H220" s="156">
        <v>0</v>
      </c>
      <c r="I220" s="150">
        <v>0</v>
      </c>
      <c r="J220" s="16">
        <v>0</v>
      </c>
      <c r="K220" s="150">
        <v>9587</v>
      </c>
      <c r="L220" s="150">
        <v>21242</v>
      </c>
      <c r="M220" s="150">
        <v>20694</v>
      </c>
      <c r="N220" s="10">
        <v>20969.330000000002</v>
      </c>
      <c r="O220" s="150">
        <v>113526</v>
      </c>
      <c r="P220" s="150">
        <v>465</v>
      </c>
      <c r="Q220" s="150">
        <v>4625</v>
      </c>
      <c r="R220" s="16">
        <v>2011</v>
      </c>
      <c r="S220" s="16">
        <v>65595</v>
      </c>
      <c r="T220" s="150">
        <v>6375</v>
      </c>
      <c r="U220" s="150">
        <v>6376</v>
      </c>
      <c r="V220" s="150">
        <v>6355</v>
      </c>
      <c r="W220" s="150">
        <v>6369</v>
      </c>
      <c r="X220" s="150">
        <v>6369</v>
      </c>
      <c r="Y220" s="10">
        <v>10616</v>
      </c>
      <c r="Z220" s="16">
        <v>0</v>
      </c>
      <c r="AA220" s="150">
        <v>6242</v>
      </c>
    </row>
    <row r="221" spans="1:27" x14ac:dyDescent="0.35">
      <c r="A221" s="19">
        <v>3500</v>
      </c>
      <c r="B221" s="20" t="s">
        <v>260</v>
      </c>
      <c r="C221" s="150">
        <v>2562376</v>
      </c>
      <c r="D221" s="150">
        <v>4233449</v>
      </c>
      <c r="E221" s="150">
        <v>4247390</v>
      </c>
      <c r="F221" s="10">
        <v>5946346</v>
      </c>
      <c r="G221" s="10">
        <v>272754</v>
      </c>
      <c r="H221" s="156">
        <v>0</v>
      </c>
      <c r="I221" s="150">
        <v>0</v>
      </c>
      <c r="J221" s="16">
        <v>0</v>
      </c>
      <c r="K221" s="150">
        <v>0</v>
      </c>
      <c r="L221" s="150">
        <v>225692</v>
      </c>
      <c r="M221" s="150">
        <v>219888</v>
      </c>
      <c r="N221" s="10">
        <v>222789.16</v>
      </c>
      <c r="O221" s="150">
        <v>1863162</v>
      </c>
      <c r="P221" s="150">
        <v>7631</v>
      </c>
      <c r="Q221" s="150">
        <v>172715</v>
      </c>
      <c r="R221" s="16">
        <v>15152</v>
      </c>
      <c r="S221" s="16">
        <v>391593</v>
      </c>
      <c r="T221" s="150">
        <v>222375</v>
      </c>
      <c r="U221" s="150">
        <v>221484</v>
      </c>
      <c r="V221" s="150">
        <v>224391</v>
      </c>
      <c r="W221" s="150">
        <v>222751</v>
      </c>
      <c r="X221" s="150">
        <v>222750</v>
      </c>
      <c r="Y221" s="10">
        <v>371313</v>
      </c>
      <c r="Z221" s="16">
        <v>0</v>
      </c>
      <c r="AA221" s="150">
        <v>119408</v>
      </c>
    </row>
    <row r="222" spans="1:27" x14ac:dyDescent="0.35">
      <c r="A222" s="19">
        <v>3528</v>
      </c>
      <c r="B222" s="20" t="s">
        <v>261</v>
      </c>
      <c r="C222" s="150">
        <v>471357</v>
      </c>
      <c r="D222" s="150">
        <v>819628</v>
      </c>
      <c r="E222" s="150">
        <v>806865</v>
      </c>
      <c r="F222" s="10">
        <v>1129612</v>
      </c>
      <c r="G222" s="10">
        <v>51814</v>
      </c>
      <c r="H222" s="156">
        <v>0</v>
      </c>
      <c r="I222" s="150">
        <v>0</v>
      </c>
      <c r="J222" s="16">
        <v>0</v>
      </c>
      <c r="K222" s="150">
        <v>0</v>
      </c>
      <c r="L222" s="150">
        <v>0</v>
      </c>
      <c r="M222" s="150">
        <v>0</v>
      </c>
      <c r="N222" s="10">
        <v>0</v>
      </c>
      <c r="O222" s="150">
        <v>575792</v>
      </c>
      <c r="P222" s="150">
        <v>2358</v>
      </c>
      <c r="Q222" s="150">
        <v>11625</v>
      </c>
      <c r="R222" s="16">
        <v>1020</v>
      </c>
      <c r="S222" s="16">
        <v>0</v>
      </c>
      <c r="T222" s="150">
        <v>46292</v>
      </c>
      <c r="U222" s="150">
        <v>46293</v>
      </c>
      <c r="V222" s="150">
        <v>46145</v>
      </c>
      <c r="W222" s="150">
        <v>46243</v>
      </c>
      <c r="X222" s="150">
        <v>46243</v>
      </c>
      <c r="Y222" s="10">
        <v>77087</v>
      </c>
      <c r="Z222" s="16">
        <v>0</v>
      </c>
      <c r="AA222" s="150">
        <v>29777</v>
      </c>
    </row>
    <row r="223" spans="1:27" x14ac:dyDescent="0.35">
      <c r="A223" s="19">
        <v>3549</v>
      </c>
      <c r="B223" s="20" t="s">
        <v>262</v>
      </c>
      <c r="C223" s="150">
        <v>3201295</v>
      </c>
      <c r="D223" s="150">
        <v>3573582</v>
      </c>
      <c r="E223" s="150">
        <v>4234298</v>
      </c>
      <c r="F223" s="10">
        <v>5928017</v>
      </c>
      <c r="G223" s="10">
        <v>271913</v>
      </c>
      <c r="H223" s="156">
        <v>414741</v>
      </c>
      <c r="I223" s="150">
        <v>259213</v>
      </c>
      <c r="J223" s="16">
        <v>362898</v>
      </c>
      <c r="K223" s="150">
        <v>0</v>
      </c>
      <c r="L223" s="150">
        <v>102668</v>
      </c>
      <c r="M223" s="150">
        <v>100026</v>
      </c>
      <c r="N223" s="10">
        <v>101348.44</v>
      </c>
      <c r="O223" s="150">
        <v>5491542</v>
      </c>
      <c r="P223" s="150">
        <v>22491</v>
      </c>
      <c r="Q223" s="150">
        <v>220425</v>
      </c>
      <c r="R223" s="16">
        <v>19337</v>
      </c>
      <c r="S223" s="16">
        <v>0</v>
      </c>
      <c r="T223" s="150">
        <v>658418</v>
      </c>
      <c r="U223" s="150">
        <v>658418</v>
      </c>
      <c r="V223" s="150">
        <v>656317</v>
      </c>
      <c r="W223" s="150">
        <v>657718</v>
      </c>
      <c r="X223" s="150">
        <v>657718</v>
      </c>
      <c r="Y223" s="10">
        <v>1096379</v>
      </c>
      <c r="Z223" s="16">
        <v>98092</v>
      </c>
      <c r="AA223" s="150">
        <v>306248</v>
      </c>
    </row>
    <row r="224" spans="1:27" x14ac:dyDescent="0.35">
      <c r="A224" s="19">
        <v>3612</v>
      </c>
      <c r="B224" s="20" t="s">
        <v>263</v>
      </c>
      <c r="C224" s="150">
        <v>3163907</v>
      </c>
      <c r="D224" s="150">
        <v>5552044</v>
      </c>
      <c r="E224" s="150">
        <v>5447470</v>
      </c>
      <c r="F224" s="10">
        <v>7626457</v>
      </c>
      <c r="G224" s="10">
        <v>349819</v>
      </c>
      <c r="H224" s="156">
        <v>0</v>
      </c>
      <c r="I224" s="150">
        <v>0</v>
      </c>
      <c r="J224" s="16">
        <v>0</v>
      </c>
      <c r="K224" s="150">
        <v>0</v>
      </c>
      <c r="L224" s="150">
        <v>0</v>
      </c>
      <c r="M224" s="150">
        <v>0</v>
      </c>
      <c r="N224" s="10">
        <v>0</v>
      </c>
      <c r="O224" s="150">
        <v>2598484</v>
      </c>
      <c r="P224" s="150">
        <v>10642</v>
      </c>
      <c r="Q224" s="150">
        <v>70100</v>
      </c>
      <c r="R224" s="16">
        <v>6150</v>
      </c>
      <c r="S224" s="16">
        <v>0</v>
      </c>
      <c r="T224" s="150">
        <v>213224</v>
      </c>
      <c r="U224" s="150">
        <v>213223</v>
      </c>
      <c r="V224" s="150">
        <v>212544</v>
      </c>
      <c r="W224" s="150">
        <v>212998</v>
      </c>
      <c r="X224" s="150">
        <v>212997</v>
      </c>
      <c r="Y224" s="10">
        <v>355051</v>
      </c>
      <c r="Z224" s="16">
        <v>37126</v>
      </c>
      <c r="AA224" s="150">
        <v>163339</v>
      </c>
    </row>
    <row r="225" spans="1:27" x14ac:dyDescent="0.35">
      <c r="A225" s="19">
        <v>3619</v>
      </c>
      <c r="B225" s="20" t="s">
        <v>264</v>
      </c>
      <c r="C225" s="150">
        <v>74641191</v>
      </c>
      <c r="D225" s="150">
        <v>130324419</v>
      </c>
      <c r="E225" s="150">
        <v>128103506</v>
      </c>
      <c r="F225" s="10">
        <v>179344909</v>
      </c>
      <c r="G225" s="10">
        <v>8226395</v>
      </c>
      <c r="H225" s="156">
        <v>0</v>
      </c>
      <c r="I225" s="150">
        <v>0</v>
      </c>
      <c r="J225" s="16">
        <v>0</v>
      </c>
      <c r="K225" s="150">
        <v>5018688</v>
      </c>
      <c r="L225" s="150">
        <v>8159416</v>
      </c>
      <c r="M225" s="150">
        <v>7956580</v>
      </c>
      <c r="N225" s="10">
        <v>8057999.2699999996</v>
      </c>
      <c r="O225" s="150">
        <v>55083112</v>
      </c>
      <c r="P225" s="150">
        <v>225594</v>
      </c>
      <c r="Q225" s="150">
        <v>2080810</v>
      </c>
      <c r="R225" s="16">
        <v>170549</v>
      </c>
      <c r="S225" s="16">
        <v>0</v>
      </c>
      <c r="T225" s="150">
        <v>8491778</v>
      </c>
      <c r="U225" s="150">
        <v>8491778</v>
      </c>
      <c r="V225" s="150">
        <v>8464688</v>
      </c>
      <c r="W225" s="150">
        <v>8492682</v>
      </c>
      <c r="X225" s="150">
        <v>8485232</v>
      </c>
      <c r="Y225" s="10">
        <v>14144418</v>
      </c>
      <c r="Z225" s="16">
        <v>52090</v>
      </c>
      <c r="AA225" s="150">
        <v>5150629</v>
      </c>
    </row>
    <row r="226" spans="1:27" x14ac:dyDescent="0.35">
      <c r="A226" s="19">
        <v>3633</v>
      </c>
      <c r="B226" s="20" t="s">
        <v>265</v>
      </c>
      <c r="C226" s="150">
        <v>666636</v>
      </c>
      <c r="D226" s="150">
        <v>1258696</v>
      </c>
      <c r="E226" s="150">
        <v>1203332</v>
      </c>
      <c r="F226" s="10">
        <v>1684666</v>
      </c>
      <c r="G226" s="10">
        <v>77274</v>
      </c>
      <c r="H226" s="156">
        <v>0</v>
      </c>
      <c r="I226" s="150">
        <v>0</v>
      </c>
      <c r="J226" s="16">
        <v>0</v>
      </c>
      <c r="K226" s="150">
        <v>0</v>
      </c>
      <c r="L226" s="150">
        <v>0</v>
      </c>
      <c r="M226" s="150">
        <v>0</v>
      </c>
      <c r="N226" s="10">
        <v>0</v>
      </c>
      <c r="O226" s="150">
        <v>516432</v>
      </c>
      <c r="P226" s="150">
        <v>2115</v>
      </c>
      <c r="Q226" s="150">
        <v>18860</v>
      </c>
      <c r="R226" s="16">
        <v>1655</v>
      </c>
      <c r="S226" s="16">
        <v>0</v>
      </c>
      <c r="T226" s="150">
        <v>59668</v>
      </c>
      <c r="U226" s="150">
        <v>59668</v>
      </c>
      <c r="V226" s="150">
        <v>59477</v>
      </c>
      <c r="W226" s="150">
        <v>59605</v>
      </c>
      <c r="X226" s="150">
        <v>59604</v>
      </c>
      <c r="Y226" s="10">
        <v>99358</v>
      </c>
      <c r="Z226" s="16">
        <v>36244</v>
      </c>
      <c r="AA226" s="150">
        <v>29543</v>
      </c>
    </row>
    <row r="227" spans="1:27" x14ac:dyDescent="0.35">
      <c r="A227" s="19">
        <v>3640</v>
      </c>
      <c r="B227" s="20" t="s">
        <v>266</v>
      </c>
      <c r="C227" s="150">
        <v>0</v>
      </c>
      <c r="D227" s="150">
        <v>0</v>
      </c>
      <c r="E227" s="150">
        <v>0</v>
      </c>
      <c r="F227" s="10">
        <v>0</v>
      </c>
      <c r="G227" s="10">
        <v>0</v>
      </c>
      <c r="H227" s="156">
        <v>550</v>
      </c>
      <c r="I227" s="150">
        <v>344</v>
      </c>
      <c r="J227" s="16">
        <v>481</v>
      </c>
      <c r="K227" s="150">
        <v>0</v>
      </c>
      <c r="L227" s="150">
        <v>77886</v>
      </c>
      <c r="M227" s="150">
        <v>75882</v>
      </c>
      <c r="N227" s="10">
        <v>76884.89</v>
      </c>
      <c r="O227" s="150">
        <v>436296</v>
      </c>
      <c r="P227" s="150">
        <v>1787</v>
      </c>
      <c r="Q227" s="150">
        <v>54375</v>
      </c>
      <c r="R227" s="16">
        <v>4770</v>
      </c>
      <c r="S227" s="16">
        <v>56348</v>
      </c>
      <c r="T227" s="150">
        <v>55664</v>
      </c>
      <c r="U227" s="150">
        <v>55664</v>
      </c>
      <c r="V227" s="150">
        <v>55487</v>
      </c>
      <c r="W227" s="150">
        <v>55604</v>
      </c>
      <c r="X227" s="150">
        <v>55605</v>
      </c>
      <c r="Y227" s="10">
        <v>92690</v>
      </c>
      <c r="Z227" s="16">
        <v>71700</v>
      </c>
      <c r="AA227" s="150">
        <v>22399</v>
      </c>
    </row>
    <row r="228" spans="1:27" x14ac:dyDescent="0.35">
      <c r="A228" s="19">
        <v>3661</v>
      </c>
      <c r="B228" s="20" t="s">
        <v>267</v>
      </c>
      <c r="C228" s="150">
        <v>714156</v>
      </c>
      <c r="D228" s="150">
        <v>1332354</v>
      </c>
      <c r="E228" s="150">
        <v>1279069</v>
      </c>
      <c r="F228" s="10">
        <v>1790695</v>
      </c>
      <c r="G228" s="10">
        <v>82138</v>
      </c>
      <c r="H228" s="156">
        <v>0</v>
      </c>
      <c r="I228" s="150">
        <v>0</v>
      </c>
      <c r="J228" s="16">
        <v>0</v>
      </c>
      <c r="K228" s="150">
        <v>0</v>
      </c>
      <c r="L228" s="150">
        <v>0</v>
      </c>
      <c r="M228" s="150">
        <v>0</v>
      </c>
      <c r="N228" s="10">
        <v>0</v>
      </c>
      <c r="O228" s="150">
        <v>595826</v>
      </c>
      <c r="P228" s="150">
        <v>2440</v>
      </c>
      <c r="Q228" s="150">
        <v>30200</v>
      </c>
      <c r="R228" s="16">
        <v>2649</v>
      </c>
      <c r="S228" s="16">
        <v>6978</v>
      </c>
      <c r="T228" s="150">
        <v>47235</v>
      </c>
      <c r="U228" s="150">
        <v>47234</v>
      </c>
      <c r="V228" s="150">
        <v>47084</v>
      </c>
      <c r="W228" s="150">
        <v>47185</v>
      </c>
      <c r="X228" s="150">
        <v>47184</v>
      </c>
      <c r="Y228" s="10">
        <v>78654</v>
      </c>
      <c r="Z228" s="16">
        <v>0</v>
      </c>
      <c r="AA228" s="150">
        <v>38990</v>
      </c>
    </row>
    <row r="229" spans="1:27" x14ac:dyDescent="0.35">
      <c r="A229" s="19">
        <v>3668</v>
      </c>
      <c r="B229" s="20" t="s">
        <v>268</v>
      </c>
      <c r="C229" s="150">
        <v>1001979</v>
      </c>
      <c r="D229" s="150">
        <v>1611767</v>
      </c>
      <c r="E229" s="150">
        <v>1633592</v>
      </c>
      <c r="F229" s="10">
        <v>2287028</v>
      </c>
      <c r="G229" s="10">
        <v>104904</v>
      </c>
      <c r="H229" s="156">
        <v>0</v>
      </c>
      <c r="I229" s="150">
        <v>0</v>
      </c>
      <c r="J229" s="16">
        <v>0</v>
      </c>
      <c r="K229" s="150">
        <v>0</v>
      </c>
      <c r="L229" s="150">
        <v>106208</v>
      </c>
      <c r="M229" s="150">
        <v>103476</v>
      </c>
      <c r="N229" s="10">
        <v>104842.66</v>
      </c>
      <c r="O229" s="150">
        <v>672994</v>
      </c>
      <c r="P229" s="150">
        <v>2756</v>
      </c>
      <c r="Q229" s="150">
        <v>35115</v>
      </c>
      <c r="R229" s="16">
        <v>3081</v>
      </c>
      <c r="S229" s="16">
        <v>14806</v>
      </c>
      <c r="T229" s="150">
        <v>60013</v>
      </c>
      <c r="U229" s="150">
        <v>60012</v>
      </c>
      <c r="V229" s="150">
        <v>59822</v>
      </c>
      <c r="W229" s="150">
        <v>59950</v>
      </c>
      <c r="X229" s="150">
        <v>59949</v>
      </c>
      <c r="Y229" s="10">
        <v>99932</v>
      </c>
      <c r="Z229" s="16">
        <v>20382</v>
      </c>
      <c r="AA229" s="150">
        <v>34484</v>
      </c>
    </row>
    <row r="230" spans="1:27" x14ac:dyDescent="0.35">
      <c r="A230" s="19">
        <v>3675</v>
      </c>
      <c r="B230" s="20" t="s">
        <v>269</v>
      </c>
      <c r="C230" s="150">
        <v>2059153</v>
      </c>
      <c r="D230" s="150">
        <v>3782768</v>
      </c>
      <c r="E230" s="150">
        <v>3651201</v>
      </c>
      <c r="F230" s="10">
        <v>5111682</v>
      </c>
      <c r="G230" s="10">
        <v>234468</v>
      </c>
      <c r="H230" s="156">
        <v>0</v>
      </c>
      <c r="I230" s="150">
        <v>0</v>
      </c>
      <c r="J230" s="16">
        <v>0</v>
      </c>
      <c r="K230" s="150">
        <v>0</v>
      </c>
      <c r="L230" s="150">
        <v>0</v>
      </c>
      <c r="M230" s="150">
        <v>0</v>
      </c>
      <c r="N230" s="10">
        <v>0</v>
      </c>
      <c r="O230" s="150">
        <v>2332106</v>
      </c>
      <c r="P230" s="150">
        <v>9551</v>
      </c>
      <c r="Q230" s="150">
        <v>80075</v>
      </c>
      <c r="R230" s="16">
        <v>7025</v>
      </c>
      <c r="S230" s="16">
        <v>0</v>
      </c>
      <c r="T230" s="150">
        <v>278421</v>
      </c>
      <c r="U230" s="150">
        <v>278172</v>
      </c>
      <c r="V230" s="150">
        <v>275621</v>
      </c>
      <c r="W230" s="150">
        <v>277405</v>
      </c>
      <c r="X230" s="150">
        <v>277405</v>
      </c>
      <c r="Y230" s="10">
        <v>462419</v>
      </c>
      <c r="Z230" s="16">
        <v>0</v>
      </c>
      <c r="AA230" s="150">
        <v>140773</v>
      </c>
    </row>
    <row r="231" spans="1:27" x14ac:dyDescent="0.35">
      <c r="A231" s="19">
        <v>3682</v>
      </c>
      <c r="B231" s="20" t="s">
        <v>270</v>
      </c>
      <c r="C231" s="150">
        <v>2447192</v>
      </c>
      <c r="D231" s="150">
        <v>4169845</v>
      </c>
      <c r="E231" s="150">
        <v>4135648</v>
      </c>
      <c r="F231" s="10">
        <v>5789908</v>
      </c>
      <c r="G231" s="10">
        <v>265578</v>
      </c>
      <c r="H231" s="156">
        <v>0</v>
      </c>
      <c r="I231" s="150">
        <v>0</v>
      </c>
      <c r="J231" s="16">
        <v>0</v>
      </c>
      <c r="K231" s="150">
        <v>0</v>
      </c>
      <c r="L231" s="150">
        <v>0</v>
      </c>
      <c r="M231" s="150">
        <v>0</v>
      </c>
      <c r="N231" s="10">
        <v>0</v>
      </c>
      <c r="O231" s="150">
        <v>1739990</v>
      </c>
      <c r="P231" s="150">
        <v>7126</v>
      </c>
      <c r="Q231" s="150">
        <v>43310</v>
      </c>
      <c r="R231" s="16">
        <v>3799</v>
      </c>
      <c r="S231" s="16">
        <v>0</v>
      </c>
      <c r="T231" s="150">
        <v>249222</v>
      </c>
      <c r="U231" s="150">
        <v>249222</v>
      </c>
      <c r="V231" s="150">
        <v>248427</v>
      </c>
      <c r="W231" s="150">
        <v>248957</v>
      </c>
      <c r="X231" s="150">
        <v>248957</v>
      </c>
      <c r="Y231" s="10">
        <v>415000</v>
      </c>
      <c r="Z231" s="16">
        <v>0</v>
      </c>
      <c r="AA231" s="150">
        <v>92702</v>
      </c>
    </row>
    <row r="232" spans="1:27" x14ac:dyDescent="0.35">
      <c r="A232" s="19">
        <v>3689</v>
      </c>
      <c r="B232" s="20" t="s">
        <v>271</v>
      </c>
      <c r="C232" s="150">
        <v>345719</v>
      </c>
      <c r="D232" s="150">
        <v>683196</v>
      </c>
      <c r="E232" s="150">
        <v>643072</v>
      </c>
      <c r="F232" s="10">
        <v>900301</v>
      </c>
      <c r="G232" s="10">
        <v>41296</v>
      </c>
      <c r="H232" s="156">
        <v>0</v>
      </c>
      <c r="I232" s="150">
        <v>0</v>
      </c>
      <c r="J232" s="16">
        <v>0</v>
      </c>
      <c r="K232" s="150">
        <v>48002</v>
      </c>
      <c r="L232" s="150">
        <v>59299</v>
      </c>
      <c r="M232" s="150">
        <v>57775</v>
      </c>
      <c r="N232" s="10">
        <v>58536.72</v>
      </c>
      <c r="O232" s="150">
        <v>527562</v>
      </c>
      <c r="P232" s="150">
        <v>2161</v>
      </c>
      <c r="Q232" s="150">
        <v>27370</v>
      </c>
      <c r="R232" s="16">
        <v>2401</v>
      </c>
      <c r="S232" s="16">
        <v>119768</v>
      </c>
      <c r="T232" s="150">
        <v>63363</v>
      </c>
      <c r="U232" s="150">
        <v>63363</v>
      </c>
      <c r="V232" s="150">
        <v>63160</v>
      </c>
      <c r="W232" s="150">
        <v>63295</v>
      </c>
      <c r="X232" s="150">
        <v>63296</v>
      </c>
      <c r="Y232" s="10">
        <v>105510</v>
      </c>
      <c r="Z232" s="16">
        <v>0</v>
      </c>
      <c r="AA232" s="150">
        <v>35652</v>
      </c>
    </row>
    <row r="233" spans="1:27" x14ac:dyDescent="0.35">
      <c r="A233" s="19">
        <v>3696</v>
      </c>
      <c r="B233" s="20" t="s">
        <v>272</v>
      </c>
      <c r="C233" s="150">
        <v>298931</v>
      </c>
      <c r="D233" s="150">
        <v>517001</v>
      </c>
      <c r="E233" s="150">
        <v>509958</v>
      </c>
      <c r="F233" s="10">
        <v>713941</v>
      </c>
      <c r="G233" s="10">
        <v>32748</v>
      </c>
      <c r="H233" s="156">
        <v>0</v>
      </c>
      <c r="I233" s="150">
        <v>0</v>
      </c>
      <c r="J233" s="16">
        <v>0</v>
      </c>
      <c r="K233" s="150">
        <v>0</v>
      </c>
      <c r="L233" s="150">
        <v>0</v>
      </c>
      <c r="M233" s="150">
        <v>0</v>
      </c>
      <c r="N233" s="10">
        <v>0</v>
      </c>
      <c r="O233" s="150">
        <v>260442</v>
      </c>
      <c r="P233" s="150">
        <v>1067</v>
      </c>
      <c r="Q233" s="150">
        <v>10895</v>
      </c>
      <c r="R233" s="16">
        <v>956</v>
      </c>
      <c r="S233" s="16">
        <v>0</v>
      </c>
      <c r="T233" s="150">
        <v>24167</v>
      </c>
      <c r="U233" s="150">
        <v>24167</v>
      </c>
      <c r="V233" s="150">
        <v>24090</v>
      </c>
      <c r="W233" s="150">
        <v>24142</v>
      </c>
      <c r="X233" s="150">
        <v>24141</v>
      </c>
      <c r="Y233" s="10">
        <v>40242</v>
      </c>
      <c r="Z233" s="16">
        <v>0</v>
      </c>
      <c r="AA233" s="150">
        <v>12986</v>
      </c>
    </row>
    <row r="234" spans="1:27" x14ac:dyDescent="0.35">
      <c r="A234" s="19">
        <v>3787</v>
      </c>
      <c r="B234" s="20" t="s">
        <v>273</v>
      </c>
      <c r="C234" s="150">
        <v>1770369</v>
      </c>
      <c r="D234" s="150">
        <v>3200286</v>
      </c>
      <c r="E234" s="150">
        <v>3106659</v>
      </c>
      <c r="F234" s="10">
        <v>4349322</v>
      </c>
      <c r="G234" s="10">
        <v>199500</v>
      </c>
      <c r="H234" s="156">
        <v>0</v>
      </c>
      <c r="I234" s="150">
        <v>0</v>
      </c>
      <c r="J234" s="16">
        <v>0</v>
      </c>
      <c r="K234" s="150">
        <v>0</v>
      </c>
      <c r="L234" s="150">
        <v>0</v>
      </c>
      <c r="M234" s="150">
        <v>0</v>
      </c>
      <c r="N234" s="10">
        <v>0</v>
      </c>
      <c r="O234" s="150">
        <v>1472870</v>
      </c>
      <c r="P234" s="150">
        <v>6032</v>
      </c>
      <c r="Q234" s="150">
        <v>73150</v>
      </c>
      <c r="R234" s="16">
        <v>6417</v>
      </c>
      <c r="S234" s="16">
        <v>0</v>
      </c>
      <c r="T234" s="150">
        <v>159473</v>
      </c>
      <c r="U234" s="150">
        <v>159474</v>
      </c>
      <c r="V234" s="150">
        <v>158964</v>
      </c>
      <c r="W234" s="150">
        <v>159303</v>
      </c>
      <c r="X234" s="150">
        <v>159304</v>
      </c>
      <c r="Y234" s="10">
        <v>265551</v>
      </c>
      <c r="Z234" s="16">
        <v>2097</v>
      </c>
      <c r="AA234" s="150">
        <v>77947</v>
      </c>
    </row>
    <row r="235" spans="1:27" x14ac:dyDescent="0.35">
      <c r="A235" s="19">
        <v>3794</v>
      </c>
      <c r="B235" s="20" t="s">
        <v>274</v>
      </c>
      <c r="C235" s="150">
        <v>1971335</v>
      </c>
      <c r="D235" s="150">
        <v>3614335</v>
      </c>
      <c r="E235" s="150">
        <v>3491044</v>
      </c>
      <c r="F235" s="10">
        <v>4887461</v>
      </c>
      <c r="G235" s="10">
        <v>224184</v>
      </c>
      <c r="H235" s="156">
        <v>0</v>
      </c>
      <c r="I235" s="150">
        <v>0</v>
      </c>
      <c r="J235" s="16">
        <v>0</v>
      </c>
      <c r="K235" s="150">
        <v>0</v>
      </c>
      <c r="L235" s="150">
        <v>0</v>
      </c>
      <c r="M235" s="150">
        <v>0</v>
      </c>
      <c r="N235" s="10">
        <v>0</v>
      </c>
      <c r="O235" s="150">
        <v>1766702</v>
      </c>
      <c r="P235" s="150">
        <v>7236</v>
      </c>
      <c r="Q235" s="150">
        <v>55045</v>
      </c>
      <c r="R235" s="16">
        <v>4829</v>
      </c>
      <c r="S235" s="16">
        <v>0</v>
      </c>
      <c r="T235" s="150">
        <v>152587</v>
      </c>
      <c r="U235" s="150">
        <v>152588</v>
      </c>
      <c r="V235" s="150">
        <v>152100</v>
      </c>
      <c r="W235" s="150">
        <v>152425</v>
      </c>
      <c r="X235" s="150">
        <v>152425</v>
      </c>
      <c r="Y235" s="10">
        <v>254085</v>
      </c>
      <c r="Z235" s="16">
        <v>87234</v>
      </c>
      <c r="AA235" s="150">
        <v>103017</v>
      </c>
    </row>
    <row r="236" spans="1:27" x14ac:dyDescent="0.35">
      <c r="A236" s="19">
        <v>3822</v>
      </c>
      <c r="B236" s="20" t="s">
        <v>275</v>
      </c>
      <c r="C236" s="150">
        <v>3148856</v>
      </c>
      <c r="D236" s="150">
        <v>6019258</v>
      </c>
      <c r="E236" s="150">
        <v>5730071</v>
      </c>
      <c r="F236" s="10">
        <v>8022099</v>
      </c>
      <c r="G236" s="10">
        <v>367967</v>
      </c>
      <c r="H236" s="156">
        <v>0</v>
      </c>
      <c r="I236" s="150">
        <v>0</v>
      </c>
      <c r="J236" s="16">
        <v>0</v>
      </c>
      <c r="K236" s="150">
        <v>0</v>
      </c>
      <c r="L236" s="150">
        <v>0</v>
      </c>
      <c r="M236" s="150">
        <v>0</v>
      </c>
      <c r="N236" s="10">
        <v>0</v>
      </c>
      <c r="O236" s="150">
        <v>3491852</v>
      </c>
      <c r="P236" s="150">
        <v>14301</v>
      </c>
      <c r="Q236" s="150">
        <v>142690</v>
      </c>
      <c r="R236" s="16">
        <v>12518</v>
      </c>
      <c r="S236" s="16">
        <v>0</v>
      </c>
      <c r="T236" s="150">
        <v>348387</v>
      </c>
      <c r="U236" s="150">
        <v>348386</v>
      </c>
      <c r="V236" s="150">
        <v>347276</v>
      </c>
      <c r="W236" s="150">
        <v>348016</v>
      </c>
      <c r="X236" s="150">
        <v>348016</v>
      </c>
      <c r="Y236" s="10">
        <v>580123</v>
      </c>
      <c r="Z236" s="16">
        <v>0</v>
      </c>
      <c r="AA236" s="150">
        <v>198424</v>
      </c>
    </row>
    <row r="237" spans="1:27" x14ac:dyDescent="0.35">
      <c r="A237" s="19">
        <v>3857</v>
      </c>
      <c r="B237" s="20" t="s">
        <v>276</v>
      </c>
      <c r="C237" s="150">
        <v>3210133</v>
      </c>
      <c r="D237" s="150">
        <v>5996443</v>
      </c>
      <c r="E237" s="150">
        <v>5754110</v>
      </c>
      <c r="F237" s="10">
        <v>8055754</v>
      </c>
      <c r="G237" s="10">
        <v>369510</v>
      </c>
      <c r="H237" s="156">
        <v>0</v>
      </c>
      <c r="I237" s="150">
        <v>0</v>
      </c>
      <c r="J237" s="16">
        <v>0</v>
      </c>
      <c r="K237" s="150">
        <v>0</v>
      </c>
      <c r="L237" s="150">
        <v>0</v>
      </c>
      <c r="M237" s="150">
        <v>0</v>
      </c>
      <c r="N237" s="10">
        <v>0</v>
      </c>
      <c r="O237" s="150">
        <v>3579408</v>
      </c>
      <c r="P237" s="150">
        <v>14660</v>
      </c>
      <c r="Q237" s="150">
        <v>142165</v>
      </c>
      <c r="R237" s="16">
        <v>12472</v>
      </c>
      <c r="S237" s="16">
        <v>0</v>
      </c>
      <c r="T237" s="150">
        <v>271708</v>
      </c>
      <c r="U237" s="150">
        <v>271620</v>
      </c>
      <c r="V237" s="150">
        <v>270797</v>
      </c>
      <c r="W237" s="150">
        <v>271375</v>
      </c>
      <c r="X237" s="150">
        <v>271375</v>
      </c>
      <c r="Y237" s="10">
        <v>452365</v>
      </c>
      <c r="Z237" s="16">
        <v>54452</v>
      </c>
      <c r="AA237" s="150">
        <v>248697</v>
      </c>
    </row>
    <row r="238" spans="1:27" x14ac:dyDescent="0.35">
      <c r="A238" s="19">
        <v>3871</v>
      </c>
      <c r="B238" s="20" t="s">
        <v>277</v>
      </c>
      <c r="C238" s="150">
        <v>501041</v>
      </c>
      <c r="D238" s="150">
        <v>779341</v>
      </c>
      <c r="E238" s="150">
        <v>800239</v>
      </c>
      <c r="F238" s="10">
        <v>1120334</v>
      </c>
      <c r="G238" s="10">
        <v>51389</v>
      </c>
      <c r="H238" s="156">
        <v>0</v>
      </c>
      <c r="I238" s="150">
        <v>0</v>
      </c>
      <c r="J238" s="16">
        <v>0</v>
      </c>
      <c r="K238" s="150">
        <v>49258</v>
      </c>
      <c r="L238" s="150">
        <v>85851</v>
      </c>
      <c r="M238" s="150">
        <v>83643</v>
      </c>
      <c r="N238" s="10">
        <v>84748.39</v>
      </c>
      <c r="O238" s="150">
        <v>532756</v>
      </c>
      <c r="P238" s="150">
        <v>2182</v>
      </c>
      <c r="Q238" s="150">
        <v>38810</v>
      </c>
      <c r="R238" s="16">
        <v>3405</v>
      </c>
      <c r="S238" s="16">
        <v>91443</v>
      </c>
      <c r="T238" s="150">
        <v>40771</v>
      </c>
      <c r="U238" s="150">
        <v>40771</v>
      </c>
      <c r="V238" s="150">
        <v>40641</v>
      </c>
      <c r="W238" s="150">
        <v>40727</v>
      </c>
      <c r="X238" s="150">
        <v>40728</v>
      </c>
      <c r="Y238" s="10">
        <v>67890</v>
      </c>
      <c r="Z238" s="16">
        <v>8721</v>
      </c>
      <c r="AA238" s="150">
        <v>34217</v>
      </c>
    </row>
    <row r="239" spans="1:27" x14ac:dyDescent="0.35">
      <c r="A239" s="19">
        <v>3892</v>
      </c>
      <c r="B239" s="20" t="s">
        <v>278</v>
      </c>
      <c r="C239" s="150">
        <v>5417664</v>
      </c>
      <c r="D239" s="150">
        <v>9606408</v>
      </c>
      <c r="E239" s="150">
        <v>9390045</v>
      </c>
      <c r="F239" s="10">
        <v>13146064</v>
      </c>
      <c r="G239" s="10">
        <v>602998</v>
      </c>
      <c r="H239" s="156">
        <v>0</v>
      </c>
      <c r="I239" s="150">
        <v>0</v>
      </c>
      <c r="J239" s="16">
        <v>0</v>
      </c>
      <c r="K239" s="150">
        <v>0</v>
      </c>
      <c r="L239" s="150">
        <v>0</v>
      </c>
      <c r="M239" s="150">
        <v>0</v>
      </c>
      <c r="N239" s="10">
        <v>0</v>
      </c>
      <c r="O239" s="150">
        <v>5042632</v>
      </c>
      <c r="P239" s="150">
        <v>20652</v>
      </c>
      <c r="Q239" s="150">
        <v>86395</v>
      </c>
      <c r="R239" s="16">
        <v>7579</v>
      </c>
      <c r="S239" s="16">
        <v>0</v>
      </c>
      <c r="T239" s="150">
        <v>443183</v>
      </c>
      <c r="U239" s="150">
        <v>443184</v>
      </c>
      <c r="V239" s="150">
        <v>441769</v>
      </c>
      <c r="W239" s="150">
        <v>442712</v>
      </c>
      <c r="X239" s="150">
        <v>442712</v>
      </c>
      <c r="Y239" s="10">
        <v>737975</v>
      </c>
      <c r="Z239" s="16">
        <v>0</v>
      </c>
      <c r="AA239" s="150">
        <v>344604</v>
      </c>
    </row>
    <row r="240" spans="1:27" x14ac:dyDescent="0.35">
      <c r="A240" s="19">
        <v>3899</v>
      </c>
      <c r="B240" s="20" t="s">
        <v>279</v>
      </c>
      <c r="C240" s="150">
        <v>781455</v>
      </c>
      <c r="D240" s="150">
        <v>1433207</v>
      </c>
      <c r="E240" s="150">
        <v>1384164</v>
      </c>
      <c r="F240" s="10">
        <v>1937828</v>
      </c>
      <c r="G240" s="10">
        <v>88887</v>
      </c>
      <c r="H240" s="156">
        <v>0</v>
      </c>
      <c r="I240" s="150">
        <v>0</v>
      </c>
      <c r="J240" s="16">
        <v>0</v>
      </c>
      <c r="K240" s="150">
        <v>0</v>
      </c>
      <c r="L240" s="150">
        <v>95587</v>
      </c>
      <c r="M240" s="150">
        <v>93129</v>
      </c>
      <c r="N240" s="10">
        <v>94358</v>
      </c>
      <c r="O240" s="150">
        <v>678188</v>
      </c>
      <c r="P240" s="150">
        <v>2778</v>
      </c>
      <c r="Q240" s="150">
        <v>37665</v>
      </c>
      <c r="R240" s="16">
        <v>3304</v>
      </c>
      <c r="S240" s="16">
        <v>0</v>
      </c>
      <c r="T240" s="150">
        <v>742</v>
      </c>
      <c r="U240" s="150">
        <v>741</v>
      </c>
      <c r="V240" s="150">
        <v>740</v>
      </c>
      <c r="W240" s="150">
        <v>740</v>
      </c>
      <c r="X240" s="150">
        <v>741</v>
      </c>
      <c r="Y240" s="10">
        <v>1235</v>
      </c>
      <c r="Z240" s="16">
        <v>4419</v>
      </c>
      <c r="AA240" s="150">
        <v>42896</v>
      </c>
    </row>
    <row r="241" spans="1:27" x14ac:dyDescent="0.35">
      <c r="A241" s="19">
        <v>3906</v>
      </c>
      <c r="B241" s="20" t="s">
        <v>280</v>
      </c>
      <c r="C241" s="150">
        <v>473114</v>
      </c>
      <c r="D241" s="150">
        <v>1007350</v>
      </c>
      <c r="E241" s="150">
        <v>925290</v>
      </c>
      <c r="F241" s="10">
        <v>1295405</v>
      </c>
      <c r="G241" s="10">
        <v>59419</v>
      </c>
      <c r="H241" s="156">
        <v>0</v>
      </c>
      <c r="I241" s="150">
        <v>0</v>
      </c>
      <c r="J241" s="16">
        <v>0</v>
      </c>
      <c r="K241" s="150">
        <v>0</v>
      </c>
      <c r="L241" s="150">
        <v>165507</v>
      </c>
      <c r="M241" s="150">
        <v>161251</v>
      </c>
      <c r="N241" s="10">
        <v>163379.39000000001</v>
      </c>
      <c r="O241" s="150">
        <v>815458</v>
      </c>
      <c r="P241" s="150">
        <v>3340</v>
      </c>
      <c r="Q241" s="150">
        <v>63725</v>
      </c>
      <c r="R241" s="16">
        <v>5590</v>
      </c>
      <c r="S241" s="16">
        <v>3956</v>
      </c>
      <c r="T241" s="150">
        <v>70404</v>
      </c>
      <c r="U241" s="150">
        <v>70405</v>
      </c>
      <c r="V241" s="150">
        <v>70180</v>
      </c>
      <c r="W241" s="150">
        <v>70330</v>
      </c>
      <c r="X241" s="150">
        <v>70330</v>
      </c>
      <c r="Y241" s="10">
        <v>117235</v>
      </c>
      <c r="Z241" s="16">
        <v>0</v>
      </c>
      <c r="AA241" s="150">
        <v>53812</v>
      </c>
    </row>
    <row r="242" spans="1:27" x14ac:dyDescent="0.35">
      <c r="A242" s="19">
        <v>3920</v>
      </c>
      <c r="B242" s="20" t="s">
        <v>281</v>
      </c>
      <c r="C242" s="150">
        <v>57939</v>
      </c>
      <c r="D242" s="150">
        <v>157394</v>
      </c>
      <c r="E242" s="150">
        <v>134583</v>
      </c>
      <c r="F242" s="10">
        <v>188416</v>
      </c>
      <c r="G242" s="10">
        <v>8642</v>
      </c>
      <c r="H242" s="156">
        <v>0</v>
      </c>
      <c r="I242" s="150">
        <v>0</v>
      </c>
      <c r="J242" s="16">
        <v>0</v>
      </c>
      <c r="K242" s="150">
        <v>0</v>
      </c>
      <c r="L242" s="150">
        <v>44253</v>
      </c>
      <c r="M242" s="150">
        <v>43115</v>
      </c>
      <c r="N242" s="10">
        <v>43684.78</v>
      </c>
      <c r="O242" s="150">
        <v>211470</v>
      </c>
      <c r="P242" s="150">
        <v>866</v>
      </c>
      <c r="Q242" s="150">
        <v>24615</v>
      </c>
      <c r="R242" s="16">
        <v>2159</v>
      </c>
      <c r="S242" s="16">
        <v>0</v>
      </c>
      <c r="T242" s="150">
        <v>16590</v>
      </c>
      <c r="U242" s="150">
        <v>16589</v>
      </c>
      <c r="V242" s="150">
        <v>16537</v>
      </c>
      <c r="W242" s="150">
        <v>16572</v>
      </c>
      <c r="X242" s="150">
        <v>16572</v>
      </c>
      <c r="Y242" s="10">
        <v>27625</v>
      </c>
      <c r="Z242" s="16">
        <v>0</v>
      </c>
      <c r="AA242" s="150">
        <v>13253</v>
      </c>
    </row>
    <row r="243" spans="1:27" x14ac:dyDescent="0.35">
      <c r="A243" s="19">
        <v>3925</v>
      </c>
      <c r="B243" s="20" t="s">
        <v>282</v>
      </c>
      <c r="C243" s="150">
        <v>427368</v>
      </c>
      <c r="D243" s="150">
        <v>2447545</v>
      </c>
      <c r="E243" s="150">
        <v>1796821</v>
      </c>
      <c r="F243" s="10">
        <v>2515549</v>
      </c>
      <c r="G243" s="10">
        <v>115386</v>
      </c>
      <c r="H243" s="156">
        <v>0</v>
      </c>
      <c r="I243" s="150">
        <v>0</v>
      </c>
      <c r="J243" s="16">
        <v>0</v>
      </c>
      <c r="K243" s="150">
        <v>0</v>
      </c>
      <c r="L243" s="150">
        <v>0</v>
      </c>
      <c r="M243" s="150">
        <v>0</v>
      </c>
      <c r="N243" s="10">
        <v>0</v>
      </c>
      <c r="O243" s="150">
        <v>3277414</v>
      </c>
      <c r="P243" s="150">
        <v>13423</v>
      </c>
      <c r="Q243" s="150">
        <v>96910</v>
      </c>
      <c r="R243" s="16">
        <v>8502</v>
      </c>
      <c r="S243" s="16">
        <v>0</v>
      </c>
      <c r="T243" s="150">
        <v>272675</v>
      </c>
      <c r="U243" s="150">
        <v>272675</v>
      </c>
      <c r="V243" s="150">
        <v>271805</v>
      </c>
      <c r="W243" s="150">
        <v>272386</v>
      </c>
      <c r="X243" s="150">
        <v>272385</v>
      </c>
      <c r="Y243" s="10">
        <v>454049</v>
      </c>
      <c r="Z243" s="16">
        <v>65539</v>
      </c>
      <c r="AA243" s="150">
        <v>182534</v>
      </c>
    </row>
    <row r="244" spans="1:27" x14ac:dyDescent="0.35">
      <c r="A244" s="19">
        <v>3934</v>
      </c>
      <c r="B244" s="20" t="s">
        <v>283</v>
      </c>
      <c r="C244" s="150">
        <v>872974</v>
      </c>
      <c r="D244" s="150">
        <v>1662565</v>
      </c>
      <c r="E244" s="150">
        <v>1584712</v>
      </c>
      <c r="F244" s="10">
        <v>2218596</v>
      </c>
      <c r="G244" s="10">
        <v>101765</v>
      </c>
      <c r="H244" s="156">
        <v>0</v>
      </c>
      <c r="I244" s="150">
        <v>0</v>
      </c>
      <c r="J244" s="16">
        <v>0</v>
      </c>
      <c r="K244" s="150">
        <v>0</v>
      </c>
      <c r="L244" s="150">
        <v>0</v>
      </c>
      <c r="M244" s="150">
        <v>0</v>
      </c>
      <c r="N244" s="10">
        <v>0</v>
      </c>
      <c r="O244" s="150">
        <v>675962</v>
      </c>
      <c r="P244" s="150">
        <v>2768</v>
      </c>
      <c r="Q244" s="150">
        <v>21210</v>
      </c>
      <c r="R244" s="16">
        <v>1861</v>
      </c>
      <c r="S244" s="16">
        <v>209973</v>
      </c>
      <c r="T244" s="150">
        <v>60556</v>
      </c>
      <c r="U244" s="150">
        <v>60556</v>
      </c>
      <c r="V244" s="150">
        <v>60362</v>
      </c>
      <c r="W244" s="150">
        <v>60491</v>
      </c>
      <c r="X244" s="150">
        <v>60491</v>
      </c>
      <c r="Y244" s="10">
        <v>100835</v>
      </c>
      <c r="Z244" s="16">
        <v>16246</v>
      </c>
      <c r="AA244" s="150">
        <v>37221</v>
      </c>
    </row>
    <row r="245" spans="1:27" x14ac:dyDescent="0.35">
      <c r="A245" s="19">
        <v>3941</v>
      </c>
      <c r="B245" s="20" t="s">
        <v>284</v>
      </c>
      <c r="C245" s="150">
        <v>919632</v>
      </c>
      <c r="D245" s="150">
        <v>1597877</v>
      </c>
      <c r="E245" s="150">
        <v>1573443</v>
      </c>
      <c r="F245" s="10">
        <v>2202821</v>
      </c>
      <c r="G245" s="10">
        <v>101041</v>
      </c>
      <c r="H245" s="156">
        <v>0</v>
      </c>
      <c r="I245" s="150">
        <v>0</v>
      </c>
      <c r="J245" s="16">
        <v>0</v>
      </c>
      <c r="K245" s="150">
        <v>0</v>
      </c>
      <c r="L245" s="150">
        <v>73460</v>
      </c>
      <c r="M245" s="150">
        <v>71572</v>
      </c>
      <c r="N245" s="10">
        <v>72515.61</v>
      </c>
      <c r="O245" s="150">
        <v>835492</v>
      </c>
      <c r="P245" s="150">
        <v>3422</v>
      </c>
      <c r="Q245" s="150">
        <v>108245</v>
      </c>
      <c r="R245" s="16">
        <v>9496</v>
      </c>
      <c r="S245" s="16">
        <v>0</v>
      </c>
      <c r="T245" s="150">
        <v>22116</v>
      </c>
      <c r="U245" s="150">
        <v>22116</v>
      </c>
      <c r="V245" s="150">
        <v>22046</v>
      </c>
      <c r="W245" s="150">
        <v>22093</v>
      </c>
      <c r="X245" s="150">
        <v>22093</v>
      </c>
      <c r="Y245" s="10">
        <v>36828</v>
      </c>
      <c r="Z245" s="16">
        <v>0</v>
      </c>
      <c r="AA245" s="150">
        <v>62892</v>
      </c>
    </row>
    <row r="246" spans="1:27" x14ac:dyDescent="0.35">
      <c r="A246" s="19">
        <v>3948</v>
      </c>
      <c r="B246" s="20" t="s">
        <v>285</v>
      </c>
      <c r="C246" s="150">
        <v>465065</v>
      </c>
      <c r="D246" s="150">
        <v>810500</v>
      </c>
      <c r="E246" s="150">
        <v>797228</v>
      </c>
      <c r="F246" s="10">
        <v>1116119</v>
      </c>
      <c r="G246" s="10">
        <v>51195</v>
      </c>
      <c r="H246" s="156">
        <v>0</v>
      </c>
      <c r="I246" s="150">
        <v>0</v>
      </c>
      <c r="J246" s="16">
        <v>0</v>
      </c>
      <c r="K246" s="150">
        <v>40200</v>
      </c>
      <c r="L246" s="150">
        <v>99127</v>
      </c>
      <c r="M246" s="150">
        <v>96579</v>
      </c>
      <c r="N246" s="10">
        <v>97852.22</v>
      </c>
      <c r="O246" s="150">
        <v>448910</v>
      </c>
      <c r="P246" s="150">
        <v>1839</v>
      </c>
      <c r="Q246" s="150">
        <v>20190</v>
      </c>
      <c r="R246" s="16">
        <v>1771</v>
      </c>
      <c r="S246" s="16">
        <v>48581</v>
      </c>
      <c r="T246" s="150">
        <v>31519</v>
      </c>
      <c r="U246" s="150">
        <v>36616</v>
      </c>
      <c r="V246" s="150">
        <v>33959</v>
      </c>
      <c r="W246" s="150">
        <v>34031</v>
      </c>
      <c r="X246" s="150">
        <v>34031</v>
      </c>
      <c r="Y246" s="10">
        <v>56730</v>
      </c>
      <c r="Z246" s="16">
        <v>0</v>
      </c>
      <c r="AA246" s="150">
        <v>25771</v>
      </c>
    </row>
    <row r="247" spans="1:27" x14ac:dyDescent="0.35">
      <c r="A247" s="19">
        <v>3955</v>
      </c>
      <c r="B247" s="20" t="s">
        <v>286</v>
      </c>
      <c r="C247" s="150">
        <v>2272930</v>
      </c>
      <c r="D247" s="150">
        <v>3969821</v>
      </c>
      <c r="E247" s="150">
        <v>3901719</v>
      </c>
      <c r="F247" s="10">
        <v>5462407</v>
      </c>
      <c r="G247" s="10">
        <v>250556</v>
      </c>
      <c r="H247" s="156">
        <v>0</v>
      </c>
      <c r="I247" s="150">
        <v>0</v>
      </c>
      <c r="J247" s="16">
        <v>0</v>
      </c>
      <c r="K247" s="150">
        <v>0</v>
      </c>
      <c r="L247" s="150">
        <v>0</v>
      </c>
      <c r="M247" s="150">
        <v>0</v>
      </c>
      <c r="N247" s="10">
        <v>0</v>
      </c>
      <c r="O247" s="150">
        <v>1686566</v>
      </c>
      <c r="P247" s="150">
        <v>6907</v>
      </c>
      <c r="Q247" s="150">
        <v>64905</v>
      </c>
      <c r="R247" s="16">
        <v>5694</v>
      </c>
      <c r="S247" s="16">
        <v>0</v>
      </c>
      <c r="T247" s="150">
        <v>149559</v>
      </c>
      <c r="U247" s="150">
        <v>149558</v>
      </c>
      <c r="V247" s="150">
        <v>149082</v>
      </c>
      <c r="W247" s="150">
        <v>149399</v>
      </c>
      <c r="X247" s="150">
        <v>149400</v>
      </c>
      <c r="Y247" s="10">
        <v>249044</v>
      </c>
      <c r="Z247" s="16">
        <v>0</v>
      </c>
      <c r="AA247" s="150">
        <v>106723</v>
      </c>
    </row>
    <row r="248" spans="1:27" x14ac:dyDescent="0.35">
      <c r="A248" s="19">
        <v>3962</v>
      </c>
      <c r="B248" s="20" t="s">
        <v>287</v>
      </c>
      <c r="C248" s="150">
        <v>3516027</v>
      </c>
      <c r="D248" s="150">
        <v>6534545</v>
      </c>
      <c r="E248" s="150">
        <v>6281608</v>
      </c>
      <c r="F248" s="10">
        <v>8794250</v>
      </c>
      <c r="G248" s="10">
        <v>403385</v>
      </c>
      <c r="H248" s="156">
        <v>0</v>
      </c>
      <c r="I248" s="150">
        <v>0</v>
      </c>
      <c r="J248" s="16">
        <v>0</v>
      </c>
      <c r="K248" s="150">
        <v>0</v>
      </c>
      <c r="L248" s="150">
        <v>0</v>
      </c>
      <c r="M248" s="150">
        <v>0</v>
      </c>
      <c r="N248" s="10">
        <v>0</v>
      </c>
      <c r="O248" s="150">
        <v>2577708</v>
      </c>
      <c r="P248" s="150">
        <v>10557</v>
      </c>
      <c r="Q248" s="150">
        <v>109985</v>
      </c>
      <c r="R248" s="16">
        <v>9649</v>
      </c>
      <c r="S248" s="16">
        <v>0</v>
      </c>
      <c r="T248" s="150">
        <v>233333</v>
      </c>
      <c r="U248" s="150">
        <v>233332</v>
      </c>
      <c r="V248" s="150">
        <v>232589</v>
      </c>
      <c r="W248" s="150">
        <v>233085</v>
      </c>
      <c r="X248" s="150">
        <v>233085</v>
      </c>
      <c r="Y248" s="10">
        <v>388538</v>
      </c>
      <c r="Z248" s="16">
        <v>56555</v>
      </c>
      <c r="AA248" s="150">
        <v>145413</v>
      </c>
    </row>
    <row r="249" spans="1:27" x14ac:dyDescent="0.35">
      <c r="A249" s="19">
        <v>3969</v>
      </c>
      <c r="B249" s="20" t="s">
        <v>288</v>
      </c>
      <c r="C249" s="150">
        <v>367420</v>
      </c>
      <c r="D249" s="150">
        <v>618459</v>
      </c>
      <c r="E249" s="150">
        <v>616175</v>
      </c>
      <c r="F249" s="10">
        <v>862644</v>
      </c>
      <c r="G249" s="10">
        <v>39569</v>
      </c>
      <c r="H249" s="156">
        <v>0</v>
      </c>
      <c r="I249" s="150">
        <v>0</v>
      </c>
      <c r="J249" s="16">
        <v>0</v>
      </c>
      <c r="K249" s="150">
        <v>0</v>
      </c>
      <c r="L249" s="150">
        <v>0</v>
      </c>
      <c r="M249" s="150">
        <v>0</v>
      </c>
      <c r="N249" s="10">
        <v>0</v>
      </c>
      <c r="O249" s="150">
        <v>247828</v>
      </c>
      <c r="P249" s="150">
        <v>1015</v>
      </c>
      <c r="Q249" s="150">
        <v>10190</v>
      </c>
      <c r="R249" s="16">
        <v>894</v>
      </c>
      <c r="S249" s="16">
        <v>34</v>
      </c>
      <c r="T249" s="150">
        <v>26480</v>
      </c>
      <c r="U249" s="150">
        <v>26480</v>
      </c>
      <c r="V249" s="150">
        <v>26396</v>
      </c>
      <c r="W249" s="150">
        <v>34459</v>
      </c>
      <c r="X249" s="150">
        <v>28453</v>
      </c>
      <c r="Y249" s="10">
        <v>47431</v>
      </c>
      <c r="Z249" s="16">
        <v>47692</v>
      </c>
      <c r="AA249" s="150">
        <v>12585</v>
      </c>
    </row>
    <row r="250" spans="1:27" x14ac:dyDescent="0.35">
      <c r="A250" s="19">
        <v>2177</v>
      </c>
      <c r="B250" s="20" t="s">
        <v>289</v>
      </c>
      <c r="C250" s="150">
        <v>52175</v>
      </c>
      <c r="D250" s="150">
        <v>62476</v>
      </c>
      <c r="E250" s="150">
        <v>71657</v>
      </c>
      <c r="F250" s="10">
        <v>100318</v>
      </c>
      <c r="G250" s="10">
        <v>4602</v>
      </c>
      <c r="H250" s="156">
        <v>0</v>
      </c>
      <c r="I250" s="150">
        <v>0</v>
      </c>
      <c r="J250" s="16">
        <v>0</v>
      </c>
      <c r="K250" s="150">
        <v>0</v>
      </c>
      <c r="L250" s="150">
        <v>0</v>
      </c>
      <c r="M250" s="150">
        <v>0</v>
      </c>
      <c r="N250" s="10">
        <v>0</v>
      </c>
      <c r="O250" s="150">
        <v>776874</v>
      </c>
      <c r="P250" s="150">
        <v>3182</v>
      </c>
      <c r="Q250" s="150">
        <v>23015</v>
      </c>
      <c r="R250" s="16">
        <v>2019</v>
      </c>
      <c r="S250" s="16">
        <v>0</v>
      </c>
      <c r="T250" s="150">
        <v>90580</v>
      </c>
      <c r="U250" s="150">
        <v>90580</v>
      </c>
      <c r="V250" s="150">
        <v>90291</v>
      </c>
      <c r="W250" s="150">
        <v>90483</v>
      </c>
      <c r="X250" s="150">
        <v>90484</v>
      </c>
      <c r="Y250" s="10">
        <v>150828</v>
      </c>
      <c r="Z250" s="16">
        <v>20216</v>
      </c>
      <c r="AA250" s="150">
        <v>61457</v>
      </c>
    </row>
    <row r="251" spans="1:27" x14ac:dyDescent="0.35">
      <c r="A251" s="19">
        <v>3976</v>
      </c>
      <c r="B251" s="20" t="s">
        <v>290</v>
      </c>
      <c r="C251" s="150">
        <v>141539</v>
      </c>
      <c r="D251" s="150">
        <v>116921</v>
      </c>
      <c r="E251" s="150">
        <v>161538</v>
      </c>
      <c r="F251" s="10">
        <v>226153</v>
      </c>
      <c r="G251" s="10">
        <v>10373</v>
      </c>
      <c r="H251" s="156">
        <v>1358</v>
      </c>
      <c r="I251" s="150">
        <v>849</v>
      </c>
      <c r="J251" s="16">
        <v>1189</v>
      </c>
      <c r="K251" s="150">
        <v>1851</v>
      </c>
      <c r="L251" s="150">
        <v>0</v>
      </c>
      <c r="M251" s="150">
        <v>0</v>
      </c>
      <c r="N251" s="10">
        <v>0</v>
      </c>
      <c r="O251" s="150">
        <v>15582</v>
      </c>
      <c r="P251" s="150">
        <v>64</v>
      </c>
      <c r="Q251" s="150">
        <v>0</v>
      </c>
      <c r="R251" s="16">
        <v>0</v>
      </c>
      <c r="S251" s="16">
        <v>0</v>
      </c>
      <c r="T251" s="150">
        <v>30219</v>
      </c>
      <c r="U251" s="150">
        <v>6016</v>
      </c>
      <c r="V251" s="150">
        <v>17840</v>
      </c>
      <c r="W251" s="150">
        <v>18025</v>
      </c>
      <c r="X251" s="150">
        <v>18025</v>
      </c>
      <c r="Y251" s="10">
        <v>33902</v>
      </c>
      <c r="Z251" s="16">
        <v>0</v>
      </c>
      <c r="AA251" s="150">
        <v>501</v>
      </c>
    </row>
    <row r="252" spans="1:27" x14ac:dyDescent="0.35">
      <c r="A252" s="19">
        <v>4690</v>
      </c>
      <c r="B252" s="20" t="s">
        <v>291</v>
      </c>
      <c r="C252" s="150">
        <v>132867</v>
      </c>
      <c r="D252" s="150">
        <v>172265</v>
      </c>
      <c r="E252" s="150">
        <v>190707</v>
      </c>
      <c r="F252" s="10">
        <v>266990</v>
      </c>
      <c r="G252" s="10">
        <v>12247</v>
      </c>
      <c r="H252" s="156">
        <v>0</v>
      </c>
      <c r="I252" s="150">
        <v>0</v>
      </c>
      <c r="J252" s="16">
        <v>0</v>
      </c>
      <c r="K252" s="150">
        <v>0</v>
      </c>
      <c r="L252" s="150">
        <v>0</v>
      </c>
      <c r="M252" s="150">
        <v>0</v>
      </c>
      <c r="N252" s="10">
        <v>0</v>
      </c>
      <c r="O252" s="150">
        <v>146916</v>
      </c>
      <c r="P252" s="150">
        <v>602</v>
      </c>
      <c r="Q252" s="150">
        <v>4680</v>
      </c>
      <c r="R252" s="16">
        <v>411</v>
      </c>
      <c r="S252" s="16">
        <v>0</v>
      </c>
      <c r="T252" s="150">
        <v>9200</v>
      </c>
      <c r="U252" s="150">
        <v>9199</v>
      </c>
      <c r="V252" s="150">
        <v>9171</v>
      </c>
      <c r="W252" s="150">
        <v>9190</v>
      </c>
      <c r="X252" s="150">
        <v>9190</v>
      </c>
      <c r="Y252" s="10">
        <v>15318</v>
      </c>
      <c r="Z252" s="16">
        <v>33967</v>
      </c>
      <c r="AA252" s="150">
        <v>6943</v>
      </c>
    </row>
    <row r="253" spans="1:27" x14ac:dyDescent="0.35">
      <c r="A253" s="19">
        <v>2016</v>
      </c>
      <c r="B253" s="20" t="s">
        <v>292</v>
      </c>
      <c r="C253" s="150">
        <v>490101</v>
      </c>
      <c r="D253" s="150">
        <v>838555</v>
      </c>
      <c r="E253" s="150">
        <v>830410</v>
      </c>
      <c r="F253" s="10">
        <v>1162573</v>
      </c>
      <c r="G253" s="10">
        <v>53326</v>
      </c>
      <c r="H253" s="156">
        <v>0</v>
      </c>
      <c r="I253" s="150">
        <v>0</v>
      </c>
      <c r="J253" s="16">
        <v>0</v>
      </c>
      <c r="K253" s="150">
        <v>32332</v>
      </c>
      <c r="L253" s="150">
        <v>45138</v>
      </c>
      <c r="M253" s="150">
        <v>45726</v>
      </c>
      <c r="N253" s="10">
        <v>45430.89</v>
      </c>
      <c r="O253" s="150">
        <v>343546</v>
      </c>
      <c r="P253" s="150">
        <v>1407</v>
      </c>
      <c r="Q253" s="150">
        <v>23405</v>
      </c>
      <c r="R253" s="16">
        <v>2053</v>
      </c>
      <c r="S253" s="16">
        <v>2106</v>
      </c>
      <c r="T253" s="150">
        <v>44050</v>
      </c>
      <c r="U253" s="150">
        <v>44050</v>
      </c>
      <c r="V253" s="150">
        <v>43911</v>
      </c>
      <c r="W253" s="150">
        <v>44004</v>
      </c>
      <c r="X253" s="150">
        <v>44004</v>
      </c>
      <c r="Y253" s="10">
        <v>73351</v>
      </c>
      <c r="Z253" s="16">
        <v>700</v>
      </c>
      <c r="AA253" s="150">
        <v>19529</v>
      </c>
    </row>
    <row r="254" spans="1:27" x14ac:dyDescent="0.35">
      <c r="A254" s="19">
        <v>3983</v>
      </c>
      <c r="B254" s="20" t="s">
        <v>293</v>
      </c>
      <c r="C254" s="150">
        <v>1424237</v>
      </c>
      <c r="D254" s="150">
        <v>2751599</v>
      </c>
      <c r="E254" s="150">
        <v>2609897</v>
      </c>
      <c r="F254" s="10">
        <v>3653856</v>
      </c>
      <c r="G254" s="10">
        <v>167599</v>
      </c>
      <c r="H254" s="156">
        <v>0</v>
      </c>
      <c r="I254" s="150">
        <v>0</v>
      </c>
      <c r="J254" s="16">
        <v>0</v>
      </c>
      <c r="K254" s="150">
        <v>0</v>
      </c>
      <c r="L254" s="150">
        <v>0</v>
      </c>
      <c r="M254" s="150">
        <v>0</v>
      </c>
      <c r="N254" s="10">
        <v>0</v>
      </c>
      <c r="O254" s="150">
        <v>989828</v>
      </c>
      <c r="P254" s="150">
        <v>4054</v>
      </c>
      <c r="Q254" s="150">
        <v>21730</v>
      </c>
      <c r="R254" s="16">
        <v>1906</v>
      </c>
      <c r="S254" s="16">
        <v>0</v>
      </c>
      <c r="T254" s="150">
        <v>153990</v>
      </c>
      <c r="U254" s="150">
        <v>153990</v>
      </c>
      <c r="V254" s="150">
        <v>153499</v>
      </c>
      <c r="W254" s="150">
        <v>163057</v>
      </c>
      <c r="X254" s="150">
        <v>156135</v>
      </c>
      <c r="Y254" s="10">
        <v>260268</v>
      </c>
      <c r="Z254" s="16">
        <v>66136</v>
      </c>
      <c r="AA254" s="150">
        <v>72005</v>
      </c>
    </row>
    <row r="255" spans="1:27" x14ac:dyDescent="0.35">
      <c r="A255" s="19">
        <v>3514</v>
      </c>
      <c r="B255" s="20" t="s">
        <v>294</v>
      </c>
      <c r="C255" s="150">
        <v>29716</v>
      </c>
      <c r="D255" s="150">
        <v>9515</v>
      </c>
      <c r="E255" s="150">
        <v>24519</v>
      </c>
      <c r="F255" s="10">
        <v>34326</v>
      </c>
      <c r="G255" s="10">
        <v>1575</v>
      </c>
      <c r="H255" s="156">
        <v>103144</v>
      </c>
      <c r="I255" s="150">
        <v>64465</v>
      </c>
      <c r="J255" s="16">
        <v>90250</v>
      </c>
      <c r="K255" s="150">
        <v>0</v>
      </c>
      <c r="L255" s="150">
        <v>0</v>
      </c>
      <c r="M255" s="150">
        <v>0</v>
      </c>
      <c r="N255" s="10">
        <v>0</v>
      </c>
      <c r="O255" s="150">
        <v>191436</v>
      </c>
      <c r="P255" s="150">
        <v>784</v>
      </c>
      <c r="Q255" s="150">
        <v>6895</v>
      </c>
      <c r="R255" s="16">
        <v>605</v>
      </c>
      <c r="S255" s="16">
        <v>0</v>
      </c>
      <c r="T255" s="150">
        <v>18527</v>
      </c>
      <c r="U255" s="150">
        <v>18527</v>
      </c>
      <c r="V255" s="150">
        <v>18469</v>
      </c>
      <c r="W255" s="150">
        <v>18507</v>
      </c>
      <c r="X255" s="150">
        <v>18508</v>
      </c>
      <c r="Y255" s="10">
        <v>30850</v>
      </c>
      <c r="Z255" s="16">
        <v>5169</v>
      </c>
      <c r="AA255" s="150">
        <v>11083</v>
      </c>
    </row>
    <row r="256" spans="1:27" x14ac:dyDescent="0.35">
      <c r="A256" s="19">
        <v>616</v>
      </c>
      <c r="B256" s="20" t="s">
        <v>295</v>
      </c>
      <c r="C256" s="150">
        <v>0</v>
      </c>
      <c r="D256" s="150">
        <v>0</v>
      </c>
      <c r="E256" s="150">
        <v>0</v>
      </c>
      <c r="F256" s="10">
        <v>0</v>
      </c>
      <c r="G256" s="10">
        <v>0</v>
      </c>
      <c r="H256" s="156">
        <v>0</v>
      </c>
      <c r="I256" s="150">
        <v>0</v>
      </c>
      <c r="J256" s="16">
        <v>0</v>
      </c>
      <c r="K256" s="150">
        <v>0</v>
      </c>
      <c r="L256" s="150">
        <v>24782</v>
      </c>
      <c r="M256" s="150">
        <v>24144</v>
      </c>
      <c r="N256" s="10">
        <v>24463.56</v>
      </c>
      <c r="O256" s="150">
        <v>94976</v>
      </c>
      <c r="P256" s="150">
        <v>389</v>
      </c>
      <c r="Q256" s="150">
        <v>25555</v>
      </c>
      <c r="R256" s="16">
        <v>2242</v>
      </c>
      <c r="S256" s="16">
        <v>136230</v>
      </c>
      <c r="T256" s="150">
        <v>27617</v>
      </c>
      <c r="U256" s="150">
        <v>27616</v>
      </c>
      <c r="V256" s="150">
        <v>27529</v>
      </c>
      <c r="W256" s="150">
        <v>27588</v>
      </c>
      <c r="X256" s="150">
        <v>27587</v>
      </c>
      <c r="Y256" s="10">
        <v>45986</v>
      </c>
      <c r="Z256" s="16">
        <v>10577</v>
      </c>
      <c r="AA256" s="150">
        <v>4607</v>
      </c>
    </row>
    <row r="257" spans="1:27" x14ac:dyDescent="0.35">
      <c r="A257" s="19">
        <v>1945</v>
      </c>
      <c r="B257" s="20" t="s">
        <v>296</v>
      </c>
      <c r="C257" s="150">
        <v>494983</v>
      </c>
      <c r="D257" s="150">
        <v>594823</v>
      </c>
      <c r="E257" s="150">
        <v>681129</v>
      </c>
      <c r="F257" s="10">
        <v>953580</v>
      </c>
      <c r="G257" s="10">
        <v>43740</v>
      </c>
      <c r="H257" s="156">
        <v>30752</v>
      </c>
      <c r="I257" s="150">
        <v>19220</v>
      </c>
      <c r="J257" s="16">
        <v>26909</v>
      </c>
      <c r="K257" s="150">
        <v>0</v>
      </c>
      <c r="L257" s="150">
        <v>0</v>
      </c>
      <c r="M257" s="150">
        <v>0</v>
      </c>
      <c r="N257" s="10">
        <v>0</v>
      </c>
      <c r="O257" s="150">
        <v>564662</v>
      </c>
      <c r="P257" s="150">
        <v>2313</v>
      </c>
      <c r="Q257" s="150">
        <v>18625</v>
      </c>
      <c r="R257" s="16">
        <v>1634</v>
      </c>
      <c r="S257" s="16">
        <v>0</v>
      </c>
      <c r="T257" s="150">
        <v>68944</v>
      </c>
      <c r="U257" s="150">
        <v>69648</v>
      </c>
      <c r="V257" s="150">
        <v>69075</v>
      </c>
      <c r="W257" s="150">
        <v>69223</v>
      </c>
      <c r="X257" s="150">
        <v>69222</v>
      </c>
      <c r="Y257" s="10">
        <v>115391</v>
      </c>
      <c r="Z257" s="16">
        <v>2130</v>
      </c>
      <c r="AA257" s="150">
        <v>36387</v>
      </c>
    </row>
    <row r="258" spans="1:27" x14ac:dyDescent="0.35">
      <c r="A258" s="19">
        <v>1526</v>
      </c>
      <c r="B258" s="20" t="s">
        <v>448</v>
      </c>
      <c r="C258" s="150">
        <v>0</v>
      </c>
      <c r="D258" s="150">
        <v>0</v>
      </c>
      <c r="E258" s="150">
        <v>0</v>
      </c>
      <c r="F258" s="10">
        <v>0</v>
      </c>
      <c r="G258" s="10">
        <v>0</v>
      </c>
      <c r="H258" s="156">
        <v>9982</v>
      </c>
      <c r="I258" s="150">
        <v>6239</v>
      </c>
      <c r="J258" s="16">
        <v>8734</v>
      </c>
      <c r="K258" s="150">
        <v>0</v>
      </c>
      <c r="L258" s="150">
        <v>169933</v>
      </c>
      <c r="M258" s="150">
        <v>165563</v>
      </c>
      <c r="N258" s="10">
        <v>167746.66</v>
      </c>
      <c r="O258" s="150">
        <v>944566</v>
      </c>
      <c r="P258" s="150">
        <v>3868</v>
      </c>
      <c r="Q258" s="150">
        <v>129755</v>
      </c>
      <c r="R258" s="16">
        <v>11383</v>
      </c>
      <c r="S258" s="16">
        <v>351995</v>
      </c>
      <c r="T258" s="150">
        <v>131034</v>
      </c>
      <c r="U258" s="150">
        <v>131034</v>
      </c>
      <c r="V258" s="150">
        <v>130616</v>
      </c>
      <c r="W258" s="150">
        <v>130894</v>
      </c>
      <c r="X258" s="150">
        <v>130895</v>
      </c>
      <c r="Y258" s="10">
        <v>218195</v>
      </c>
      <c r="Z258" s="16">
        <v>56644</v>
      </c>
      <c r="AA258" s="150">
        <v>52510</v>
      </c>
    </row>
    <row r="259" spans="1:27" x14ac:dyDescent="0.35">
      <c r="A259" s="19">
        <v>3654</v>
      </c>
      <c r="B259" s="20" t="s">
        <v>10</v>
      </c>
      <c r="C259" s="150">
        <v>0</v>
      </c>
      <c r="D259" s="150">
        <v>0</v>
      </c>
      <c r="E259" s="150">
        <v>0</v>
      </c>
      <c r="F259" s="10">
        <v>0</v>
      </c>
      <c r="G259" s="10">
        <v>0</v>
      </c>
      <c r="H259" s="156">
        <v>519</v>
      </c>
      <c r="I259" s="150">
        <v>324</v>
      </c>
      <c r="J259" s="16">
        <v>454</v>
      </c>
      <c r="K259" s="150">
        <v>21753</v>
      </c>
      <c r="L259" s="150">
        <v>39828</v>
      </c>
      <c r="M259" s="150">
        <v>38804</v>
      </c>
      <c r="N259" s="10">
        <v>39315.5</v>
      </c>
      <c r="O259" s="150">
        <v>240408</v>
      </c>
      <c r="P259" s="150">
        <v>985</v>
      </c>
      <c r="Q259" s="150">
        <v>21755</v>
      </c>
      <c r="R259" s="16">
        <v>1909</v>
      </c>
      <c r="S259" s="16">
        <v>35254</v>
      </c>
      <c r="T259" s="150">
        <v>22931</v>
      </c>
      <c r="U259" s="150">
        <v>22932</v>
      </c>
      <c r="V259" s="150">
        <v>22859</v>
      </c>
      <c r="W259" s="150">
        <v>19864</v>
      </c>
      <c r="X259" s="150">
        <v>22147</v>
      </c>
      <c r="Y259" s="10">
        <v>36915</v>
      </c>
      <c r="Z259" s="16">
        <v>0</v>
      </c>
      <c r="AA259" s="150">
        <v>12886</v>
      </c>
    </row>
    <row r="260" spans="1:27" x14ac:dyDescent="0.35">
      <c r="A260" s="19">
        <v>3990</v>
      </c>
      <c r="B260" s="20" t="s">
        <v>297</v>
      </c>
      <c r="C260" s="150">
        <v>800764</v>
      </c>
      <c r="D260" s="150">
        <v>1333314</v>
      </c>
      <c r="E260" s="150">
        <v>1333798</v>
      </c>
      <c r="F260" s="10">
        <v>1867318</v>
      </c>
      <c r="G260" s="10">
        <v>85652</v>
      </c>
      <c r="H260" s="156">
        <v>0</v>
      </c>
      <c r="I260" s="150">
        <v>0</v>
      </c>
      <c r="J260" s="16">
        <v>0</v>
      </c>
      <c r="K260" s="150">
        <v>43307</v>
      </c>
      <c r="L260" s="150">
        <v>77886</v>
      </c>
      <c r="M260" s="150">
        <v>75882</v>
      </c>
      <c r="N260" s="10">
        <v>76884.89</v>
      </c>
      <c r="O260" s="150">
        <v>465234</v>
      </c>
      <c r="P260" s="150">
        <v>1905</v>
      </c>
      <c r="Q260" s="150">
        <v>34040</v>
      </c>
      <c r="R260" s="16">
        <v>2986</v>
      </c>
      <c r="S260" s="16">
        <v>61120</v>
      </c>
      <c r="T260" s="150">
        <v>43010</v>
      </c>
      <c r="U260" s="150">
        <v>43009</v>
      </c>
      <c r="V260" s="150">
        <v>42874</v>
      </c>
      <c r="W260" s="150">
        <v>42964</v>
      </c>
      <c r="X260" s="150">
        <v>42964</v>
      </c>
      <c r="Y260" s="10">
        <v>71619</v>
      </c>
      <c r="Z260" s="16">
        <v>3667</v>
      </c>
      <c r="AA260" s="150">
        <v>27407</v>
      </c>
    </row>
    <row r="261" spans="1:27" x14ac:dyDescent="0.35">
      <c r="A261" s="19">
        <v>4011</v>
      </c>
      <c r="B261" s="20" t="s">
        <v>298</v>
      </c>
      <c r="C261" s="150">
        <v>28981</v>
      </c>
      <c r="D261" s="150">
        <v>67634</v>
      </c>
      <c r="E261" s="150">
        <v>60384</v>
      </c>
      <c r="F261" s="10">
        <v>84537</v>
      </c>
      <c r="G261" s="10">
        <v>3878</v>
      </c>
      <c r="H261" s="156">
        <v>0</v>
      </c>
      <c r="I261" s="150">
        <v>0</v>
      </c>
      <c r="J261" s="16">
        <v>0</v>
      </c>
      <c r="K261" s="150">
        <v>0</v>
      </c>
      <c r="L261" s="150">
        <v>7081</v>
      </c>
      <c r="M261" s="150">
        <v>6897</v>
      </c>
      <c r="N261" s="10">
        <v>6990.44</v>
      </c>
      <c r="O261" s="150">
        <v>66038</v>
      </c>
      <c r="P261" s="150">
        <v>270</v>
      </c>
      <c r="Q261" s="150">
        <v>1435</v>
      </c>
      <c r="R261" s="16">
        <v>126</v>
      </c>
      <c r="S261" s="16">
        <v>2976</v>
      </c>
      <c r="T261" s="150">
        <v>5619</v>
      </c>
      <c r="U261" s="150">
        <v>5620</v>
      </c>
      <c r="V261" s="150">
        <v>5601</v>
      </c>
      <c r="W261" s="150">
        <v>5614</v>
      </c>
      <c r="X261" s="150">
        <v>5613</v>
      </c>
      <c r="Y261" s="10">
        <v>9358</v>
      </c>
      <c r="Z261" s="16">
        <v>0</v>
      </c>
      <c r="AA261" s="150">
        <v>3305</v>
      </c>
    </row>
    <row r="262" spans="1:27" x14ac:dyDescent="0.35">
      <c r="A262" s="19">
        <v>4018</v>
      </c>
      <c r="B262" s="20" t="s">
        <v>299</v>
      </c>
      <c r="C262" s="150">
        <v>4986972</v>
      </c>
      <c r="D262" s="150">
        <v>8444007</v>
      </c>
      <c r="E262" s="150">
        <v>8394362</v>
      </c>
      <c r="F262" s="10">
        <v>11752107</v>
      </c>
      <c r="G262" s="10">
        <v>539059</v>
      </c>
      <c r="H262" s="156">
        <v>0</v>
      </c>
      <c r="I262" s="150">
        <v>0</v>
      </c>
      <c r="J262" s="16">
        <v>0</v>
      </c>
      <c r="K262" s="150">
        <v>0</v>
      </c>
      <c r="L262" s="150">
        <v>0</v>
      </c>
      <c r="M262" s="150">
        <v>0</v>
      </c>
      <c r="N262" s="10">
        <v>0</v>
      </c>
      <c r="O262" s="150">
        <v>4595948</v>
      </c>
      <c r="P262" s="150">
        <v>18823</v>
      </c>
      <c r="Q262" s="150">
        <v>121510</v>
      </c>
      <c r="R262" s="16">
        <v>10660</v>
      </c>
      <c r="S262" s="16">
        <v>0</v>
      </c>
      <c r="T262" s="150">
        <v>325489</v>
      </c>
      <c r="U262" s="150">
        <v>325490</v>
      </c>
      <c r="V262" s="150">
        <v>324450</v>
      </c>
      <c r="W262" s="150">
        <v>325143</v>
      </c>
      <c r="X262" s="150">
        <v>325143</v>
      </c>
      <c r="Y262" s="10">
        <v>541997</v>
      </c>
      <c r="Z262" s="16">
        <v>13265</v>
      </c>
      <c r="AA262" s="150">
        <v>269995</v>
      </c>
    </row>
    <row r="263" spans="1:27" x14ac:dyDescent="0.35">
      <c r="A263" s="19">
        <v>4025</v>
      </c>
      <c r="B263" s="20" t="s">
        <v>300</v>
      </c>
      <c r="C263" s="150">
        <v>531272</v>
      </c>
      <c r="D263" s="150">
        <v>886233</v>
      </c>
      <c r="E263" s="150">
        <v>885941</v>
      </c>
      <c r="F263" s="10">
        <v>1240318</v>
      </c>
      <c r="G263" s="10">
        <v>56892</v>
      </c>
      <c r="H263" s="156">
        <v>0</v>
      </c>
      <c r="I263" s="150">
        <v>0</v>
      </c>
      <c r="J263" s="16">
        <v>0</v>
      </c>
      <c r="K263" s="150">
        <v>0</v>
      </c>
      <c r="L263" s="150">
        <v>0</v>
      </c>
      <c r="M263" s="150">
        <v>0</v>
      </c>
      <c r="N263" s="10">
        <v>0</v>
      </c>
      <c r="O263" s="150">
        <v>358386</v>
      </c>
      <c r="P263" s="150">
        <v>1468</v>
      </c>
      <c r="Q263" s="150">
        <v>11210</v>
      </c>
      <c r="R263" s="16">
        <v>983</v>
      </c>
      <c r="S263" s="16">
        <v>0</v>
      </c>
      <c r="T263" s="150">
        <v>21345</v>
      </c>
      <c r="U263" s="150">
        <v>21346</v>
      </c>
      <c r="V263" s="150">
        <v>21277</v>
      </c>
      <c r="W263" s="150">
        <v>21322</v>
      </c>
      <c r="X263" s="150">
        <v>21323</v>
      </c>
      <c r="Y263" s="10">
        <v>35543</v>
      </c>
      <c r="Z263" s="16">
        <v>0</v>
      </c>
      <c r="AA263" s="150">
        <v>23000</v>
      </c>
    </row>
    <row r="264" spans="1:27" x14ac:dyDescent="0.35">
      <c r="A264" s="19">
        <v>4060</v>
      </c>
      <c r="B264" s="20" t="s">
        <v>301</v>
      </c>
      <c r="C264" s="150">
        <v>1523919</v>
      </c>
      <c r="D264" s="150">
        <v>2643879</v>
      </c>
      <c r="E264" s="150">
        <v>2604874</v>
      </c>
      <c r="F264" s="10">
        <v>3646823</v>
      </c>
      <c r="G264" s="10">
        <v>167277</v>
      </c>
      <c r="H264" s="156">
        <v>0</v>
      </c>
      <c r="I264" s="150">
        <v>0</v>
      </c>
      <c r="J264" s="16">
        <v>0</v>
      </c>
      <c r="K264" s="150">
        <v>0</v>
      </c>
      <c r="L264" s="150">
        <v>0</v>
      </c>
      <c r="M264" s="150">
        <v>0</v>
      </c>
      <c r="N264" s="10">
        <v>0</v>
      </c>
      <c r="O264" s="150">
        <v>3987508</v>
      </c>
      <c r="P264" s="150">
        <v>16331</v>
      </c>
      <c r="Q264" s="150">
        <v>134700</v>
      </c>
      <c r="R264" s="16">
        <v>11817</v>
      </c>
      <c r="S264" s="16">
        <v>0</v>
      </c>
      <c r="T264" s="150">
        <v>336347</v>
      </c>
      <c r="U264" s="150">
        <v>336347</v>
      </c>
      <c r="V264" s="150">
        <v>335274</v>
      </c>
      <c r="W264" s="150">
        <v>335989</v>
      </c>
      <c r="X264" s="150">
        <v>335989</v>
      </c>
      <c r="Y264" s="10">
        <v>560075</v>
      </c>
      <c r="Z264" s="16">
        <v>26698</v>
      </c>
      <c r="AA264" s="150">
        <v>257944</v>
      </c>
    </row>
    <row r="265" spans="1:27" x14ac:dyDescent="0.35">
      <c r="A265" s="19">
        <v>4067</v>
      </c>
      <c r="B265" s="20" t="s">
        <v>302</v>
      </c>
      <c r="C265" s="150">
        <v>1067236</v>
      </c>
      <c r="D265" s="150">
        <v>1895852</v>
      </c>
      <c r="E265" s="150">
        <v>1851930</v>
      </c>
      <c r="F265" s="10">
        <v>2592701</v>
      </c>
      <c r="G265" s="10">
        <v>118925</v>
      </c>
      <c r="H265" s="156">
        <v>0</v>
      </c>
      <c r="I265" s="150">
        <v>0</v>
      </c>
      <c r="J265" s="16">
        <v>0</v>
      </c>
      <c r="K265" s="150">
        <v>0</v>
      </c>
      <c r="L265" s="150">
        <v>115944</v>
      </c>
      <c r="M265" s="150">
        <v>112962</v>
      </c>
      <c r="N265" s="10">
        <v>114452.28</v>
      </c>
      <c r="O265" s="150">
        <v>769454</v>
      </c>
      <c r="P265" s="150">
        <v>3151</v>
      </c>
      <c r="Q265" s="150">
        <v>17325</v>
      </c>
      <c r="R265" s="16">
        <v>1520</v>
      </c>
      <c r="S265" s="16">
        <v>0</v>
      </c>
      <c r="T265" s="150">
        <v>73651</v>
      </c>
      <c r="U265" s="150">
        <v>73651</v>
      </c>
      <c r="V265" s="150">
        <v>73416</v>
      </c>
      <c r="W265" s="150">
        <v>73572</v>
      </c>
      <c r="X265" s="150">
        <v>73573</v>
      </c>
      <c r="Y265" s="10">
        <v>122643</v>
      </c>
      <c r="Z265" s="16">
        <v>0</v>
      </c>
      <c r="AA265" s="150">
        <v>40693</v>
      </c>
    </row>
    <row r="266" spans="1:27" x14ac:dyDescent="0.35">
      <c r="A266" s="19">
        <v>4074</v>
      </c>
      <c r="B266" s="20" t="s">
        <v>303</v>
      </c>
      <c r="C266" s="150">
        <v>1659238</v>
      </c>
      <c r="D266" s="150">
        <v>2587424</v>
      </c>
      <c r="E266" s="150">
        <v>2654164</v>
      </c>
      <c r="F266" s="10">
        <v>3715828</v>
      </c>
      <c r="G266" s="10">
        <v>170442</v>
      </c>
      <c r="H266" s="156">
        <v>0</v>
      </c>
      <c r="I266" s="150">
        <v>0</v>
      </c>
      <c r="J266" s="16">
        <v>0</v>
      </c>
      <c r="K266" s="150">
        <v>0</v>
      </c>
      <c r="L266" s="150">
        <v>150461</v>
      </c>
      <c r="M266" s="150">
        <v>153581</v>
      </c>
      <c r="N266" s="10">
        <v>152021.66</v>
      </c>
      <c r="O266" s="150">
        <v>1267336</v>
      </c>
      <c r="P266" s="150">
        <v>5190</v>
      </c>
      <c r="Q266" s="150">
        <v>147565</v>
      </c>
      <c r="R266" s="16">
        <v>12946</v>
      </c>
      <c r="S266" s="16">
        <v>0</v>
      </c>
      <c r="T266" s="150">
        <v>126038</v>
      </c>
      <c r="U266" s="150">
        <v>126038</v>
      </c>
      <c r="V266" s="150">
        <v>125636</v>
      </c>
      <c r="W266" s="150">
        <v>125904</v>
      </c>
      <c r="X266" s="150">
        <v>125904</v>
      </c>
      <c r="Y266" s="10">
        <v>209874</v>
      </c>
      <c r="Z266" s="16">
        <v>15001</v>
      </c>
      <c r="AA266" s="150">
        <v>69134</v>
      </c>
    </row>
    <row r="267" spans="1:27" x14ac:dyDescent="0.35">
      <c r="A267" s="19">
        <v>4088</v>
      </c>
      <c r="B267" s="20" t="s">
        <v>304</v>
      </c>
      <c r="C267" s="150">
        <v>1240815</v>
      </c>
      <c r="D267" s="150">
        <v>2177788</v>
      </c>
      <c r="E267" s="150">
        <v>2136627</v>
      </c>
      <c r="F267" s="10">
        <v>2991278</v>
      </c>
      <c r="G267" s="10">
        <v>137207</v>
      </c>
      <c r="H267" s="156">
        <v>0</v>
      </c>
      <c r="I267" s="150">
        <v>0</v>
      </c>
      <c r="J267" s="16">
        <v>0</v>
      </c>
      <c r="K267" s="150">
        <v>0</v>
      </c>
      <c r="L267" s="150">
        <v>0</v>
      </c>
      <c r="M267" s="150">
        <v>0</v>
      </c>
      <c r="N267" s="10">
        <v>0</v>
      </c>
      <c r="O267" s="150">
        <v>919338</v>
      </c>
      <c r="P267" s="150">
        <v>3765</v>
      </c>
      <c r="Q267" s="150">
        <v>39225</v>
      </c>
      <c r="R267" s="16">
        <v>3441</v>
      </c>
      <c r="S267" s="16">
        <v>0</v>
      </c>
      <c r="T267" s="150">
        <v>68273</v>
      </c>
      <c r="U267" s="150">
        <v>68273</v>
      </c>
      <c r="V267" s="150">
        <v>68054</v>
      </c>
      <c r="W267" s="150">
        <v>68200</v>
      </c>
      <c r="X267" s="150">
        <v>68200</v>
      </c>
      <c r="Y267" s="10">
        <v>113687</v>
      </c>
      <c r="Z267" s="16">
        <v>17915</v>
      </c>
      <c r="AA267" s="150">
        <v>58419</v>
      </c>
    </row>
    <row r="268" spans="1:27" x14ac:dyDescent="0.35">
      <c r="A268" s="19">
        <v>4095</v>
      </c>
      <c r="B268" s="20" t="s">
        <v>305</v>
      </c>
      <c r="C268" s="150">
        <v>2096731</v>
      </c>
      <c r="D268" s="150">
        <v>4108912</v>
      </c>
      <c r="E268" s="150">
        <v>3878527</v>
      </c>
      <c r="F268" s="10">
        <v>5429937</v>
      </c>
      <c r="G268" s="10">
        <v>249066</v>
      </c>
      <c r="H268" s="156">
        <v>0</v>
      </c>
      <c r="I268" s="150">
        <v>0</v>
      </c>
      <c r="J268" s="16">
        <v>0</v>
      </c>
      <c r="K268" s="150">
        <v>0</v>
      </c>
      <c r="L268" s="150">
        <v>0</v>
      </c>
      <c r="M268" s="150">
        <v>0</v>
      </c>
      <c r="N268" s="10">
        <v>0</v>
      </c>
      <c r="O268" s="150">
        <v>2068696</v>
      </c>
      <c r="P268" s="150">
        <v>8472</v>
      </c>
      <c r="Q268" s="150">
        <v>35770</v>
      </c>
      <c r="R268" s="16">
        <v>3138</v>
      </c>
      <c r="S268" s="16">
        <v>0</v>
      </c>
      <c r="T268" s="150">
        <v>213594</v>
      </c>
      <c r="U268" s="150">
        <v>213593</v>
      </c>
      <c r="V268" s="150">
        <v>212913</v>
      </c>
      <c r="W268" s="150">
        <v>213367</v>
      </c>
      <c r="X268" s="150">
        <v>213367</v>
      </c>
      <c r="Y268" s="10">
        <v>355669</v>
      </c>
      <c r="Z268" s="16">
        <v>3652</v>
      </c>
      <c r="AA268" s="150">
        <v>118507</v>
      </c>
    </row>
    <row r="269" spans="1:27" x14ac:dyDescent="0.35">
      <c r="A269" s="19">
        <v>4137</v>
      </c>
      <c r="B269" s="20" t="s">
        <v>306</v>
      </c>
      <c r="C269" s="150">
        <v>818162</v>
      </c>
      <c r="D269" s="150">
        <v>1522408</v>
      </c>
      <c r="E269" s="150">
        <v>1462856</v>
      </c>
      <c r="F269" s="10">
        <v>2047998</v>
      </c>
      <c r="G269" s="10">
        <v>93940</v>
      </c>
      <c r="H269" s="156">
        <v>0</v>
      </c>
      <c r="I269" s="150">
        <v>0</v>
      </c>
      <c r="J269" s="16">
        <v>0</v>
      </c>
      <c r="K269" s="150">
        <v>0</v>
      </c>
      <c r="L269" s="150">
        <v>0</v>
      </c>
      <c r="M269" s="150">
        <v>0</v>
      </c>
      <c r="N269" s="10">
        <v>0</v>
      </c>
      <c r="O269" s="150">
        <v>702674</v>
      </c>
      <c r="P269" s="150">
        <v>2878</v>
      </c>
      <c r="Q269" s="150">
        <v>23970</v>
      </c>
      <c r="R269" s="16">
        <v>2103</v>
      </c>
      <c r="S269" s="16">
        <v>0</v>
      </c>
      <c r="T269" s="150">
        <v>40929</v>
      </c>
      <c r="U269" s="150">
        <v>40731</v>
      </c>
      <c r="V269" s="150">
        <v>40700</v>
      </c>
      <c r="W269" s="150">
        <v>40787</v>
      </c>
      <c r="X269" s="150">
        <v>40787</v>
      </c>
      <c r="Y269" s="10">
        <v>67988</v>
      </c>
      <c r="Z269" s="16">
        <v>0</v>
      </c>
      <c r="AA269" s="150">
        <v>45767</v>
      </c>
    </row>
    <row r="270" spans="1:27" x14ac:dyDescent="0.35">
      <c r="A270" s="19">
        <v>4144</v>
      </c>
      <c r="B270" s="20" t="s">
        <v>307</v>
      </c>
      <c r="C270" s="150">
        <v>3056890</v>
      </c>
      <c r="D270" s="150">
        <v>5255480</v>
      </c>
      <c r="E270" s="150">
        <v>5195231</v>
      </c>
      <c r="F270" s="10">
        <v>7273324</v>
      </c>
      <c r="G270" s="10">
        <v>333621</v>
      </c>
      <c r="H270" s="156">
        <v>0</v>
      </c>
      <c r="I270" s="150">
        <v>0</v>
      </c>
      <c r="J270" s="16">
        <v>0</v>
      </c>
      <c r="K270" s="150">
        <v>0</v>
      </c>
      <c r="L270" s="150">
        <v>0</v>
      </c>
      <c r="M270" s="150">
        <v>0</v>
      </c>
      <c r="N270" s="10">
        <v>0</v>
      </c>
      <c r="O270" s="150">
        <v>2846312</v>
      </c>
      <c r="P270" s="150">
        <v>11657</v>
      </c>
      <c r="Q270" s="150">
        <v>80530</v>
      </c>
      <c r="R270" s="16">
        <v>7065</v>
      </c>
      <c r="S270" s="16">
        <v>0</v>
      </c>
      <c r="T270" s="150">
        <v>303853</v>
      </c>
      <c r="U270" s="150">
        <v>303853</v>
      </c>
      <c r="V270" s="150">
        <v>302883</v>
      </c>
      <c r="W270" s="150">
        <v>303530</v>
      </c>
      <c r="X270" s="150">
        <v>303530</v>
      </c>
      <c r="Y270" s="10">
        <v>505965</v>
      </c>
      <c r="Z270" s="16">
        <v>74768</v>
      </c>
      <c r="AA270" s="150">
        <v>151288</v>
      </c>
    </row>
    <row r="271" spans="1:27" x14ac:dyDescent="0.35">
      <c r="A271" s="19">
        <v>4165</v>
      </c>
      <c r="B271" s="20" t="s">
        <v>308</v>
      </c>
      <c r="C271" s="150">
        <v>1504084</v>
      </c>
      <c r="D271" s="150">
        <v>2541445</v>
      </c>
      <c r="E271" s="150">
        <v>2528456</v>
      </c>
      <c r="F271" s="10">
        <v>3539839</v>
      </c>
      <c r="G271" s="10">
        <v>162369</v>
      </c>
      <c r="H271" s="156">
        <v>0</v>
      </c>
      <c r="I271" s="150">
        <v>0</v>
      </c>
      <c r="J271" s="16">
        <v>0</v>
      </c>
      <c r="K271" s="150">
        <v>0</v>
      </c>
      <c r="L271" s="150">
        <v>0</v>
      </c>
      <c r="M271" s="150">
        <v>0</v>
      </c>
      <c r="N271" s="10">
        <v>0</v>
      </c>
      <c r="O271" s="150">
        <v>1147132</v>
      </c>
      <c r="P271" s="150">
        <v>4698</v>
      </c>
      <c r="Q271" s="150">
        <v>102595</v>
      </c>
      <c r="R271" s="16">
        <v>9000</v>
      </c>
      <c r="S271" s="16">
        <v>0</v>
      </c>
      <c r="T271" s="150">
        <v>99949</v>
      </c>
      <c r="U271" s="150">
        <v>99948</v>
      </c>
      <c r="V271" s="150">
        <v>99630</v>
      </c>
      <c r="W271" s="150">
        <v>99842</v>
      </c>
      <c r="X271" s="150">
        <v>99842</v>
      </c>
      <c r="Y271" s="10">
        <v>166431</v>
      </c>
      <c r="Z271" s="16">
        <v>0</v>
      </c>
      <c r="AA271" s="150">
        <v>71605</v>
      </c>
    </row>
    <row r="272" spans="1:27" x14ac:dyDescent="0.35">
      <c r="A272" s="19">
        <v>4179</v>
      </c>
      <c r="B272" s="20" t="s">
        <v>309</v>
      </c>
      <c r="C272" s="150">
        <v>8812982</v>
      </c>
      <c r="D272" s="150">
        <v>16294059</v>
      </c>
      <c r="E272" s="150">
        <v>15691900</v>
      </c>
      <c r="F272" s="10">
        <v>21968661</v>
      </c>
      <c r="G272" s="10">
        <v>1007683</v>
      </c>
      <c r="H272" s="156">
        <v>0</v>
      </c>
      <c r="I272" s="150">
        <v>0</v>
      </c>
      <c r="J272" s="16">
        <v>0</v>
      </c>
      <c r="K272" s="150">
        <v>0</v>
      </c>
      <c r="L272" s="150">
        <v>284991</v>
      </c>
      <c r="M272" s="150">
        <v>295135</v>
      </c>
      <c r="N272" s="10">
        <v>290064.44</v>
      </c>
      <c r="O272" s="150">
        <v>7141008</v>
      </c>
      <c r="P272" s="150">
        <v>29246</v>
      </c>
      <c r="Q272" s="150">
        <v>85595</v>
      </c>
      <c r="R272" s="16">
        <v>7509</v>
      </c>
      <c r="S272" s="16">
        <v>0</v>
      </c>
      <c r="T272" s="150">
        <v>1055741</v>
      </c>
      <c r="U272" s="150">
        <v>1055376</v>
      </c>
      <c r="V272" s="150">
        <v>1052191</v>
      </c>
      <c r="W272" s="150">
        <v>1054436</v>
      </c>
      <c r="X272" s="150">
        <v>1054436</v>
      </c>
      <c r="Y272" s="10">
        <v>1757632</v>
      </c>
      <c r="Z272" s="16">
        <v>0</v>
      </c>
      <c r="AA272" s="150">
        <v>421750</v>
      </c>
    </row>
    <row r="273" spans="1:27" x14ac:dyDescent="0.35">
      <c r="A273" s="19">
        <v>4186</v>
      </c>
      <c r="B273" s="20" t="s">
        <v>310</v>
      </c>
      <c r="C273" s="150">
        <v>888052</v>
      </c>
      <c r="D273" s="150">
        <v>1642662</v>
      </c>
      <c r="E273" s="150">
        <v>1581696</v>
      </c>
      <c r="F273" s="10">
        <v>2214375</v>
      </c>
      <c r="G273" s="10">
        <v>101571</v>
      </c>
      <c r="H273" s="156">
        <v>0</v>
      </c>
      <c r="I273" s="150">
        <v>0</v>
      </c>
      <c r="J273" s="16">
        <v>0</v>
      </c>
      <c r="K273" s="150">
        <v>0</v>
      </c>
      <c r="L273" s="150">
        <v>78771</v>
      </c>
      <c r="M273" s="150">
        <v>76745</v>
      </c>
      <c r="N273" s="10">
        <v>77757.94</v>
      </c>
      <c r="O273" s="150">
        <v>636636</v>
      </c>
      <c r="P273" s="150">
        <v>2607</v>
      </c>
      <c r="Q273" s="150">
        <v>68785</v>
      </c>
      <c r="R273" s="16">
        <v>6034</v>
      </c>
      <c r="S273" s="16">
        <v>65980</v>
      </c>
      <c r="T273" s="150">
        <v>45288</v>
      </c>
      <c r="U273" s="150">
        <v>45287</v>
      </c>
      <c r="V273" s="150">
        <v>45143</v>
      </c>
      <c r="W273" s="150">
        <v>45240</v>
      </c>
      <c r="X273" s="150">
        <v>45239</v>
      </c>
      <c r="Y273" s="10">
        <v>75412</v>
      </c>
      <c r="Z273" s="16">
        <v>22296</v>
      </c>
      <c r="AA273" s="150">
        <v>49572</v>
      </c>
    </row>
    <row r="274" spans="1:27" x14ac:dyDescent="0.35">
      <c r="A274" s="19">
        <v>4207</v>
      </c>
      <c r="B274" s="20" t="s">
        <v>311</v>
      </c>
      <c r="C274" s="150">
        <v>459263</v>
      </c>
      <c r="D274" s="150">
        <v>879077</v>
      </c>
      <c r="E274" s="150">
        <v>836463</v>
      </c>
      <c r="F274" s="10">
        <v>1171047</v>
      </c>
      <c r="G274" s="10">
        <v>53715</v>
      </c>
      <c r="H274" s="156">
        <v>0</v>
      </c>
      <c r="I274" s="150">
        <v>0</v>
      </c>
      <c r="J274" s="16">
        <v>0</v>
      </c>
      <c r="K274" s="150">
        <v>32133</v>
      </c>
      <c r="L274" s="150">
        <v>70805</v>
      </c>
      <c r="M274" s="150">
        <v>68985</v>
      </c>
      <c r="N274" s="10">
        <v>69894.44</v>
      </c>
      <c r="O274" s="150">
        <v>358386</v>
      </c>
      <c r="P274" s="150">
        <v>1468</v>
      </c>
      <c r="Q274" s="150">
        <v>17965</v>
      </c>
      <c r="R274" s="16">
        <v>1576</v>
      </c>
      <c r="S274" s="16">
        <v>85217</v>
      </c>
      <c r="T274" s="150">
        <v>18965</v>
      </c>
      <c r="U274" s="150">
        <v>18964</v>
      </c>
      <c r="V274" s="150">
        <v>18904</v>
      </c>
      <c r="W274" s="150">
        <v>18945</v>
      </c>
      <c r="X274" s="150">
        <v>18944</v>
      </c>
      <c r="Y274" s="10">
        <v>31581</v>
      </c>
      <c r="Z274" s="16">
        <v>9901</v>
      </c>
      <c r="AA274" s="150">
        <v>34551</v>
      </c>
    </row>
    <row r="275" spans="1:27" x14ac:dyDescent="0.35">
      <c r="A275" s="19">
        <v>4221</v>
      </c>
      <c r="B275" s="20" t="s">
        <v>312</v>
      </c>
      <c r="C275" s="150">
        <v>507484</v>
      </c>
      <c r="D275" s="150">
        <v>707386</v>
      </c>
      <c r="E275" s="150">
        <v>759294</v>
      </c>
      <c r="F275" s="10">
        <v>1063011</v>
      </c>
      <c r="G275" s="10">
        <v>48759</v>
      </c>
      <c r="H275" s="156">
        <v>5411</v>
      </c>
      <c r="I275" s="150">
        <v>3382</v>
      </c>
      <c r="J275" s="16">
        <v>4735</v>
      </c>
      <c r="K275" s="150">
        <v>0</v>
      </c>
      <c r="L275" s="150">
        <v>0</v>
      </c>
      <c r="M275" s="150">
        <v>0</v>
      </c>
      <c r="N275" s="10">
        <v>0</v>
      </c>
      <c r="O275" s="150">
        <v>736806</v>
      </c>
      <c r="P275" s="150">
        <v>3018</v>
      </c>
      <c r="Q275" s="150">
        <v>18135</v>
      </c>
      <c r="R275" s="16">
        <v>1591</v>
      </c>
      <c r="S275" s="16">
        <v>32488</v>
      </c>
      <c r="T275" s="150">
        <v>51577</v>
      </c>
      <c r="U275" s="150">
        <v>51577</v>
      </c>
      <c r="V275" s="150">
        <v>51412</v>
      </c>
      <c r="W275" s="150">
        <v>55697</v>
      </c>
      <c r="X275" s="150">
        <v>52566</v>
      </c>
      <c r="Y275" s="10">
        <v>80666</v>
      </c>
      <c r="Z275" s="16">
        <v>0</v>
      </c>
      <c r="AA275" s="150">
        <v>44064</v>
      </c>
    </row>
    <row r="276" spans="1:27" x14ac:dyDescent="0.35">
      <c r="A276" s="19">
        <v>4228</v>
      </c>
      <c r="B276" s="20" t="s">
        <v>313</v>
      </c>
      <c r="C276" s="150">
        <v>634542</v>
      </c>
      <c r="D276" s="150">
        <v>1185690</v>
      </c>
      <c r="E276" s="150">
        <v>1137645</v>
      </c>
      <c r="F276" s="10">
        <v>1592703</v>
      </c>
      <c r="G276" s="10">
        <v>73056</v>
      </c>
      <c r="H276" s="156">
        <v>0</v>
      </c>
      <c r="I276" s="150">
        <v>0</v>
      </c>
      <c r="J276" s="16">
        <v>0</v>
      </c>
      <c r="K276" s="150">
        <v>0</v>
      </c>
      <c r="L276" s="150">
        <v>0</v>
      </c>
      <c r="M276" s="150">
        <v>0</v>
      </c>
      <c r="N276" s="10">
        <v>0</v>
      </c>
      <c r="O276" s="150">
        <v>628474</v>
      </c>
      <c r="P276" s="150">
        <v>2574</v>
      </c>
      <c r="Q276" s="150">
        <v>22335</v>
      </c>
      <c r="R276" s="16">
        <v>1959</v>
      </c>
      <c r="S276" s="16">
        <v>0</v>
      </c>
      <c r="T276" s="150">
        <v>16552</v>
      </c>
      <c r="U276" s="150">
        <v>16551</v>
      </c>
      <c r="V276" s="150">
        <v>16498</v>
      </c>
      <c r="W276" s="150">
        <v>16533</v>
      </c>
      <c r="X276" s="150">
        <v>16534</v>
      </c>
      <c r="Y276" s="10">
        <v>27561</v>
      </c>
      <c r="Z276" s="16">
        <v>13273</v>
      </c>
      <c r="AA276" s="150">
        <v>51275</v>
      </c>
    </row>
    <row r="277" spans="1:27" x14ac:dyDescent="0.35">
      <c r="A277" s="19">
        <v>4235</v>
      </c>
      <c r="B277" s="20" t="s">
        <v>314</v>
      </c>
      <c r="C277" s="150">
        <v>5722</v>
      </c>
      <c r="D277" s="150">
        <v>9778</v>
      </c>
      <c r="E277" s="150">
        <v>9687</v>
      </c>
      <c r="F277" s="10">
        <v>13562</v>
      </c>
      <c r="G277" s="10">
        <v>622</v>
      </c>
      <c r="H277" s="156">
        <v>18865</v>
      </c>
      <c r="I277" s="150">
        <v>11791</v>
      </c>
      <c r="J277" s="16">
        <v>16506</v>
      </c>
      <c r="K277" s="150">
        <v>0</v>
      </c>
      <c r="L277" s="150">
        <v>0</v>
      </c>
      <c r="M277" s="150">
        <v>0</v>
      </c>
      <c r="N277" s="10">
        <v>0</v>
      </c>
      <c r="O277" s="150">
        <v>120946</v>
      </c>
      <c r="P277" s="150">
        <v>495</v>
      </c>
      <c r="Q277" s="150">
        <v>5770</v>
      </c>
      <c r="R277" s="16">
        <v>506</v>
      </c>
      <c r="S277" s="16">
        <v>2515</v>
      </c>
      <c r="T277" s="150">
        <v>14609</v>
      </c>
      <c r="U277" s="150">
        <v>14609</v>
      </c>
      <c r="V277" s="150">
        <v>14563</v>
      </c>
      <c r="W277" s="150">
        <v>14594</v>
      </c>
      <c r="X277" s="150">
        <v>14594</v>
      </c>
      <c r="Y277" s="10">
        <v>24327</v>
      </c>
      <c r="Z277" s="16">
        <v>14335</v>
      </c>
      <c r="AA277" s="150">
        <v>6076</v>
      </c>
    </row>
    <row r="278" spans="1:27" x14ac:dyDescent="0.35">
      <c r="A278" s="19">
        <v>4151</v>
      </c>
      <c r="B278" s="20" t="s">
        <v>315</v>
      </c>
      <c r="C278" s="150">
        <v>801306</v>
      </c>
      <c r="D278" s="150">
        <v>1329325</v>
      </c>
      <c r="E278" s="150">
        <v>1331644</v>
      </c>
      <c r="F278" s="10">
        <v>1864302</v>
      </c>
      <c r="G278" s="10">
        <v>85514</v>
      </c>
      <c r="H278" s="156">
        <v>0</v>
      </c>
      <c r="I278" s="150">
        <v>0</v>
      </c>
      <c r="J278" s="16">
        <v>0</v>
      </c>
      <c r="K278" s="150">
        <v>0</v>
      </c>
      <c r="L278" s="150">
        <v>0</v>
      </c>
      <c r="M278" s="150">
        <v>0</v>
      </c>
      <c r="N278" s="10">
        <v>0</v>
      </c>
      <c r="O278" s="150">
        <v>612150</v>
      </c>
      <c r="P278" s="150">
        <v>2507</v>
      </c>
      <c r="Q278" s="150">
        <v>32155</v>
      </c>
      <c r="R278" s="16">
        <v>2821</v>
      </c>
      <c r="S278" s="16">
        <v>0</v>
      </c>
      <c r="T278" s="150">
        <v>51659</v>
      </c>
      <c r="U278" s="150">
        <v>51886</v>
      </c>
      <c r="V278" s="150">
        <v>51607</v>
      </c>
      <c r="W278" s="150">
        <v>51717</v>
      </c>
      <c r="X278" s="150">
        <v>51718</v>
      </c>
      <c r="Y278" s="10">
        <v>86211</v>
      </c>
      <c r="Z278" s="16">
        <v>0</v>
      </c>
      <c r="AA278" s="150">
        <v>36053</v>
      </c>
    </row>
    <row r="279" spans="1:27" x14ac:dyDescent="0.35">
      <c r="A279" s="19">
        <v>490</v>
      </c>
      <c r="B279" s="20" t="s">
        <v>316</v>
      </c>
      <c r="C279" s="150">
        <v>382654</v>
      </c>
      <c r="D279" s="150">
        <v>644506</v>
      </c>
      <c r="E279" s="150">
        <v>641975</v>
      </c>
      <c r="F279" s="10">
        <v>898765</v>
      </c>
      <c r="G279" s="10">
        <v>41226</v>
      </c>
      <c r="H279" s="156">
        <v>0</v>
      </c>
      <c r="I279" s="150">
        <v>0</v>
      </c>
      <c r="J279" s="16">
        <v>0</v>
      </c>
      <c r="K279" s="150">
        <v>0</v>
      </c>
      <c r="L279" s="150">
        <v>34518</v>
      </c>
      <c r="M279" s="150">
        <v>33630</v>
      </c>
      <c r="N279" s="10">
        <v>34073.17</v>
      </c>
      <c r="O279" s="150">
        <v>309414</v>
      </c>
      <c r="P279" s="150">
        <v>1267</v>
      </c>
      <c r="Q279" s="150">
        <v>28515</v>
      </c>
      <c r="R279" s="16">
        <v>2502</v>
      </c>
      <c r="S279" s="16">
        <v>30244</v>
      </c>
      <c r="T279" s="150">
        <v>28814</v>
      </c>
      <c r="U279" s="150">
        <v>28815</v>
      </c>
      <c r="V279" s="150">
        <v>28722</v>
      </c>
      <c r="W279" s="150">
        <v>28783</v>
      </c>
      <c r="X279" s="150">
        <v>28784</v>
      </c>
      <c r="Y279" s="10">
        <v>47980</v>
      </c>
      <c r="Z279" s="16">
        <v>0</v>
      </c>
      <c r="AA279" s="150">
        <v>20196</v>
      </c>
    </row>
    <row r="280" spans="1:27" x14ac:dyDescent="0.35">
      <c r="A280" s="19">
        <v>4270</v>
      </c>
      <c r="B280" s="20" t="s">
        <v>47</v>
      </c>
      <c r="C280" s="150">
        <v>28173</v>
      </c>
      <c r="D280" s="150">
        <v>195855</v>
      </c>
      <c r="E280" s="150">
        <v>140018</v>
      </c>
      <c r="F280" s="10">
        <v>196025</v>
      </c>
      <c r="G280" s="10">
        <v>8991</v>
      </c>
      <c r="H280" s="156">
        <v>0</v>
      </c>
      <c r="I280" s="150">
        <v>0</v>
      </c>
      <c r="J280" s="16">
        <v>0</v>
      </c>
      <c r="K280" s="150">
        <v>0</v>
      </c>
      <c r="L280" s="150">
        <v>18586</v>
      </c>
      <c r="M280" s="150">
        <v>18108</v>
      </c>
      <c r="N280" s="10">
        <v>18348.169999999998</v>
      </c>
      <c r="O280" s="150">
        <v>181790</v>
      </c>
      <c r="P280" s="150">
        <v>745</v>
      </c>
      <c r="Q280" s="150">
        <v>20225</v>
      </c>
      <c r="R280" s="16">
        <v>1774</v>
      </c>
      <c r="S280" s="16">
        <v>30507</v>
      </c>
      <c r="T280" s="150">
        <v>19613</v>
      </c>
      <c r="U280" s="150">
        <v>19613</v>
      </c>
      <c r="V280" s="150">
        <v>19550</v>
      </c>
      <c r="W280" s="150">
        <v>19592</v>
      </c>
      <c r="X280" s="150">
        <v>19593</v>
      </c>
      <c r="Y280" s="10">
        <v>32659</v>
      </c>
      <c r="Z280" s="16">
        <v>0</v>
      </c>
      <c r="AA280" s="150">
        <v>9881</v>
      </c>
    </row>
    <row r="281" spans="1:27" x14ac:dyDescent="0.35">
      <c r="A281" s="19">
        <v>4305</v>
      </c>
      <c r="B281" s="20" t="s">
        <v>317</v>
      </c>
      <c r="C281" s="150">
        <v>1108513</v>
      </c>
      <c r="D281" s="150">
        <v>1846200</v>
      </c>
      <c r="E281" s="150">
        <v>1846696</v>
      </c>
      <c r="F281" s="10">
        <v>2585374</v>
      </c>
      <c r="G281" s="10">
        <v>118589</v>
      </c>
      <c r="H281" s="156">
        <v>0</v>
      </c>
      <c r="I281" s="150">
        <v>0</v>
      </c>
      <c r="J281" s="16">
        <v>0</v>
      </c>
      <c r="K281" s="150">
        <v>0</v>
      </c>
      <c r="L281" s="150">
        <v>106208</v>
      </c>
      <c r="M281" s="150">
        <v>103476</v>
      </c>
      <c r="N281" s="10">
        <v>104842.66</v>
      </c>
      <c r="O281" s="150">
        <v>735322</v>
      </c>
      <c r="P281" s="150">
        <v>3012</v>
      </c>
      <c r="Q281" s="150">
        <v>27700</v>
      </c>
      <c r="R281" s="16">
        <v>2430</v>
      </c>
      <c r="S281" s="16">
        <v>0</v>
      </c>
      <c r="T281" s="150">
        <v>56077</v>
      </c>
      <c r="U281" s="150">
        <v>56077</v>
      </c>
      <c r="V281" s="150">
        <v>55898</v>
      </c>
      <c r="W281" s="150">
        <v>56017</v>
      </c>
      <c r="X281" s="150">
        <v>56018</v>
      </c>
      <c r="Y281" s="10">
        <v>93379</v>
      </c>
      <c r="Z281" s="16">
        <v>0</v>
      </c>
      <c r="AA281" s="150">
        <v>42295</v>
      </c>
    </row>
    <row r="282" spans="1:27" x14ac:dyDescent="0.35">
      <c r="A282" s="19">
        <v>4312</v>
      </c>
      <c r="B282" s="20" t="s">
        <v>318</v>
      </c>
      <c r="C282" s="150">
        <v>1157400</v>
      </c>
      <c r="D282" s="150">
        <v>112664</v>
      </c>
      <c r="E282" s="150">
        <v>793790</v>
      </c>
      <c r="F282" s="10">
        <v>1111306</v>
      </c>
      <c r="G282" s="10">
        <v>50975</v>
      </c>
      <c r="H282" s="156">
        <v>1359110</v>
      </c>
      <c r="I282" s="150">
        <v>849444</v>
      </c>
      <c r="J282" s="16">
        <v>1189220</v>
      </c>
      <c r="K282" s="150">
        <v>0</v>
      </c>
      <c r="L282" s="150">
        <v>0</v>
      </c>
      <c r="M282" s="150">
        <v>0</v>
      </c>
      <c r="N282" s="10">
        <v>0</v>
      </c>
      <c r="O282" s="150">
        <v>2046436</v>
      </c>
      <c r="P282" s="150">
        <v>8381</v>
      </c>
      <c r="Q282" s="150">
        <v>73890</v>
      </c>
      <c r="R282" s="16">
        <v>6482</v>
      </c>
      <c r="S282" s="16">
        <v>0</v>
      </c>
      <c r="T282" s="150">
        <v>156779</v>
      </c>
      <c r="U282" s="150">
        <v>156778</v>
      </c>
      <c r="V282" s="150">
        <v>156279</v>
      </c>
      <c r="W282" s="150">
        <v>156613</v>
      </c>
      <c r="X282" s="150">
        <v>156612</v>
      </c>
      <c r="Y282" s="10">
        <v>261064</v>
      </c>
      <c r="Z282" s="16">
        <v>4809</v>
      </c>
      <c r="AA282" s="150">
        <v>117205</v>
      </c>
    </row>
    <row r="283" spans="1:27" x14ac:dyDescent="0.35">
      <c r="A283" s="19">
        <v>4330</v>
      </c>
      <c r="B283" s="20" t="s">
        <v>11</v>
      </c>
      <c r="C283" s="150">
        <v>0</v>
      </c>
      <c r="D283" s="150">
        <v>0</v>
      </c>
      <c r="E283" s="150">
        <v>0</v>
      </c>
      <c r="F283" s="10">
        <v>0</v>
      </c>
      <c r="G283" s="10">
        <v>0</v>
      </c>
      <c r="H283" s="156">
        <v>1237</v>
      </c>
      <c r="I283" s="150">
        <v>773</v>
      </c>
      <c r="J283" s="16">
        <v>1083</v>
      </c>
      <c r="K283" s="150">
        <v>9058</v>
      </c>
      <c r="L283" s="150">
        <v>14161</v>
      </c>
      <c r="M283" s="150">
        <v>13797</v>
      </c>
      <c r="N283" s="10">
        <v>13978.89</v>
      </c>
      <c r="O283" s="150">
        <v>89040</v>
      </c>
      <c r="P283" s="150">
        <v>365</v>
      </c>
      <c r="Q283" s="150">
        <v>9435</v>
      </c>
      <c r="R283" s="16">
        <v>828</v>
      </c>
      <c r="S283" s="16">
        <v>25817</v>
      </c>
      <c r="T283" s="150">
        <v>4676</v>
      </c>
      <c r="U283" s="150">
        <v>4676</v>
      </c>
      <c r="V283" s="150">
        <v>4661</v>
      </c>
      <c r="W283" s="150">
        <v>4670</v>
      </c>
      <c r="X283" s="150">
        <v>4671</v>
      </c>
      <c r="Y283" s="10">
        <v>7787</v>
      </c>
      <c r="Z283" s="16">
        <v>0</v>
      </c>
      <c r="AA283" s="150">
        <v>5274</v>
      </c>
    </row>
    <row r="284" spans="1:27" x14ac:dyDescent="0.35">
      <c r="A284" s="19">
        <v>4347</v>
      </c>
      <c r="B284" s="20" t="s">
        <v>319</v>
      </c>
      <c r="C284" s="150">
        <v>499465</v>
      </c>
      <c r="D284" s="150">
        <v>864995</v>
      </c>
      <c r="E284" s="150">
        <v>852788</v>
      </c>
      <c r="F284" s="10">
        <v>1193903</v>
      </c>
      <c r="G284" s="10">
        <v>54763</v>
      </c>
      <c r="H284" s="156">
        <v>0</v>
      </c>
      <c r="I284" s="150">
        <v>0</v>
      </c>
      <c r="J284" s="16">
        <v>0</v>
      </c>
      <c r="K284" s="150">
        <v>0</v>
      </c>
      <c r="L284" s="150">
        <v>68150</v>
      </c>
      <c r="M284" s="150">
        <v>66398</v>
      </c>
      <c r="N284" s="10">
        <v>67273.279999999999</v>
      </c>
      <c r="O284" s="150">
        <v>560210</v>
      </c>
      <c r="P284" s="150">
        <v>2294</v>
      </c>
      <c r="Q284" s="150">
        <v>56210</v>
      </c>
      <c r="R284" s="16">
        <v>4931</v>
      </c>
      <c r="S284" s="16">
        <v>91662</v>
      </c>
      <c r="T284" s="150">
        <v>47963</v>
      </c>
      <c r="U284" s="150">
        <v>47964</v>
      </c>
      <c r="V284" s="150">
        <v>47809</v>
      </c>
      <c r="W284" s="150">
        <v>47912</v>
      </c>
      <c r="X284" s="150">
        <v>47912</v>
      </c>
      <c r="Y284" s="10">
        <v>79868</v>
      </c>
      <c r="Z284" s="16">
        <v>0</v>
      </c>
      <c r="AA284" s="150">
        <v>30979</v>
      </c>
    </row>
    <row r="285" spans="1:27" x14ac:dyDescent="0.35">
      <c r="A285" s="19">
        <v>4368</v>
      </c>
      <c r="B285" s="20" t="s">
        <v>320</v>
      </c>
      <c r="C285" s="150">
        <v>480307</v>
      </c>
      <c r="D285" s="150">
        <v>848982</v>
      </c>
      <c r="E285" s="150">
        <v>830806</v>
      </c>
      <c r="F285" s="10">
        <v>1163128</v>
      </c>
      <c r="G285" s="10">
        <v>53352</v>
      </c>
      <c r="H285" s="156">
        <v>0</v>
      </c>
      <c r="I285" s="150">
        <v>0</v>
      </c>
      <c r="J285" s="16">
        <v>0</v>
      </c>
      <c r="K285" s="150">
        <v>0</v>
      </c>
      <c r="L285" s="150">
        <v>47794</v>
      </c>
      <c r="M285" s="150">
        <v>46564</v>
      </c>
      <c r="N285" s="10">
        <v>47179</v>
      </c>
      <c r="O285" s="150">
        <v>413294</v>
      </c>
      <c r="P285" s="150">
        <v>1693</v>
      </c>
      <c r="Q285" s="150">
        <v>44440</v>
      </c>
      <c r="R285" s="16">
        <v>3899</v>
      </c>
      <c r="S285" s="16">
        <v>109975</v>
      </c>
      <c r="T285" s="150">
        <v>26920</v>
      </c>
      <c r="U285" s="150">
        <v>26920</v>
      </c>
      <c r="V285" s="150">
        <v>26833</v>
      </c>
      <c r="W285" s="150">
        <v>26891</v>
      </c>
      <c r="X285" s="150">
        <v>26892</v>
      </c>
      <c r="Y285" s="10">
        <v>44827</v>
      </c>
      <c r="Z285" s="16">
        <v>6255</v>
      </c>
      <c r="AA285" s="150">
        <v>25137</v>
      </c>
    </row>
    <row r="286" spans="1:27" x14ac:dyDescent="0.35">
      <c r="A286" s="19">
        <v>4389</v>
      </c>
      <c r="B286" s="20" t="s">
        <v>321</v>
      </c>
      <c r="C286" s="150">
        <v>1237415</v>
      </c>
      <c r="D286" s="150">
        <v>2340196</v>
      </c>
      <c r="E286" s="150">
        <v>2236007</v>
      </c>
      <c r="F286" s="10">
        <v>3130409</v>
      </c>
      <c r="G286" s="10">
        <v>143589</v>
      </c>
      <c r="H286" s="156">
        <v>0</v>
      </c>
      <c r="I286" s="150">
        <v>0</v>
      </c>
      <c r="J286" s="16">
        <v>0</v>
      </c>
      <c r="K286" s="150">
        <v>0</v>
      </c>
      <c r="L286" s="150">
        <v>0</v>
      </c>
      <c r="M286" s="150">
        <v>0</v>
      </c>
      <c r="N286" s="10">
        <v>0</v>
      </c>
      <c r="O286" s="150">
        <v>1119678</v>
      </c>
      <c r="P286" s="150">
        <v>4586</v>
      </c>
      <c r="Q286" s="150">
        <v>31575</v>
      </c>
      <c r="R286" s="16">
        <v>2770</v>
      </c>
      <c r="S286" s="16">
        <v>0</v>
      </c>
      <c r="T286" s="150">
        <v>98199</v>
      </c>
      <c r="U286" s="150">
        <v>98199</v>
      </c>
      <c r="V286" s="150">
        <v>97886</v>
      </c>
      <c r="W286" s="150">
        <v>98094</v>
      </c>
      <c r="X286" s="150">
        <v>98095</v>
      </c>
      <c r="Y286" s="10">
        <v>163518</v>
      </c>
      <c r="Z286" s="16">
        <v>9215</v>
      </c>
      <c r="AA286" s="150">
        <v>59587</v>
      </c>
    </row>
    <row r="287" spans="1:27" x14ac:dyDescent="0.35">
      <c r="A287" s="19">
        <v>4459</v>
      </c>
      <c r="B287" s="20" t="s">
        <v>322</v>
      </c>
      <c r="C287" s="150">
        <v>259552</v>
      </c>
      <c r="D287" s="150">
        <v>336536</v>
      </c>
      <c r="E287" s="150">
        <v>372555</v>
      </c>
      <c r="F287" s="10">
        <v>521577</v>
      </c>
      <c r="G287" s="10">
        <v>23924</v>
      </c>
      <c r="H287" s="156">
        <v>0</v>
      </c>
      <c r="I287" s="150">
        <v>0</v>
      </c>
      <c r="J287" s="16">
        <v>0</v>
      </c>
      <c r="K287" s="150">
        <v>0</v>
      </c>
      <c r="L287" s="150">
        <v>0</v>
      </c>
      <c r="M287" s="150">
        <v>0</v>
      </c>
      <c r="N287" s="10">
        <v>0</v>
      </c>
      <c r="O287" s="150">
        <v>187726</v>
      </c>
      <c r="P287" s="150">
        <v>769</v>
      </c>
      <c r="Q287" s="150">
        <v>20275</v>
      </c>
      <c r="R287" s="16">
        <v>1779</v>
      </c>
      <c r="S287" s="16">
        <v>82478</v>
      </c>
      <c r="T287" s="150">
        <v>18946</v>
      </c>
      <c r="U287" s="150">
        <v>18946</v>
      </c>
      <c r="V287" s="150">
        <v>18885</v>
      </c>
      <c r="W287" s="150">
        <v>18925</v>
      </c>
      <c r="X287" s="150">
        <v>18926</v>
      </c>
      <c r="Y287" s="10">
        <v>31546</v>
      </c>
      <c r="Z287" s="16">
        <v>6525</v>
      </c>
      <c r="AA287" s="150">
        <v>14288</v>
      </c>
    </row>
    <row r="288" spans="1:27" x14ac:dyDescent="0.35">
      <c r="A288" s="19">
        <v>4473</v>
      </c>
      <c r="B288" s="20" t="s">
        <v>323</v>
      </c>
      <c r="C288" s="150">
        <v>1736142</v>
      </c>
      <c r="D288" s="150">
        <v>3154362</v>
      </c>
      <c r="E288" s="150">
        <v>3056565</v>
      </c>
      <c r="F288" s="10">
        <v>4279190</v>
      </c>
      <c r="G288" s="10">
        <v>196283</v>
      </c>
      <c r="H288" s="156">
        <v>0</v>
      </c>
      <c r="I288" s="150">
        <v>0</v>
      </c>
      <c r="J288" s="16">
        <v>0</v>
      </c>
      <c r="K288" s="150">
        <v>0</v>
      </c>
      <c r="L288" s="150">
        <v>0</v>
      </c>
      <c r="M288" s="150">
        <v>0</v>
      </c>
      <c r="N288" s="10">
        <v>0</v>
      </c>
      <c r="O288" s="150">
        <v>1607172</v>
      </c>
      <c r="P288" s="150">
        <v>6582</v>
      </c>
      <c r="Q288" s="150">
        <v>46240</v>
      </c>
      <c r="R288" s="16">
        <v>4057</v>
      </c>
      <c r="S288" s="16">
        <v>0</v>
      </c>
      <c r="T288" s="150">
        <v>170243</v>
      </c>
      <c r="U288" s="150">
        <v>170243</v>
      </c>
      <c r="V288" s="150">
        <v>169699</v>
      </c>
      <c r="W288" s="150">
        <v>170061</v>
      </c>
      <c r="X288" s="150">
        <v>170062</v>
      </c>
      <c r="Y288" s="10">
        <v>283485</v>
      </c>
      <c r="Z288" s="16">
        <v>0</v>
      </c>
      <c r="AA288" s="150">
        <v>102917</v>
      </c>
    </row>
    <row r="289" spans="1:27" x14ac:dyDescent="0.35">
      <c r="A289" s="19">
        <v>4508</v>
      </c>
      <c r="B289" s="20" t="s">
        <v>324</v>
      </c>
      <c r="C289" s="150">
        <v>471095</v>
      </c>
      <c r="D289" s="150">
        <v>927390</v>
      </c>
      <c r="E289" s="150">
        <v>874053</v>
      </c>
      <c r="F289" s="10">
        <v>1223675</v>
      </c>
      <c r="G289" s="10">
        <v>56129</v>
      </c>
      <c r="H289" s="156">
        <v>0</v>
      </c>
      <c r="I289" s="150">
        <v>0</v>
      </c>
      <c r="J289" s="16">
        <v>0</v>
      </c>
      <c r="K289" s="150">
        <v>0</v>
      </c>
      <c r="L289" s="150">
        <v>0</v>
      </c>
      <c r="M289" s="150">
        <v>0</v>
      </c>
      <c r="N289" s="10">
        <v>0</v>
      </c>
      <c r="O289" s="150">
        <v>327222</v>
      </c>
      <c r="P289" s="150">
        <v>1340</v>
      </c>
      <c r="Q289" s="150">
        <v>7205</v>
      </c>
      <c r="R289" s="16">
        <v>632</v>
      </c>
      <c r="S289" s="16">
        <v>0</v>
      </c>
      <c r="T289" s="150">
        <v>18122</v>
      </c>
      <c r="U289" s="150">
        <v>17887</v>
      </c>
      <c r="V289" s="150">
        <v>17946</v>
      </c>
      <c r="W289" s="150">
        <v>17986</v>
      </c>
      <c r="X289" s="150">
        <v>17985</v>
      </c>
      <c r="Y289" s="10">
        <v>29980</v>
      </c>
      <c r="Z289" s="16">
        <v>0</v>
      </c>
      <c r="AA289" s="150">
        <v>18427</v>
      </c>
    </row>
    <row r="290" spans="1:27" x14ac:dyDescent="0.35">
      <c r="A290" s="19">
        <v>4515</v>
      </c>
      <c r="B290" s="20" t="s">
        <v>325</v>
      </c>
      <c r="C290" s="150">
        <v>2027334</v>
      </c>
      <c r="D290" s="150">
        <v>3821073</v>
      </c>
      <c r="E290" s="150">
        <v>3655254</v>
      </c>
      <c r="F290" s="10">
        <v>5117356</v>
      </c>
      <c r="G290" s="10">
        <v>234729</v>
      </c>
      <c r="H290" s="156">
        <v>0</v>
      </c>
      <c r="I290" s="150">
        <v>0</v>
      </c>
      <c r="J290" s="16">
        <v>0</v>
      </c>
      <c r="K290" s="150">
        <v>0</v>
      </c>
      <c r="L290" s="150">
        <v>0</v>
      </c>
      <c r="M290" s="150">
        <v>0</v>
      </c>
      <c r="N290" s="10">
        <v>0</v>
      </c>
      <c r="O290" s="150">
        <v>1885422</v>
      </c>
      <c r="P290" s="150">
        <v>7722</v>
      </c>
      <c r="Q290" s="150">
        <v>39325</v>
      </c>
      <c r="R290" s="16">
        <v>3450</v>
      </c>
      <c r="S290" s="16">
        <v>0</v>
      </c>
      <c r="T290" s="150">
        <v>211063</v>
      </c>
      <c r="U290" s="150">
        <v>211062</v>
      </c>
      <c r="V290" s="150">
        <v>210391</v>
      </c>
      <c r="W290" s="150">
        <v>210838</v>
      </c>
      <c r="X290" s="150">
        <v>210839</v>
      </c>
      <c r="Y290" s="10">
        <v>351455</v>
      </c>
      <c r="Z290" s="16">
        <v>3929</v>
      </c>
      <c r="AA290" s="150">
        <v>127987</v>
      </c>
    </row>
    <row r="291" spans="1:27" x14ac:dyDescent="0.35">
      <c r="A291" s="19">
        <v>4501</v>
      </c>
      <c r="B291" s="20" t="s">
        <v>326</v>
      </c>
      <c r="C291" s="150">
        <v>1902092</v>
      </c>
      <c r="D291" s="150">
        <v>3337366</v>
      </c>
      <c r="E291" s="150">
        <v>3274661</v>
      </c>
      <c r="F291" s="10">
        <v>4584526</v>
      </c>
      <c r="G291" s="10">
        <v>210288</v>
      </c>
      <c r="H291" s="156">
        <v>0</v>
      </c>
      <c r="I291" s="150">
        <v>0</v>
      </c>
      <c r="J291" s="16">
        <v>0</v>
      </c>
      <c r="K291" s="150">
        <v>0</v>
      </c>
      <c r="L291" s="150">
        <v>197370</v>
      </c>
      <c r="M291" s="150">
        <v>192294</v>
      </c>
      <c r="N291" s="10">
        <v>194831.39</v>
      </c>
      <c r="O291" s="150">
        <v>1622012</v>
      </c>
      <c r="P291" s="150">
        <v>6643</v>
      </c>
      <c r="Q291" s="150">
        <v>71560</v>
      </c>
      <c r="R291" s="16">
        <v>6278</v>
      </c>
      <c r="S291" s="16">
        <v>0</v>
      </c>
      <c r="T291" s="150">
        <v>130180</v>
      </c>
      <c r="U291" s="150">
        <v>130180</v>
      </c>
      <c r="V291" s="150">
        <v>129766</v>
      </c>
      <c r="W291" s="150">
        <v>130042</v>
      </c>
      <c r="X291" s="150">
        <v>130042</v>
      </c>
      <c r="Y291" s="10">
        <v>216772</v>
      </c>
      <c r="Z291" s="16">
        <v>0</v>
      </c>
      <c r="AA291" s="150">
        <v>92602</v>
      </c>
    </row>
    <row r="292" spans="1:27" x14ac:dyDescent="0.35">
      <c r="A292" s="19">
        <v>4529</v>
      </c>
      <c r="B292" s="20" t="s">
        <v>327</v>
      </c>
      <c r="C292" s="150">
        <v>328309</v>
      </c>
      <c r="D292" s="150">
        <v>589503</v>
      </c>
      <c r="E292" s="150">
        <v>573633</v>
      </c>
      <c r="F292" s="10">
        <v>803085</v>
      </c>
      <c r="G292" s="10">
        <v>36837</v>
      </c>
      <c r="H292" s="156">
        <v>0</v>
      </c>
      <c r="I292" s="150">
        <v>0</v>
      </c>
      <c r="J292" s="16">
        <v>0</v>
      </c>
      <c r="K292" s="150">
        <v>0</v>
      </c>
      <c r="L292" s="150">
        <v>18586</v>
      </c>
      <c r="M292" s="150">
        <v>18108</v>
      </c>
      <c r="N292" s="10">
        <v>18348.169999999998</v>
      </c>
      <c r="O292" s="150">
        <v>224826</v>
      </c>
      <c r="P292" s="150">
        <v>921</v>
      </c>
      <c r="Q292" s="150">
        <v>10595</v>
      </c>
      <c r="R292" s="16">
        <v>929</v>
      </c>
      <c r="S292" s="16">
        <v>25252</v>
      </c>
      <c r="T292" s="150">
        <v>30353</v>
      </c>
      <c r="U292" s="150">
        <v>30352</v>
      </c>
      <c r="V292" s="150">
        <v>30256</v>
      </c>
      <c r="W292" s="150">
        <v>30320</v>
      </c>
      <c r="X292" s="150">
        <v>30320</v>
      </c>
      <c r="Y292" s="10">
        <v>50541</v>
      </c>
      <c r="Z292" s="16">
        <v>0</v>
      </c>
      <c r="AA292" s="150">
        <v>14621</v>
      </c>
    </row>
    <row r="293" spans="1:27" x14ac:dyDescent="0.35">
      <c r="A293" s="19">
        <v>4536</v>
      </c>
      <c r="B293" s="20" t="s">
        <v>328</v>
      </c>
      <c r="C293" s="150">
        <v>774910</v>
      </c>
      <c r="D293" s="150">
        <v>1353173</v>
      </c>
      <c r="E293" s="150">
        <v>1330052</v>
      </c>
      <c r="F293" s="10">
        <v>1862073</v>
      </c>
      <c r="G293" s="10">
        <v>85412</v>
      </c>
      <c r="H293" s="156">
        <v>0</v>
      </c>
      <c r="I293" s="150">
        <v>0</v>
      </c>
      <c r="J293" s="16">
        <v>0</v>
      </c>
      <c r="K293" s="150">
        <v>0</v>
      </c>
      <c r="L293" s="150">
        <v>0</v>
      </c>
      <c r="M293" s="150">
        <v>0</v>
      </c>
      <c r="N293" s="10">
        <v>0</v>
      </c>
      <c r="O293" s="150">
        <v>778358</v>
      </c>
      <c r="P293" s="150">
        <v>3188</v>
      </c>
      <c r="Q293" s="150">
        <v>23375</v>
      </c>
      <c r="R293" s="16">
        <v>2051</v>
      </c>
      <c r="S293" s="16">
        <v>0</v>
      </c>
      <c r="T293" s="150">
        <v>55648</v>
      </c>
      <c r="U293" s="150">
        <v>55647</v>
      </c>
      <c r="V293" s="150">
        <v>55470</v>
      </c>
      <c r="W293" s="150">
        <v>55588</v>
      </c>
      <c r="X293" s="150">
        <v>55588</v>
      </c>
      <c r="Y293" s="10">
        <v>92665</v>
      </c>
      <c r="Z293" s="16">
        <v>0</v>
      </c>
      <c r="AA293" s="150">
        <v>45466</v>
      </c>
    </row>
    <row r="294" spans="1:27" x14ac:dyDescent="0.35">
      <c r="A294" s="19">
        <v>4543</v>
      </c>
      <c r="B294" s="20" t="s">
        <v>329</v>
      </c>
      <c r="C294" s="150">
        <v>1083510</v>
      </c>
      <c r="D294" s="150">
        <v>1751023</v>
      </c>
      <c r="E294" s="150">
        <v>1771583</v>
      </c>
      <c r="F294" s="10">
        <v>2480217</v>
      </c>
      <c r="G294" s="10">
        <v>113765</v>
      </c>
      <c r="H294" s="156">
        <v>0</v>
      </c>
      <c r="I294" s="150">
        <v>0</v>
      </c>
      <c r="J294" s="16">
        <v>0</v>
      </c>
      <c r="K294" s="150">
        <v>73457</v>
      </c>
      <c r="L294" s="150">
        <v>123024</v>
      </c>
      <c r="M294" s="150">
        <v>119860</v>
      </c>
      <c r="N294" s="10">
        <v>121442.72</v>
      </c>
      <c r="O294" s="150">
        <v>774648</v>
      </c>
      <c r="P294" s="150">
        <v>3173</v>
      </c>
      <c r="Q294" s="150">
        <v>39275</v>
      </c>
      <c r="R294" s="16">
        <v>3446</v>
      </c>
      <c r="S294" s="16">
        <v>0</v>
      </c>
      <c r="T294" s="150">
        <v>94677</v>
      </c>
      <c r="U294" s="150">
        <v>94678</v>
      </c>
      <c r="V294" s="150">
        <v>94375</v>
      </c>
      <c r="W294" s="150">
        <v>94576</v>
      </c>
      <c r="X294" s="150">
        <v>94577</v>
      </c>
      <c r="Y294" s="10">
        <v>157653</v>
      </c>
      <c r="Z294" s="16">
        <v>0</v>
      </c>
      <c r="AA294" s="150">
        <v>46635</v>
      </c>
    </row>
    <row r="295" spans="1:27" x14ac:dyDescent="0.35">
      <c r="A295" s="19">
        <v>4557</v>
      </c>
      <c r="B295" s="20" t="s">
        <v>330</v>
      </c>
      <c r="C295" s="150">
        <v>337925</v>
      </c>
      <c r="D295" s="150">
        <v>612615</v>
      </c>
      <c r="E295" s="150">
        <v>594087</v>
      </c>
      <c r="F295" s="10">
        <v>831723</v>
      </c>
      <c r="G295" s="10">
        <v>38150</v>
      </c>
      <c r="H295" s="156">
        <v>0</v>
      </c>
      <c r="I295" s="150">
        <v>0</v>
      </c>
      <c r="J295" s="16">
        <v>0</v>
      </c>
      <c r="K295" s="150">
        <v>0</v>
      </c>
      <c r="L295" s="150">
        <v>46023</v>
      </c>
      <c r="M295" s="150">
        <v>44841</v>
      </c>
      <c r="N295" s="10">
        <v>45430.89</v>
      </c>
      <c r="O295" s="150">
        <v>230020</v>
      </c>
      <c r="P295" s="150">
        <v>942</v>
      </c>
      <c r="Q295" s="150">
        <v>9505</v>
      </c>
      <c r="R295" s="16">
        <v>834</v>
      </c>
      <c r="S295" s="16">
        <v>5550</v>
      </c>
      <c r="T295" s="150">
        <v>27560</v>
      </c>
      <c r="U295" s="150">
        <v>27559</v>
      </c>
      <c r="V295" s="150">
        <v>27473</v>
      </c>
      <c r="W295" s="150">
        <v>27530</v>
      </c>
      <c r="X295" s="150">
        <v>27531</v>
      </c>
      <c r="Y295" s="10">
        <v>45892</v>
      </c>
      <c r="Z295" s="16">
        <v>529</v>
      </c>
      <c r="AA295" s="150">
        <v>12986</v>
      </c>
    </row>
    <row r="296" spans="1:27" x14ac:dyDescent="0.35">
      <c r="A296" s="19">
        <v>4571</v>
      </c>
      <c r="B296" s="20" t="s">
        <v>331</v>
      </c>
      <c r="C296" s="150">
        <v>237652</v>
      </c>
      <c r="D296" s="150">
        <v>557180</v>
      </c>
      <c r="E296" s="150">
        <v>496770</v>
      </c>
      <c r="F296" s="10">
        <v>695477</v>
      </c>
      <c r="G296" s="10">
        <v>31901</v>
      </c>
      <c r="H296" s="156">
        <v>0</v>
      </c>
      <c r="I296" s="150">
        <v>0</v>
      </c>
      <c r="J296" s="16">
        <v>0</v>
      </c>
      <c r="K296" s="150">
        <v>0</v>
      </c>
      <c r="L296" s="150">
        <v>28322</v>
      </c>
      <c r="M296" s="150">
        <v>27594</v>
      </c>
      <c r="N296" s="10">
        <v>27957.78</v>
      </c>
      <c r="O296" s="150">
        <v>286412</v>
      </c>
      <c r="P296" s="150">
        <v>1173</v>
      </c>
      <c r="Q296" s="150">
        <v>45645</v>
      </c>
      <c r="R296" s="16">
        <v>4004</v>
      </c>
      <c r="S296" s="16">
        <v>671</v>
      </c>
      <c r="T296" s="150">
        <v>22661</v>
      </c>
      <c r="U296" s="150">
        <v>22661</v>
      </c>
      <c r="V296" s="150">
        <v>22588</v>
      </c>
      <c r="W296" s="150">
        <v>22637</v>
      </c>
      <c r="X296" s="150">
        <v>22637</v>
      </c>
      <c r="Y296" s="10">
        <v>37733</v>
      </c>
      <c r="Z296" s="16">
        <v>0</v>
      </c>
      <c r="AA296" s="150">
        <v>20964</v>
      </c>
    </row>
    <row r="297" spans="1:27" x14ac:dyDescent="0.35">
      <c r="A297" s="19">
        <v>4578</v>
      </c>
      <c r="B297" s="20" t="s">
        <v>332</v>
      </c>
      <c r="C297" s="150">
        <v>1243482</v>
      </c>
      <c r="D297" s="150">
        <v>2075961</v>
      </c>
      <c r="E297" s="150">
        <v>2074652</v>
      </c>
      <c r="F297" s="10">
        <v>2904512</v>
      </c>
      <c r="G297" s="10">
        <v>133227</v>
      </c>
      <c r="H297" s="156">
        <v>0</v>
      </c>
      <c r="I297" s="150">
        <v>0</v>
      </c>
      <c r="J297" s="16">
        <v>0</v>
      </c>
      <c r="K297" s="150">
        <v>0</v>
      </c>
      <c r="L297" s="150">
        <v>0</v>
      </c>
      <c r="M297" s="150">
        <v>0</v>
      </c>
      <c r="N297" s="10">
        <v>0</v>
      </c>
      <c r="O297" s="150">
        <v>1006152</v>
      </c>
      <c r="P297" s="150">
        <v>4121</v>
      </c>
      <c r="Q297" s="150">
        <v>51060</v>
      </c>
      <c r="R297" s="16">
        <v>4479</v>
      </c>
      <c r="S297" s="16">
        <v>0</v>
      </c>
      <c r="T297" s="150">
        <v>100367</v>
      </c>
      <c r="U297" s="150">
        <v>100366</v>
      </c>
      <c r="V297" s="150">
        <v>100047</v>
      </c>
      <c r="W297" s="150">
        <v>100260</v>
      </c>
      <c r="X297" s="150">
        <v>100260</v>
      </c>
      <c r="Y297" s="10">
        <v>167125</v>
      </c>
      <c r="Z297" s="16">
        <v>0</v>
      </c>
      <c r="AA297" s="150">
        <v>55882</v>
      </c>
    </row>
    <row r="298" spans="1:27" x14ac:dyDescent="0.35">
      <c r="A298" s="19">
        <v>4606</v>
      </c>
      <c r="B298" s="20" t="s">
        <v>48</v>
      </c>
      <c r="C298" s="150">
        <v>148660</v>
      </c>
      <c r="D298" s="150">
        <v>232526</v>
      </c>
      <c r="E298" s="150">
        <v>238241</v>
      </c>
      <c r="F298" s="10">
        <v>333538</v>
      </c>
      <c r="G298" s="10">
        <v>15299</v>
      </c>
      <c r="H298" s="156">
        <v>0</v>
      </c>
      <c r="I298" s="150">
        <v>0</v>
      </c>
      <c r="J298" s="16">
        <v>0</v>
      </c>
      <c r="K298" s="150">
        <v>0</v>
      </c>
      <c r="L298" s="150">
        <v>41598</v>
      </c>
      <c r="M298" s="150">
        <v>40528</v>
      </c>
      <c r="N298" s="10">
        <v>41063.61</v>
      </c>
      <c r="O298" s="150">
        <v>280476</v>
      </c>
      <c r="P298" s="150">
        <v>1149</v>
      </c>
      <c r="Q298" s="150">
        <v>6340</v>
      </c>
      <c r="R298" s="16">
        <v>556</v>
      </c>
      <c r="S298" s="16">
        <v>0</v>
      </c>
      <c r="T298" s="150">
        <v>14179</v>
      </c>
      <c r="U298" s="150">
        <v>14179</v>
      </c>
      <c r="V298" s="150">
        <v>14134</v>
      </c>
      <c r="W298" s="150">
        <v>14164</v>
      </c>
      <c r="X298" s="150">
        <v>14164</v>
      </c>
      <c r="Y298" s="10">
        <v>23610</v>
      </c>
      <c r="Z298" s="16">
        <v>0</v>
      </c>
      <c r="AA298" s="150">
        <v>17559</v>
      </c>
    </row>
    <row r="299" spans="1:27" x14ac:dyDescent="0.35">
      <c r="A299" s="19">
        <v>4613</v>
      </c>
      <c r="B299" s="20" t="s">
        <v>333</v>
      </c>
      <c r="C299" s="150">
        <v>3694102</v>
      </c>
      <c r="D299" s="150">
        <v>6830717</v>
      </c>
      <c r="E299" s="150">
        <v>6578012</v>
      </c>
      <c r="F299" s="10">
        <v>9209216</v>
      </c>
      <c r="G299" s="10">
        <v>422419</v>
      </c>
      <c r="H299" s="156">
        <v>0</v>
      </c>
      <c r="I299" s="150">
        <v>0</v>
      </c>
      <c r="J299" s="16">
        <v>0</v>
      </c>
      <c r="K299" s="150">
        <v>0</v>
      </c>
      <c r="L299" s="150">
        <v>81426</v>
      </c>
      <c r="M299" s="150">
        <v>79332</v>
      </c>
      <c r="N299" s="10">
        <v>80379.11</v>
      </c>
      <c r="O299" s="150">
        <v>2877476</v>
      </c>
      <c r="P299" s="150">
        <v>11785</v>
      </c>
      <c r="Q299" s="150">
        <v>181220</v>
      </c>
      <c r="R299" s="16">
        <v>15898</v>
      </c>
      <c r="S299" s="16">
        <v>0</v>
      </c>
      <c r="T299" s="150">
        <v>264119</v>
      </c>
      <c r="U299" s="150">
        <v>264119</v>
      </c>
      <c r="V299" s="150">
        <v>263275</v>
      </c>
      <c r="W299" s="150">
        <v>263838</v>
      </c>
      <c r="X299" s="150">
        <v>263838</v>
      </c>
      <c r="Y299" s="10">
        <v>439803</v>
      </c>
      <c r="Z299" s="16">
        <v>0</v>
      </c>
      <c r="AA299" s="150">
        <v>152990</v>
      </c>
    </row>
    <row r="300" spans="1:27" x14ac:dyDescent="0.35">
      <c r="A300" s="19">
        <v>4620</v>
      </c>
      <c r="B300" s="20" t="s">
        <v>334</v>
      </c>
      <c r="C300" s="150">
        <v>22467667</v>
      </c>
      <c r="D300" s="150">
        <v>38502191</v>
      </c>
      <c r="E300" s="150">
        <v>38106161</v>
      </c>
      <c r="F300" s="10">
        <v>53348625</v>
      </c>
      <c r="G300" s="10">
        <v>2447055</v>
      </c>
      <c r="H300" s="156">
        <v>0</v>
      </c>
      <c r="I300" s="150">
        <v>0</v>
      </c>
      <c r="J300" s="16">
        <v>0</v>
      </c>
      <c r="K300" s="150">
        <v>1434892</v>
      </c>
      <c r="L300" s="150">
        <v>406245</v>
      </c>
      <c r="M300" s="150">
        <v>413271</v>
      </c>
      <c r="N300" s="10">
        <v>409759.05</v>
      </c>
      <c r="O300" s="150">
        <v>13800458</v>
      </c>
      <c r="P300" s="150">
        <v>56520</v>
      </c>
      <c r="Q300" s="150">
        <v>404070</v>
      </c>
      <c r="R300" s="16">
        <v>35448</v>
      </c>
      <c r="S300" s="16">
        <v>0</v>
      </c>
      <c r="T300" s="150">
        <v>2031254</v>
      </c>
      <c r="U300" s="150">
        <v>2015827</v>
      </c>
      <c r="V300" s="150">
        <v>2017083</v>
      </c>
      <c r="W300" s="150">
        <v>2021387</v>
      </c>
      <c r="X300" s="150">
        <v>2021388</v>
      </c>
      <c r="Y300" s="10">
        <v>3368362</v>
      </c>
      <c r="Z300" s="16">
        <v>551803</v>
      </c>
      <c r="AA300" s="150">
        <v>937137</v>
      </c>
    </row>
    <row r="301" spans="1:27" x14ac:dyDescent="0.35">
      <c r="A301" s="19">
        <v>4627</v>
      </c>
      <c r="B301" s="20" t="s">
        <v>335</v>
      </c>
      <c r="C301" s="150">
        <v>231311</v>
      </c>
      <c r="D301" s="150">
        <v>639223</v>
      </c>
      <c r="E301" s="150">
        <v>544084</v>
      </c>
      <c r="F301" s="10">
        <v>761717</v>
      </c>
      <c r="G301" s="10">
        <v>34939</v>
      </c>
      <c r="H301" s="156">
        <v>0</v>
      </c>
      <c r="I301" s="150">
        <v>0</v>
      </c>
      <c r="J301" s="16">
        <v>0</v>
      </c>
      <c r="K301" s="150">
        <v>0</v>
      </c>
      <c r="L301" s="150">
        <v>0</v>
      </c>
      <c r="M301" s="150">
        <v>0</v>
      </c>
      <c r="N301" s="10">
        <v>0</v>
      </c>
      <c r="O301" s="150">
        <v>423682</v>
      </c>
      <c r="P301" s="150">
        <v>1735</v>
      </c>
      <c r="Q301" s="150">
        <v>17460</v>
      </c>
      <c r="R301" s="16">
        <v>1532</v>
      </c>
      <c r="S301" s="16">
        <v>0</v>
      </c>
      <c r="T301" s="150">
        <v>52559</v>
      </c>
      <c r="U301" s="150">
        <v>50102</v>
      </c>
      <c r="V301" s="150">
        <v>51165</v>
      </c>
      <c r="W301" s="150">
        <v>51276</v>
      </c>
      <c r="X301" s="150">
        <v>51275</v>
      </c>
      <c r="Y301" s="10">
        <v>85474</v>
      </c>
      <c r="Z301" s="16">
        <v>2851</v>
      </c>
      <c r="AA301" s="150">
        <v>22433</v>
      </c>
    </row>
    <row r="302" spans="1:27" x14ac:dyDescent="0.35">
      <c r="A302" s="19">
        <v>4634</v>
      </c>
      <c r="B302" s="20" t="s">
        <v>336</v>
      </c>
      <c r="C302" s="150">
        <v>596120</v>
      </c>
      <c r="D302" s="150">
        <v>1085322</v>
      </c>
      <c r="E302" s="150">
        <v>1050901</v>
      </c>
      <c r="F302" s="10">
        <v>1471262</v>
      </c>
      <c r="G302" s="10">
        <v>67486</v>
      </c>
      <c r="H302" s="156">
        <v>0</v>
      </c>
      <c r="I302" s="150">
        <v>0</v>
      </c>
      <c r="J302" s="16">
        <v>0</v>
      </c>
      <c r="K302" s="150">
        <v>0</v>
      </c>
      <c r="L302" s="150">
        <v>41598</v>
      </c>
      <c r="M302" s="150">
        <v>40528</v>
      </c>
      <c r="N302" s="10">
        <v>41063.61</v>
      </c>
      <c r="O302" s="150">
        <v>375452</v>
      </c>
      <c r="P302" s="150">
        <v>1538</v>
      </c>
      <c r="Q302" s="150">
        <v>7715</v>
      </c>
      <c r="R302" s="16">
        <v>677</v>
      </c>
      <c r="S302" s="16">
        <v>0</v>
      </c>
      <c r="T302" s="150">
        <v>29111</v>
      </c>
      <c r="U302" s="150">
        <v>29111</v>
      </c>
      <c r="V302" s="150">
        <v>29018</v>
      </c>
      <c r="W302" s="150">
        <v>29080</v>
      </c>
      <c r="X302" s="150">
        <v>29080</v>
      </c>
      <c r="Y302" s="10">
        <v>48474</v>
      </c>
      <c r="Z302" s="16">
        <v>0</v>
      </c>
      <c r="AA302" s="150">
        <v>25437</v>
      </c>
    </row>
    <row r="303" spans="1:27" x14ac:dyDescent="0.35">
      <c r="A303" s="19">
        <v>4641</v>
      </c>
      <c r="B303" s="20" t="s">
        <v>337</v>
      </c>
      <c r="C303" s="150">
        <v>512793</v>
      </c>
      <c r="D303" s="150">
        <v>1014133</v>
      </c>
      <c r="E303" s="150">
        <v>954329</v>
      </c>
      <c r="F303" s="10">
        <v>1336061</v>
      </c>
      <c r="G303" s="10">
        <v>61284</v>
      </c>
      <c r="H303" s="156">
        <v>0</v>
      </c>
      <c r="I303" s="150">
        <v>0</v>
      </c>
      <c r="J303" s="16">
        <v>0</v>
      </c>
      <c r="K303" s="150">
        <v>0</v>
      </c>
      <c r="L303" s="150">
        <v>61955</v>
      </c>
      <c r="M303" s="150">
        <v>60361</v>
      </c>
      <c r="N303" s="10">
        <v>61157.89</v>
      </c>
      <c r="O303" s="150">
        <v>588406</v>
      </c>
      <c r="P303" s="150">
        <v>2410</v>
      </c>
      <c r="Q303" s="150">
        <v>22975</v>
      </c>
      <c r="R303" s="16">
        <v>2016</v>
      </c>
      <c r="S303" s="16">
        <v>59400</v>
      </c>
      <c r="T303" s="150">
        <v>46190</v>
      </c>
      <c r="U303" s="150">
        <v>46190</v>
      </c>
      <c r="V303" s="150">
        <v>46042</v>
      </c>
      <c r="W303" s="150">
        <v>46141</v>
      </c>
      <c r="X303" s="150">
        <v>46141</v>
      </c>
      <c r="Y303" s="10">
        <v>76913</v>
      </c>
      <c r="Z303" s="16">
        <v>0</v>
      </c>
      <c r="AA303" s="150">
        <v>33883</v>
      </c>
    </row>
    <row r="304" spans="1:27" x14ac:dyDescent="0.35">
      <c r="A304" s="19">
        <v>4686</v>
      </c>
      <c r="B304" s="20" t="s">
        <v>338</v>
      </c>
      <c r="C304" s="150">
        <v>27794</v>
      </c>
      <c r="D304" s="150">
        <v>413428</v>
      </c>
      <c r="E304" s="150">
        <v>275764</v>
      </c>
      <c r="F304" s="10">
        <v>386068</v>
      </c>
      <c r="G304" s="10">
        <v>17709</v>
      </c>
      <c r="H304" s="156">
        <v>0</v>
      </c>
      <c r="I304" s="150">
        <v>0</v>
      </c>
      <c r="J304" s="16">
        <v>0</v>
      </c>
      <c r="K304" s="150">
        <v>0</v>
      </c>
      <c r="L304" s="150">
        <v>0</v>
      </c>
      <c r="M304" s="150">
        <v>0</v>
      </c>
      <c r="N304" s="10">
        <v>0</v>
      </c>
      <c r="O304" s="150">
        <v>239666</v>
      </c>
      <c r="P304" s="150">
        <v>982</v>
      </c>
      <c r="Q304" s="150">
        <v>9755</v>
      </c>
      <c r="R304" s="16">
        <v>856</v>
      </c>
      <c r="S304" s="16">
        <v>2539</v>
      </c>
      <c r="T304" s="150">
        <v>20195</v>
      </c>
      <c r="U304" s="150">
        <v>20194</v>
      </c>
      <c r="V304" s="150">
        <v>20131</v>
      </c>
      <c r="W304" s="150">
        <v>20173</v>
      </c>
      <c r="X304" s="150">
        <v>20173</v>
      </c>
      <c r="Y304" s="10">
        <v>33628</v>
      </c>
      <c r="Z304" s="16">
        <v>0</v>
      </c>
      <c r="AA304" s="150">
        <v>15690</v>
      </c>
    </row>
    <row r="305" spans="1:27" x14ac:dyDescent="0.35">
      <c r="A305" s="19">
        <v>4753</v>
      </c>
      <c r="B305" s="20" t="s">
        <v>339</v>
      </c>
      <c r="C305" s="150">
        <v>2536913</v>
      </c>
      <c r="D305" s="150">
        <v>4583230</v>
      </c>
      <c r="E305" s="150">
        <v>4450089</v>
      </c>
      <c r="F305" s="10">
        <v>6230126</v>
      </c>
      <c r="G305" s="10">
        <v>285770</v>
      </c>
      <c r="H305" s="156">
        <v>0</v>
      </c>
      <c r="I305" s="150">
        <v>0</v>
      </c>
      <c r="J305" s="16">
        <v>0</v>
      </c>
      <c r="K305" s="150">
        <v>0</v>
      </c>
      <c r="L305" s="150">
        <v>294727</v>
      </c>
      <c r="M305" s="150">
        <v>290643</v>
      </c>
      <c r="N305" s="10">
        <v>292683.61</v>
      </c>
      <c r="O305" s="150">
        <v>2022692</v>
      </c>
      <c r="P305" s="150">
        <v>8284</v>
      </c>
      <c r="Q305" s="150">
        <v>119900</v>
      </c>
      <c r="R305" s="16">
        <v>10519</v>
      </c>
      <c r="S305" s="16">
        <v>0</v>
      </c>
      <c r="T305" s="150">
        <v>244666</v>
      </c>
      <c r="U305" s="150">
        <v>244665</v>
      </c>
      <c r="V305" s="150">
        <v>243885</v>
      </c>
      <c r="W305" s="150">
        <v>244405</v>
      </c>
      <c r="X305" s="150">
        <v>244405</v>
      </c>
      <c r="Y305" s="10">
        <v>407411</v>
      </c>
      <c r="Z305" s="16">
        <v>31190</v>
      </c>
      <c r="AA305" s="150">
        <v>120009</v>
      </c>
    </row>
    <row r="306" spans="1:27" x14ac:dyDescent="0.35">
      <c r="A306" s="19">
        <v>4760</v>
      </c>
      <c r="B306" s="20" t="s">
        <v>340</v>
      </c>
      <c r="C306" s="150">
        <v>636924</v>
      </c>
      <c r="D306" s="150">
        <v>1059378</v>
      </c>
      <c r="E306" s="150">
        <v>1060189</v>
      </c>
      <c r="F306" s="10">
        <v>1484265</v>
      </c>
      <c r="G306" s="10">
        <v>68082</v>
      </c>
      <c r="H306" s="156">
        <v>0</v>
      </c>
      <c r="I306" s="150">
        <v>0</v>
      </c>
      <c r="J306" s="16">
        <v>0</v>
      </c>
      <c r="K306" s="150">
        <v>0</v>
      </c>
      <c r="L306" s="150">
        <v>0</v>
      </c>
      <c r="M306" s="150">
        <v>0</v>
      </c>
      <c r="N306" s="10">
        <v>0</v>
      </c>
      <c r="O306" s="150">
        <v>458556</v>
      </c>
      <c r="P306" s="150">
        <v>1878</v>
      </c>
      <c r="Q306" s="150">
        <v>39300</v>
      </c>
      <c r="R306" s="16">
        <v>3448</v>
      </c>
      <c r="S306" s="16">
        <v>46107</v>
      </c>
      <c r="T306" s="150">
        <v>33306</v>
      </c>
      <c r="U306" s="150">
        <v>33307</v>
      </c>
      <c r="V306" s="150">
        <v>33200</v>
      </c>
      <c r="W306" s="150">
        <v>33271</v>
      </c>
      <c r="X306" s="150">
        <v>33271</v>
      </c>
      <c r="Y306" s="10">
        <v>55461</v>
      </c>
      <c r="Z306" s="16">
        <v>0</v>
      </c>
      <c r="AA306" s="150">
        <v>34717</v>
      </c>
    </row>
    <row r="307" spans="1:27" x14ac:dyDescent="0.35">
      <c r="A307" s="19">
        <v>4781</v>
      </c>
      <c r="B307" s="20" t="s">
        <v>341</v>
      </c>
      <c r="C307" s="150">
        <v>736300</v>
      </c>
      <c r="D307" s="150">
        <v>1496247</v>
      </c>
      <c r="E307" s="150">
        <v>1395342</v>
      </c>
      <c r="F307" s="10">
        <v>1953478</v>
      </c>
      <c r="G307" s="10">
        <v>89604</v>
      </c>
      <c r="H307" s="156">
        <v>0</v>
      </c>
      <c r="I307" s="150">
        <v>0</v>
      </c>
      <c r="J307" s="16">
        <v>0</v>
      </c>
      <c r="K307" s="150">
        <v>163906</v>
      </c>
      <c r="L307" s="150">
        <v>172588</v>
      </c>
      <c r="M307" s="150">
        <v>168150</v>
      </c>
      <c r="N307" s="10">
        <v>170367.83</v>
      </c>
      <c r="O307" s="150">
        <v>1794156</v>
      </c>
      <c r="P307" s="150">
        <v>7348</v>
      </c>
      <c r="Q307" s="150">
        <v>90525</v>
      </c>
      <c r="R307" s="16">
        <v>7942</v>
      </c>
      <c r="S307" s="16">
        <v>0</v>
      </c>
      <c r="T307" s="150">
        <v>229359</v>
      </c>
      <c r="U307" s="150">
        <v>229358</v>
      </c>
      <c r="V307" s="150">
        <v>228628</v>
      </c>
      <c r="W307" s="150">
        <v>229115</v>
      </c>
      <c r="X307" s="150">
        <v>229115</v>
      </c>
      <c r="Y307" s="10">
        <v>381922</v>
      </c>
      <c r="Z307" s="16">
        <v>32419</v>
      </c>
      <c r="AA307" s="150">
        <v>109327</v>
      </c>
    </row>
    <row r="308" spans="1:27" x14ac:dyDescent="0.35">
      <c r="A308" s="19">
        <v>4795</v>
      </c>
      <c r="B308" s="20" t="s">
        <v>342</v>
      </c>
      <c r="C308" s="150">
        <v>417827</v>
      </c>
      <c r="D308" s="150">
        <v>768339</v>
      </c>
      <c r="E308" s="150">
        <v>741354</v>
      </c>
      <c r="F308" s="10">
        <v>1037896</v>
      </c>
      <c r="G308" s="10">
        <v>47607</v>
      </c>
      <c r="H308" s="156">
        <v>0</v>
      </c>
      <c r="I308" s="150">
        <v>0</v>
      </c>
      <c r="J308" s="16">
        <v>0</v>
      </c>
      <c r="K308" s="150">
        <v>0</v>
      </c>
      <c r="L308" s="150">
        <v>61069</v>
      </c>
      <c r="M308" s="150">
        <v>59499</v>
      </c>
      <c r="N308" s="10">
        <v>60284.83</v>
      </c>
      <c r="O308" s="150">
        <v>355418</v>
      </c>
      <c r="P308" s="150">
        <v>1456</v>
      </c>
      <c r="Q308" s="150">
        <v>23695</v>
      </c>
      <c r="R308" s="16">
        <v>2079</v>
      </c>
      <c r="S308" s="16">
        <v>0</v>
      </c>
      <c r="T308" s="150">
        <v>28172</v>
      </c>
      <c r="U308" s="150">
        <v>28171</v>
      </c>
      <c r="V308" s="150">
        <v>28082</v>
      </c>
      <c r="W308" s="150">
        <v>28141</v>
      </c>
      <c r="X308" s="150">
        <v>28142</v>
      </c>
      <c r="Y308" s="10">
        <v>46910</v>
      </c>
      <c r="Z308" s="16">
        <v>13863</v>
      </c>
      <c r="AA308" s="150">
        <v>21531</v>
      </c>
    </row>
    <row r="309" spans="1:27" x14ac:dyDescent="0.35">
      <c r="A309" s="19">
        <v>4802</v>
      </c>
      <c r="B309" s="20" t="s">
        <v>343</v>
      </c>
      <c r="C309" s="150">
        <v>1598195</v>
      </c>
      <c r="D309" s="150">
        <v>2926068</v>
      </c>
      <c r="E309" s="150">
        <v>2827664</v>
      </c>
      <c r="F309" s="10">
        <v>3958731</v>
      </c>
      <c r="G309" s="10">
        <v>181583</v>
      </c>
      <c r="H309" s="156">
        <v>0</v>
      </c>
      <c r="I309" s="150">
        <v>0</v>
      </c>
      <c r="J309" s="16">
        <v>0</v>
      </c>
      <c r="K309" s="150">
        <v>0</v>
      </c>
      <c r="L309" s="150">
        <v>261979</v>
      </c>
      <c r="M309" s="150">
        <v>255243</v>
      </c>
      <c r="N309" s="10">
        <v>258610.44</v>
      </c>
      <c r="O309" s="150">
        <v>1653918</v>
      </c>
      <c r="P309" s="150">
        <v>6774</v>
      </c>
      <c r="Q309" s="150">
        <v>75545</v>
      </c>
      <c r="R309" s="16">
        <v>6627</v>
      </c>
      <c r="S309" s="16">
        <v>0</v>
      </c>
      <c r="T309" s="150">
        <v>177848</v>
      </c>
      <c r="U309" s="150">
        <v>177849</v>
      </c>
      <c r="V309" s="150">
        <v>177281</v>
      </c>
      <c r="W309" s="150">
        <v>177659</v>
      </c>
      <c r="X309" s="150">
        <v>177659</v>
      </c>
      <c r="Y309" s="10">
        <v>296146</v>
      </c>
      <c r="Z309" s="16">
        <v>0</v>
      </c>
      <c r="AA309" s="150">
        <v>99245</v>
      </c>
    </row>
    <row r="310" spans="1:27" x14ac:dyDescent="0.35">
      <c r="A310" s="19">
        <v>4851</v>
      </c>
      <c r="B310" s="20" t="s">
        <v>344</v>
      </c>
      <c r="C310" s="150">
        <v>1343980</v>
      </c>
      <c r="D310" s="150">
        <v>2391929</v>
      </c>
      <c r="E310" s="150">
        <v>2334943</v>
      </c>
      <c r="F310" s="10">
        <v>3268921</v>
      </c>
      <c r="G310" s="10">
        <v>149943</v>
      </c>
      <c r="H310" s="156">
        <v>0</v>
      </c>
      <c r="I310" s="150">
        <v>0</v>
      </c>
      <c r="J310" s="16">
        <v>0</v>
      </c>
      <c r="K310" s="150">
        <v>95342</v>
      </c>
      <c r="L310" s="150">
        <v>154001</v>
      </c>
      <c r="M310" s="150">
        <v>150041</v>
      </c>
      <c r="N310" s="10">
        <v>152021.66</v>
      </c>
      <c r="O310" s="150">
        <v>1030638</v>
      </c>
      <c r="P310" s="150">
        <v>4221</v>
      </c>
      <c r="Q310" s="150">
        <v>66590</v>
      </c>
      <c r="R310" s="16">
        <v>5842</v>
      </c>
      <c r="S310" s="16">
        <v>0</v>
      </c>
      <c r="T310" s="150">
        <v>105796</v>
      </c>
      <c r="U310" s="150">
        <v>105795</v>
      </c>
      <c r="V310" s="150">
        <v>105459</v>
      </c>
      <c r="W310" s="150">
        <v>105683</v>
      </c>
      <c r="X310" s="150">
        <v>105683</v>
      </c>
      <c r="Y310" s="10">
        <v>176168</v>
      </c>
      <c r="Z310" s="16">
        <v>66194</v>
      </c>
      <c r="AA310" s="150">
        <v>75310</v>
      </c>
    </row>
    <row r="311" spans="1:27" x14ac:dyDescent="0.35">
      <c r="A311" s="19">
        <v>3122</v>
      </c>
      <c r="B311" s="20" t="s">
        <v>345</v>
      </c>
      <c r="C311" s="150">
        <v>266012</v>
      </c>
      <c r="D311" s="150">
        <v>630136</v>
      </c>
      <c r="E311" s="150">
        <v>560092</v>
      </c>
      <c r="F311" s="10">
        <v>784130</v>
      </c>
      <c r="G311" s="10">
        <v>35967</v>
      </c>
      <c r="H311" s="156">
        <v>0</v>
      </c>
      <c r="I311" s="150">
        <v>0</v>
      </c>
      <c r="J311" s="16">
        <v>0</v>
      </c>
      <c r="K311" s="150">
        <v>0</v>
      </c>
      <c r="L311" s="150">
        <v>0</v>
      </c>
      <c r="M311" s="150">
        <v>0</v>
      </c>
      <c r="N311" s="10">
        <v>0</v>
      </c>
      <c r="O311" s="150">
        <v>290122</v>
      </c>
      <c r="P311" s="150">
        <v>1188</v>
      </c>
      <c r="Q311" s="150">
        <v>8505</v>
      </c>
      <c r="R311" s="16">
        <v>746</v>
      </c>
      <c r="S311" s="16">
        <v>0</v>
      </c>
      <c r="T311" s="150">
        <v>19486</v>
      </c>
      <c r="U311" s="150">
        <v>19487</v>
      </c>
      <c r="V311" s="150">
        <v>19424</v>
      </c>
      <c r="W311" s="150">
        <v>19466</v>
      </c>
      <c r="X311" s="150">
        <v>19465</v>
      </c>
      <c r="Y311" s="10">
        <v>32450</v>
      </c>
      <c r="Z311" s="16">
        <v>0</v>
      </c>
      <c r="AA311" s="150">
        <v>15322</v>
      </c>
    </row>
    <row r="312" spans="1:27" x14ac:dyDescent="0.35">
      <c r="A312" s="19">
        <v>4865</v>
      </c>
      <c r="B312" s="20" t="s">
        <v>346</v>
      </c>
      <c r="C312" s="150">
        <v>367505</v>
      </c>
      <c r="D312" s="150">
        <v>648125</v>
      </c>
      <c r="E312" s="150">
        <v>634769</v>
      </c>
      <c r="F312" s="10">
        <v>888675</v>
      </c>
      <c r="G312" s="10">
        <v>40763</v>
      </c>
      <c r="H312" s="156">
        <v>0</v>
      </c>
      <c r="I312" s="150">
        <v>0</v>
      </c>
      <c r="J312" s="16">
        <v>0</v>
      </c>
      <c r="K312" s="150">
        <v>0</v>
      </c>
      <c r="L312" s="150">
        <v>0</v>
      </c>
      <c r="M312" s="150">
        <v>0</v>
      </c>
      <c r="N312" s="10">
        <v>0</v>
      </c>
      <c r="O312" s="150">
        <v>306446</v>
      </c>
      <c r="P312" s="150">
        <v>1255</v>
      </c>
      <c r="Q312" s="150">
        <v>8505</v>
      </c>
      <c r="R312" s="16">
        <v>836</v>
      </c>
      <c r="S312" s="16">
        <v>0</v>
      </c>
      <c r="T312" s="150">
        <v>20059</v>
      </c>
      <c r="U312" s="150">
        <v>20059</v>
      </c>
      <c r="V312" s="150">
        <v>19995</v>
      </c>
      <c r="W312" s="150">
        <v>20037</v>
      </c>
      <c r="X312" s="150">
        <v>20038</v>
      </c>
      <c r="Y312" s="10">
        <v>33402</v>
      </c>
      <c r="Z312" s="16">
        <v>0</v>
      </c>
      <c r="AA312" s="150">
        <v>17392</v>
      </c>
    </row>
    <row r="313" spans="1:27" x14ac:dyDescent="0.35">
      <c r="A313" s="19">
        <v>4872</v>
      </c>
      <c r="B313" s="20" t="s">
        <v>347</v>
      </c>
      <c r="C313" s="150">
        <v>1659877</v>
      </c>
      <c r="D313" s="150">
        <v>3072378</v>
      </c>
      <c r="E313" s="150">
        <v>2957660</v>
      </c>
      <c r="F313" s="10">
        <v>4140724</v>
      </c>
      <c r="G313" s="10">
        <v>189931</v>
      </c>
      <c r="H313" s="156">
        <v>0</v>
      </c>
      <c r="I313" s="150">
        <v>0</v>
      </c>
      <c r="J313" s="16">
        <v>0</v>
      </c>
      <c r="K313" s="150">
        <v>0</v>
      </c>
      <c r="L313" s="150">
        <v>0</v>
      </c>
      <c r="M313" s="150">
        <v>0</v>
      </c>
      <c r="N313" s="10">
        <v>0</v>
      </c>
      <c r="O313" s="150">
        <v>1153810</v>
      </c>
      <c r="P313" s="150">
        <v>4725</v>
      </c>
      <c r="Q313" s="150">
        <v>23390</v>
      </c>
      <c r="R313" s="16">
        <v>2052</v>
      </c>
      <c r="S313" s="16">
        <v>0</v>
      </c>
      <c r="T313" s="150">
        <v>86227</v>
      </c>
      <c r="U313" s="150">
        <v>86228</v>
      </c>
      <c r="V313" s="150">
        <v>85440</v>
      </c>
      <c r="W313" s="150">
        <v>85966</v>
      </c>
      <c r="X313" s="150">
        <v>85965</v>
      </c>
      <c r="Y313" s="10">
        <v>143299</v>
      </c>
      <c r="Z313" s="16">
        <v>14054</v>
      </c>
      <c r="AA313" s="150">
        <v>66731</v>
      </c>
    </row>
    <row r="314" spans="1:27" x14ac:dyDescent="0.35">
      <c r="A314" s="19">
        <v>4893</v>
      </c>
      <c r="B314" s="20" t="s">
        <v>348</v>
      </c>
      <c r="C314" s="150">
        <v>2596818</v>
      </c>
      <c r="D314" s="150">
        <v>4979607</v>
      </c>
      <c r="E314" s="150">
        <v>4735266</v>
      </c>
      <c r="F314" s="10">
        <v>6629371</v>
      </c>
      <c r="G314" s="10">
        <v>304084</v>
      </c>
      <c r="H314" s="156">
        <v>0</v>
      </c>
      <c r="I314" s="150">
        <v>0</v>
      </c>
      <c r="J314" s="16">
        <v>0</v>
      </c>
      <c r="K314" s="150">
        <v>0</v>
      </c>
      <c r="L314" s="150">
        <v>0</v>
      </c>
      <c r="M314" s="150">
        <v>0</v>
      </c>
      <c r="N314" s="10">
        <v>0</v>
      </c>
      <c r="O314" s="150">
        <v>2494604</v>
      </c>
      <c r="P314" s="150">
        <v>10217</v>
      </c>
      <c r="Q314" s="150">
        <v>74420</v>
      </c>
      <c r="R314" s="16">
        <v>6529</v>
      </c>
      <c r="S314" s="16">
        <v>0</v>
      </c>
      <c r="T314" s="150">
        <v>193610</v>
      </c>
      <c r="U314" s="150">
        <v>193609</v>
      </c>
      <c r="V314" s="150">
        <v>192548</v>
      </c>
      <c r="W314" s="150">
        <v>193255</v>
      </c>
      <c r="X314" s="150">
        <v>193256</v>
      </c>
      <c r="Y314" s="10">
        <v>322145</v>
      </c>
      <c r="Z314" s="16">
        <v>0</v>
      </c>
      <c r="AA314" s="150">
        <v>150320</v>
      </c>
    </row>
    <row r="315" spans="1:27" x14ac:dyDescent="0.35">
      <c r="A315" s="19">
        <v>4904</v>
      </c>
      <c r="B315" s="20" t="s">
        <v>349</v>
      </c>
      <c r="C315" s="150">
        <v>624945</v>
      </c>
      <c r="D315" s="150">
        <v>1059622</v>
      </c>
      <c r="E315" s="150">
        <v>1052855</v>
      </c>
      <c r="F315" s="10">
        <v>1473996</v>
      </c>
      <c r="G315" s="10">
        <v>67611</v>
      </c>
      <c r="H315" s="156">
        <v>0</v>
      </c>
      <c r="I315" s="150">
        <v>0</v>
      </c>
      <c r="J315" s="16">
        <v>0</v>
      </c>
      <c r="K315" s="150">
        <v>0</v>
      </c>
      <c r="L315" s="150">
        <v>0</v>
      </c>
      <c r="M315" s="150">
        <v>0</v>
      </c>
      <c r="N315" s="10">
        <v>0</v>
      </c>
      <c r="O315" s="150">
        <v>407358</v>
      </c>
      <c r="P315" s="150">
        <v>1668</v>
      </c>
      <c r="Q315" s="150">
        <v>36838</v>
      </c>
      <c r="R315" s="16">
        <v>3205</v>
      </c>
      <c r="S315" s="16">
        <v>156311</v>
      </c>
      <c r="T315" s="150">
        <v>40873</v>
      </c>
      <c r="U315" s="150">
        <v>40872</v>
      </c>
      <c r="V315" s="150">
        <v>40742</v>
      </c>
      <c r="W315" s="150">
        <v>40829</v>
      </c>
      <c r="X315" s="150">
        <v>40830</v>
      </c>
      <c r="Y315" s="10">
        <v>68058</v>
      </c>
      <c r="Z315" s="16">
        <v>0</v>
      </c>
      <c r="AA315" s="150">
        <v>25437</v>
      </c>
    </row>
    <row r="316" spans="1:27" x14ac:dyDescent="0.35">
      <c r="A316" s="19">
        <v>5523</v>
      </c>
      <c r="B316" s="20" t="s">
        <v>350</v>
      </c>
      <c r="C316" s="150">
        <v>776249</v>
      </c>
      <c r="D316" s="150">
        <v>1463218</v>
      </c>
      <c r="E316" s="150">
        <v>1399667</v>
      </c>
      <c r="F316" s="10">
        <v>1959533</v>
      </c>
      <c r="G316" s="10">
        <v>89882</v>
      </c>
      <c r="H316" s="156">
        <v>0</v>
      </c>
      <c r="I316" s="150">
        <v>0</v>
      </c>
      <c r="J316" s="16">
        <v>0</v>
      </c>
      <c r="K316" s="150">
        <v>0</v>
      </c>
      <c r="L316" s="150">
        <v>81426</v>
      </c>
      <c r="M316" s="150">
        <v>91564</v>
      </c>
      <c r="N316" s="10">
        <v>86494.5</v>
      </c>
      <c r="O316" s="150">
        <v>906724</v>
      </c>
      <c r="P316" s="150">
        <v>3714</v>
      </c>
      <c r="Q316" s="150">
        <v>8505</v>
      </c>
      <c r="R316" s="16">
        <v>7815</v>
      </c>
      <c r="S316" s="16">
        <v>26289</v>
      </c>
      <c r="T316" s="150">
        <v>114711</v>
      </c>
      <c r="U316" s="150">
        <v>114711</v>
      </c>
      <c r="V316" s="150">
        <v>114345</v>
      </c>
      <c r="W316" s="150">
        <v>114589</v>
      </c>
      <c r="X316" s="150">
        <v>114589</v>
      </c>
      <c r="Y316" s="10">
        <v>191012</v>
      </c>
      <c r="Z316" s="16">
        <v>0</v>
      </c>
      <c r="AA316" s="150">
        <v>58419</v>
      </c>
    </row>
    <row r="317" spans="1:27" x14ac:dyDescent="0.35">
      <c r="A317" s="19">
        <v>3850</v>
      </c>
      <c r="B317" s="20" t="s">
        <v>351</v>
      </c>
      <c r="C317" s="150">
        <v>738342</v>
      </c>
      <c r="D317" s="150">
        <v>1301556</v>
      </c>
      <c r="E317" s="150">
        <v>1274936</v>
      </c>
      <c r="F317" s="10">
        <v>1784912</v>
      </c>
      <c r="G317" s="10">
        <v>81872</v>
      </c>
      <c r="H317" s="156">
        <v>0</v>
      </c>
      <c r="I317" s="150">
        <v>0</v>
      </c>
      <c r="J317" s="16">
        <v>0</v>
      </c>
      <c r="K317" s="150">
        <v>48266</v>
      </c>
      <c r="L317" s="150">
        <v>88507</v>
      </c>
      <c r="M317" s="150">
        <v>86231</v>
      </c>
      <c r="N317" s="10">
        <v>87367.55</v>
      </c>
      <c r="O317" s="150">
        <v>528304</v>
      </c>
      <c r="P317" s="150">
        <v>2164</v>
      </c>
      <c r="Q317" s="150">
        <v>9535</v>
      </c>
      <c r="R317" s="16">
        <v>2625</v>
      </c>
      <c r="S317" s="16">
        <v>0</v>
      </c>
      <c r="T317" s="150">
        <v>55947</v>
      </c>
      <c r="U317" s="150">
        <v>55946</v>
      </c>
      <c r="V317" s="150">
        <v>55769</v>
      </c>
      <c r="W317" s="150">
        <v>55887</v>
      </c>
      <c r="X317" s="150">
        <v>55888</v>
      </c>
      <c r="Y317" s="10">
        <v>93160</v>
      </c>
      <c r="Z317" s="16">
        <v>6906</v>
      </c>
      <c r="AA317" s="150">
        <v>30611</v>
      </c>
    </row>
    <row r="318" spans="1:27" x14ac:dyDescent="0.35">
      <c r="A318" s="19">
        <v>4956</v>
      </c>
      <c r="B318" s="20" t="s">
        <v>352</v>
      </c>
      <c r="C318" s="150">
        <v>937404</v>
      </c>
      <c r="D318" s="150">
        <v>1527728</v>
      </c>
      <c r="E318" s="150">
        <v>1540708</v>
      </c>
      <c r="F318" s="10">
        <v>2156991</v>
      </c>
      <c r="G318" s="10">
        <v>98939</v>
      </c>
      <c r="H318" s="156">
        <v>0</v>
      </c>
      <c r="I318" s="150">
        <v>0</v>
      </c>
      <c r="J318" s="16">
        <v>0</v>
      </c>
      <c r="K318" s="150">
        <v>0</v>
      </c>
      <c r="L318" s="150">
        <v>0</v>
      </c>
      <c r="M318" s="150">
        <v>0</v>
      </c>
      <c r="N318" s="10">
        <v>0</v>
      </c>
      <c r="O318" s="150">
        <v>647766</v>
      </c>
      <c r="P318" s="150">
        <v>2653</v>
      </c>
      <c r="Q318" s="150">
        <v>23390</v>
      </c>
      <c r="R318" s="16">
        <v>3692</v>
      </c>
      <c r="S318" s="16">
        <v>0</v>
      </c>
      <c r="T318" s="150">
        <v>43133</v>
      </c>
      <c r="U318" s="150">
        <v>43133</v>
      </c>
      <c r="V318" s="150">
        <v>42996</v>
      </c>
      <c r="W318" s="150">
        <v>43087</v>
      </c>
      <c r="X318" s="150">
        <v>43087</v>
      </c>
      <c r="Y318" s="10">
        <v>71824</v>
      </c>
      <c r="Z318" s="16">
        <v>2036</v>
      </c>
      <c r="AA318" s="150">
        <v>38056</v>
      </c>
    </row>
    <row r="319" spans="1:27" x14ac:dyDescent="0.35">
      <c r="A319" s="19">
        <v>4963</v>
      </c>
      <c r="B319" s="20" t="s">
        <v>353</v>
      </c>
      <c r="C319" s="150">
        <v>405019</v>
      </c>
      <c r="D319" s="150">
        <v>612091</v>
      </c>
      <c r="E319" s="150">
        <v>635694</v>
      </c>
      <c r="F319" s="10">
        <v>889972</v>
      </c>
      <c r="G319" s="10">
        <v>40822</v>
      </c>
      <c r="H319" s="156">
        <v>0</v>
      </c>
      <c r="I319" s="150">
        <v>0</v>
      </c>
      <c r="J319" s="16">
        <v>0</v>
      </c>
      <c r="K319" s="150">
        <v>0</v>
      </c>
      <c r="L319" s="150">
        <v>0</v>
      </c>
      <c r="M319" s="150">
        <v>0</v>
      </c>
      <c r="N319" s="10">
        <v>0</v>
      </c>
      <c r="O319" s="150">
        <v>388808</v>
      </c>
      <c r="P319" s="150">
        <v>1592</v>
      </c>
      <c r="Q319" s="150">
        <v>74420</v>
      </c>
      <c r="R319" s="16">
        <v>3533</v>
      </c>
      <c r="S319" s="16">
        <v>56817</v>
      </c>
      <c r="T319" s="150">
        <v>537</v>
      </c>
      <c r="U319" s="150">
        <v>536</v>
      </c>
      <c r="V319" s="150">
        <v>536</v>
      </c>
      <c r="W319" s="150">
        <v>536</v>
      </c>
      <c r="X319" s="150">
        <v>536</v>
      </c>
      <c r="Y319" s="10">
        <v>894</v>
      </c>
      <c r="Z319" s="16">
        <v>0</v>
      </c>
      <c r="AA319" s="150">
        <v>21531</v>
      </c>
    </row>
    <row r="320" spans="1:27" x14ac:dyDescent="0.35">
      <c r="A320" s="19">
        <v>1673</v>
      </c>
      <c r="B320" s="20" t="s">
        <v>354</v>
      </c>
      <c r="C320" s="150">
        <v>635093</v>
      </c>
      <c r="D320" s="150">
        <v>1182846</v>
      </c>
      <c r="E320" s="150">
        <v>1136212</v>
      </c>
      <c r="F320" s="10">
        <v>1590697</v>
      </c>
      <c r="G320" s="10">
        <v>72964</v>
      </c>
      <c r="H320" s="156">
        <v>0</v>
      </c>
      <c r="I320" s="150">
        <v>0</v>
      </c>
      <c r="J320" s="16">
        <v>0</v>
      </c>
      <c r="K320" s="150">
        <v>37423</v>
      </c>
      <c r="L320" s="150">
        <v>56644</v>
      </c>
      <c r="M320" s="150">
        <v>55188</v>
      </c>
      <c r="N320" s="10">
        <v>55915.55</v>
      </c>
      <c r="O320" s="150">
        <v>417004</v>
      </c>
      <c r="P320" s="150">
        <v>1708</v>
      </c>
      <c r="Q320" s="150">
        <v>36535</v>
      </c>
      <c r="R320" s="16">
        <v>2187</v>
      </c>
      <c r="S320" s="16">
        <v>71325</v>
      </c>
      <c r="T320" s="150">
        <v>29339</v>
      </c>
      <c r="U320" s="150">
        <v>29339</v>
      </c>
      <c r="V320" s="150">
        <v>29247</v>
      </c>
      <c r="W320" s="150">
        <v>29308</v>
      </c>
      <c r="X320" s="150">
        <v>29308</v>
      </c>
      <c r="Y320" s="10">
        <v>48855</v>
      </c>
      <c r="Z320" s="16">
        <v>0</v>
      </c>
      <c r="AA320" s="150">
        <v>26973</v>
      </c>
    </row>
    <row r="321" spans="1:27" x14ac:dyDescent="0.35">
      <c r="A321" s="19">
        <v>2422</v>
      </c>
      <c r="B321" s="20" t="s">
        <v>355</v>
      </c>
      <c r="C321" s="150">
        <v>1741119</v>
      </c>
      <c r="D321" s="150">
        <v>3019072</v>
      </c>
      <c r="E321" s="150">
        <v>2975120</v>
      </c>
      <c r="F321" s="10">
        <v>4165167</v>
      </c>
      <c r="G321" s="10">
        <v>191053</v>
      </c>
      <c r="H321" s="156">
        <v>0</v>
      </c>
      <c r="I321" s="150">
        <v>0</v>
      </c>
      <c r="J321" s="16">
        <v>0</v>
      </c>
      <c r="K321" s="150">
        <v>0</v>
      </c>
      <c r="L321" s="150">
        <v>0</v>
      </c>
      <c r="M321" s="150">
        <v>0</v>
      </c>
      <c r="N321" s="10">
        <v>0</v>
      </c>
      <c r="O321" s="150">
        <v>1193878</v>
      </c>
      <c r="P321" s="150">
        <v>4890</v>
      </c>
      <c r="Q321" s="150">
        <v>89080</v>
      </c>
      <c r="R321" s="16">
        <v>5306</v>
      </c>
      <c r="S321" s="16">
        <v>0</v>
      </c>
      <c r="T321" s="150">
        <v>113450</v>
      </c>
      <c r="U321" s="150">
        <v>113449</v>
      </c>
      <c r="V321" s="150">
        <v>113088</v>
      </c>
      <c r="W321" s="150">
        <v>113329</v>
      </c>
      <c r="X321" s="150">
        <v>113329</v>
      </c>
      <c r="Y321" s="10">
        <v>188912</v>
      </c>
      <c r="Z321" s="16">
        <v>17539</v>
      </c>
      <c r="AA321" s="150">
        <v>62091</v>
      </c>
    </row>
    <row r="322" spans="1:27" x14ac:dyDescent="0.35">
      <c r="A322" s="19">
        <v>5019</v>
      </c>
      <c r="B322" s="20" t="s">
        <v>356</v>
      </c>
      <c r="C322" s="150">
        <v>856565</v>
      </c>
      <c r="D322" s="150">
        <v>1612193</v>
      </c>
      <c r="E322" s="150">
        <v>1542974</v>
      </c>
      <c r="F322" s="10">
        <v>2160162</v>
      </c>
      <c r="G322" s="10">
        <v>99085</v>
      </c>
      <c r="H322" s="156">
        <v>0</v>
      </c>
      <c r="I322" s="150">
        <v>0</v>
      </c>
      <c r="J322" s="16">
        <v>0</v>
      </c>
      <c r="K322" s="150">
        <v>0</v>
      </c>
      <c r="L322" s="150">
        <v>89392</v>
      </c>
      <c r="M322" s="150">
        <v>94082</v>
      </c>
      <c r="N322" s="10">
        <v>91736.83</v>
      </c>
      <c r="O322" s="150">
        <v>804328</v>
      </c>
      <c r="P322" s="150">
        <v>3294</v>
      </c>
      <c r="Q322" s="150">
        <v>29925</v>
      </c>
      <c r="R322" s="16">
        <v>8215</v>
      </c>
      <c r="S322" s="16">
        <v>26163</v>
      </c>
      <c r="T322" s="150">
        <v>64907</v>
      </c>
      <c r="U322" s="150">
        <v>64907</v>
      </c>
      <c r="V322" s="150">
        <v>64700</v>
      </c>
      <c r="W322" s="150">
        <v>64838</v>
      </c>
      <c r="X322" s="150">
        <v>64839</v>
      </c>
      <c r="Y322" s="10">
        <v>108081</v>
      </c>
      <c r="Z322" s="16">
        <v>26327</v>
      </c>
      <c r="AA322" s="150">
        <v>43864</v>
      </c>
    </row>
    <row r="323" spans="1:27" x14ac:dyDescent="0.35">
      <c r="A323" s="19">
        <v>5026</v>
      </c>
      <c r="B323" s="20" t="s">
        <v>357</v>
      </c>
      <c r="C323" s="150">
        <v>604868</v>
      </c>
      <c r="D323" s="150">
        <v>963346</v>
      </c>
      <c r="E323" s="150">
        <v>980134</v>
      </c>
      <c r="F323" s="10">
        <v>1372187</v>
      </c>
      <c r="G323" s="10">
        <v>62941</v>
      </c>
      <c r="H323" s="156">
        <v>0</v>
      </c>
      <c r="I323" s="150">
        <v>0</v>
      </c>
      <c r="J323" s="16">
        <v>0</v>
      </c>
      <c r="K323" s="150">
        <v>0</v>
      </c>
      <c r="L323" s="150">
        <v>0</v>
      </c>
      <c r="M323" s="150">
        <v>0</v>
      </c>
      <c r="N323" s="10">
        <v>0</v>
      </c>
      <c r="O323" s="150">
        <v>598052</v>
      </c>
      <c r="P323" s="150">
        <v>2449</v>
      </c>
      <c r="Q323" s="150">
        <v>42090</v>
      </c>
      <c r="R323" s="16">
        <v>0</v>
      </c>
      <c r="S323" s="16">
        <v>0</v>
      </c>
      <c r="T323" s="150">
        <v>0</v>
      </c>
      <c r="U323" s="150">
        <v>189138</v>
      </c>
      <c r="V323" s="150">
        <v>94267</v>
      </c>
      <c r="W323" s="150">
        <v>94468</v>
      </c>
      <c r="X323" s="150">
        <v>94468</v>
      </c>
      <c r="Y323" s="10">
        <v>157474</v>
      </c>
      <c r="Z323" s="16">
        <v>15336</v>
      </c>
      <c r="AA323" s="150">
        <v>44866</v>
      </c>
    </row>
    <row r="324" spans="1:27" x14ac:dyDescent="0.35">
      <c r="A324" s="19">
        <v>5068</v>
      </c>
      <c r="B324" s="20" t="s">
        <v>358</v>
      </c>
      <c r="C324" s="150">
        <v>1014271</v>
      </c>
      <c r="D324" s="150">
        <v>1798986</v>
      </c>
      <c r="E324" s="150">
        <v>1758285</v>
      </c>
      <c r="F324" s="10">
        <v>2461600</v>
      </c>
      <c r="G324" s="10">
        <v>112911</v>
      </c>
      <c r="H324" s="156">
        <v>0</v>
      </c>
      <c r="I324" s="150">
        <v>0</v>
      </c>
      <c r="J324" s="16">
        <v>0</v>
      </c>
      <c r="K324" s="150">
        <v>0</v>
      </c>
      <c r="L324" s="150">
        <v>0</v>
      </c>
      <c r="M324" s="150">
        <v>0</v>
      </c>
      <c r="N324" s="10">
        <v>0</v>
      </c>
      <c r="O324" s="150">
        <v>802102</v>
      </c>
      <c r="P324" s="150">
        <v>3285</v>
      </c>
      <c r="Q324" s="150">
        <v>40270</v>
      </c>
      <c r="R324" s="16">
        <v>2159</v>
      </c>
      <c r="S324" s="16">
        <v>0</v>
      </c>
      <c r="T324" s="150">
        <v>93076</v>
      </c>
      <c r="U324" s="150">
        <v>92981</v>
      </c>
      <c r="V324" s="150">
        <v>92732</v>
      </c>
      <c r="W324" s="150">
        <v>92930</v>
      </c>
      <c r="X324" s="150">
        <v>92929</v>
      </c>
      <c r="Y324" s="10">
        <v>154908</v>
      </c>
      <c r="Z324" s="16">
        <v>50680</v>
      </c>
      <c r="AA324" s="150">
        <v>39992</v>
      </c>
    </row>
    <row r="325" spans="1:27" x14ac:dyDescent="0.35">
      <c r="A325" s="19">
        <v>5100</v>
      </c>
      <c r="B325" s="20" t="s">
        <v>359</v>
      </c>
      <c r="C325" s="150">
        <v>1745656</v>
      </c>
      <c r="D325" s="150">
        <v>3176691</v>
      </c>
      <c r="E325" s="150">
        <v>3076467</v>
      </c>
      <c r="F325" s="10">
        <v>4307053</v>
      </c>
      <c r="G325" s="10">
        <v>197561</v>
      </c>
      <c r="H325" s="156">
        <v>0</v>
      </c>
      <c r="I325" s="150">
        <v>0</v>
      </c>
      <c r="J325" s="16">
        <v>0</v>
      </c>
      <c r="K325" s="150">
        <v>0</v>
      </c>
      <c r="L325" s="150">
        <v>0</v>
      </c>
      <c r="M325" s="150">
        <v>0</v>
      </c>
      <c r="N325" s="10">
        <v>0</v>
      </c>
      <c r="O325" s="150">
        <v>1955912</v>
      </c>
      <c r="P325" s="150">
        <v>8010</v>
      </c>
      <c r="Q325" s="150">
        <v>24925</v>
      </c>
      <c r="R325" s="16">
        <v>7402</v>
      </c>
      <c r="S325" s="16">
        <v>0</v>
      </c>
      <c r="T325" s="150">
        <v>207736</v>
      </c>
      <c r="U325" s="150">
        <v>203748</v>
      </c>
      <c r="V325" s="150">
        <v>205085</v>
      </c>
      <c r="W325" s="150">
        <v>205523</v>
      </c>
      <c r="X325" s="150">
        <v>205524</v>
      </c>
      <c r="Y325" s="10">
        <v>342593</v>
      </c>
      <c r="Z325" s="16">
        <v>164621</v>
      </c>
      <c r="AA325" s="150">
        <v>129723</v>
      </c>
    </row>
    <row r="326" spans="1:27" x14ac:dyDescent="0.35">
      <c r="A326" s="19">
        <v>5124</v>
      </c>
      <c r="B326" s="20" t="s">
        <v>360</v>
      </c>
      <c r="C326" s="150">
        <v>234336</v>
      </c>
      <c r="D326" s="150">
        <v>359415</v>
      </c>
      <c r="E326" s="150">
        <v>371094</v>
      </c>
      <c r="F326" s="10">
        <v>519533</v>
      </c>
      <c r="G326" s="10">
        <v>23830</v>
      </c>
      <c r="H326" s="156">
        <v>0</v>
      </c>
      <c r="I326" s="150">
        <v>0</v>
      </c>
      <c r="J326" s="16">
        <v>0</v>
      </c>
      <c r="K326" s="150">
        <v>18711</v>
      </c>
      <c r="L326" s="150">
        <v>24782</v>
      </c>
      <c r="M326" s="150">
        <v>24144</v>
      </c>
      <c r="N326" s="10">
        <v>24463.56</v>
      </c>
      <c r="O326" s="150">
        <v>192178</v>
      </c>
      <c r="P326" s="150">
        <v>787</v>
      </c>
      <c r="Q326" s="150">
        <v>60485</v>
      </c>
      <c r="R326" s="16">
        <v>1992</v>
      </c>
      <c r="S326" s="16">
        <v>51406</v>
      </c>
      <c r="T326" s="150">
        <v>20693</v>
      </c>
      <c r="U326" s="150">
        <v>20692</v>
      </c>
      <c r="V326" s="150">
        <v>20626</v>
      </c>
      <c r="W326" s="150">
        <v>20670</v>
      </c>
      <c r="X326" s="150">
        <v>20671</v>
      </c>
      <c r="Y326" s="10">
        <v>34457</v>
      </c>
      <c r="Z326" s="16">
        <v>0</v>
      </c>
      <c r="AA326" s="150">
        <v>12886</v>
      </c>
    </row>
    <row r="327" spans="1:27" x14ac:dyDescent="0.35">
      <c r="A327" s="19">
        <v>5130</v>
      </c>
      <c r="B327" s="20" t="s">
        <v>361</v>
      </c>
      <c r="C327" s="150">
        <v>0</v>
      </c>
      <c r="D327" s="150">
        <v>0</v>
      </c>
      <c r="E327" s="150">
        <v>0</v>
      </c>
      <c r="F327" s="10">
        <v>0</v>
      </c>
      <c r="G327" s="10">
        <v>0</v>
      </c>
      <c r="H327" s="156">
        <v>2587</v>
      </c>
      <c r="I327" s="150">
        <v>1617</v>
      </c>
      <c r="J327" s="16">
        <v>2263</v>
      </c>
      <c r="K327" s="150">
        <v>0</v>
      </c>
      <c r="L327" s="150">
        <v>0</v>
      </c>
      <c r="M327" s="150">
        <v>0</v>
      </c>
      <c r="N327" s="10">
        <v>0</v>
      </c>
      <c r="O327" s="150">
        <v>406616</v>
      </c>
      <c r="P327" s="150">
        <v>1665</v>
      </c>
      <c r="Q327" s="150">
        <v>93640</v>
      </c>
      <c r="R327" s="16">
        <v>1499</v>
      </c>
      <c r="S327" s="16">
        <v>8896</v>
      </c>
      <c r="T327" s="150">
        <v>50228</v>
      </c>
      <c r="U327" s="150">
        <v>50228</v>
      </c>
      <c r="V327" s="150">
        <v>50068</v>
      </c>
      <c r="W327" s="150">
        <v>50175</v>
      </c>
      <c r="X327" s="150">
        <v>50175</v>
      </c>
      <c r="Y327" s="10">
        <v>83639</v>
      </c>
      <c r="Z327" s="16">
        <v>0</v>
      </c>
      <c r="AA327" s="150">
        <v>26672</v>
      </c>
    </row>
    <row r="328" spans="1:27" x14ac:dyDescent="0.35">
      <c r="A328" s="19">
        <v>5138</v>
      </c>
      <c r="B328" s="20" t="s">
        <v>362</v>
      </c>
      <c r="C328" s="150">
        <v>2568691</v>
      </c>
      <c r="D328" s="150">
        <v>4297902</v>
      </c>
      <c r="E328" s="150">
        <v>4291621</v>
      </c>
      <c r="F328" s="10">
        <v>6008269</v>
      </c>
      <c r="G328" s="10">
        <v>275594</v>
      </c>
      <c r="H328" s="156">
        <v>0</v>
      </c>
      <c r="I328" s="150">
        <v>0</v>
      </c>
      <c r="J328" s="16">
        <v>0</v>
      </c>
      <c r="K328" s="150">
        <v>0</v>
      </c>
      <c r="L328" s="150">
        <v>0</v>
      </c>
      <c r="M328" s="150">
        <v>0</v>
      </c>
      <c r="N328" s="10">
        <v>0</v>
      </c>
      <c r="O328" s="150">
        <v>1610140</v>
      </c>
      <c r="P328" s="150">
        <v>6594</v>
      </c>
      <c r="Q328" s="150">
        <v>24610</v>
      </c>
      <c r="R328" s="16">
        <v>5485</v>
      </c>
      <c r="S328" s="16">
        <v>0</v>
      </c>
      <c r="T328" s="150">
        <v>122235</v>
      </c>
      <c r="U328" s="150">
        <v>122236</v>
      </c>
      <c r="V328" s="150">
        <v>121844</v>
      </c>
      <c r="W328" s="150">
        <v>122105</v>
      </c>
      <c r="X328" s="150">
        <v>122106</v>
      </c>
      <c r="Y328" s="10">
        <v>203543</v>
      </c>
      <c r="Z328" s="16">
        <v>5177</v>
      </c>
      <c r="AA328" s="150">
        <v>95606</v>
      </c>
    </row>
    <row r="329" spans="1:27" x14ac:dyDescent="0.35">
      <c r="A329" s="19">
        <v>5258</v>
      </c>
      <c r="B329" s="20" t="s">
        <v>363</v>
      </c>
      <c r="C329" s="150">
        <v>319326</v>
      </c>
      <c r="D329" s="150">
        <v>557463</v>
      </c>
      <c r="E329" s="150">
        <v>547993</v>
      </c>
      <c r="F329" s="10">
        <v>767190</v>
      </c>
      <c r="G329" s="10">
        <v>35190</v>
      </c>
      <c r="H329" s="156">
        <v>0</v>
      </c>
      <c r="I329" s="150">
        <v>0</v>
      </c>
      <c r="J329" s="16">
        <v>0</v>
      </c>
      <c r="K329" s="150">
        <v>15670</v>
      </c>
      <c r="L329" s="150">
        <v>0</v>
      </c>
      <c r="M329" s="150">
        <v>0</v>
      </c>
      <c r="N329" s="10">
        <v>0</v>
      </c>
      <c r="O329" s="150">
        <v>170660</v>
      </c>
      <c r="P329" s="150">
        <v>699</v>
      </c>
      <c r="Q329" s="150">
        <v>84375</v>
      </c>
      <c r="R329" s="16">
        <v>124</v>
      </c>
      <c r="S329" s="16">
        <v>0</v>
      </c>
      <c r="T329" s="150">
        <v>18656</v>
      </c>
      <c r="U329" s="150">
        <v>18656</v>
      </c>
      <c r="V329" s="150">
        <v>18596</v>
      </c>
      <c r="W329" s="150">
        <v>16847</v>
      </c>
      <c r="X329" s="150">
        <v>18189</v>
      </c>
      <c r="Y329" s="10">
        <v>30321</v>
      </c>
      <c r="Z329" s="16">
        <v>0</v>
      </c>
      <c r="AA329" s="150">
        <v>7377</v>
      </c>
    </row>
    <row r="330" spans="1:27" x14ac:dyDescent="0.35">
      <c r="A330" s="19">
        <v>5264</v>
      </c>
      <c r="B330" s="20" t="s">
        <v>364</v>
      </c>
      <c r="C330" s="150">
        <v>2261766</v>
      </c>
      <c r="D330" s="150">
        <v>3915183</v>
      </c>
      <c r="E330" s="150">
        <v>3860593</v>
      </c>
      <c r="F330" s="10">
        <v>5404831</v>
      </c>
      <c r="G330" s="10">
        <v>247915</v>
      </c>
      <c r="H330" s="156">
        <v>0</v>
      </c>
      <c r="I330" s="150">
        <v>0</v>
      </c>
      <c r="J330" s="16">
        <v>0</v>
      </c>
      <c r="K330" s="150">
        <v>167146</v>
      </c>
      <c r="L330" s="150">
        <v>301807</v>
      </c>
      <c r="M330" s="150">
        <v>294047</v>
      </c>
      <c r="N330" s="10">
        <v>297925.94</v>
      </c>
      <c r="O330" s="150">
        <v>1725892</v>
      </c>
      <c r="P330" s="150">
        <v>7068</v>
      </c>
      <c r="Q330" s="150">
        <v>6340</v>
      </c>
      <c r="R330" s="16">
        <v>6016</v>
      </c>
      <c r="S330" s="16">
        <v>0</v>
      </c>
      <c r="T330" s="150">
        <v>185780</v>
      </c>
      <c r="U330" s="150">
        <v>185780</v>
      </c>
      <c r="V330" s="150">
        <v>185188</v>
      </c>
      <c r="W330" s="150">
        <v>185582</v>
      </c>
      <c r="X330" s="150">
        <v>185583</v>
      </c>
      <c r="Y330" s="10">
        <v>309355</v>
      </c>
      <c r="Z330" s="16">
        <v>0</v>
      </c>
      <c r="AA330" s="150">
        <v>114668</v>
      </c>
    </row>
    <row r="331" spans="1:27" x14ac:dyDescent="0.35">
      <c r="A331" s="19">
        <v>5271</v>
      </c>
      <c r="B331" s="20" t="s">
        <v>365</v>
      </c>
      <c r="C331" s="150">
        <v>11416004</v>
      </c>
      <c r="D331" s="150">
        <v>19543349</v>
      </c>
      <c r="E331" s="150">
        <v>19349595</v>
      </c>
      <c r="F331" s="10">
        <v>27089433</v>
      </c>
      <c r="G331" s="10">
        <v>1242569</v>
      </c>
      <c r="H331" s="156">
        <v>0</v>
      </c>
      <c r="I331" s="150">
        <v>0</v>
      </c>
      <c r="J331" s="16">
        <v>0</v>
      </c>
      <c r="K331" s="150">
        <v>689412</v>
      </c>
      <c r="L331" s="150">
        <v>491211</v>
      </c>
      <c r="M331" s="150">
        <v>590411</v>
      </c>
      <c r="N331" s="10">
        <v>540811.38</v>
      </c>
      <c r="O331" s="150">
        <v>7396256</v>
      </c>
      <c r="P331" s="150">
        <v>30292</v>
      </c>
      <c r="Q331" s="150">
        <v>44850</v>
      </c>
      <c r="R331" s="16">
        <v>8052</v>
      </c>
      <c r="S331" s="16">
        <v>0</v>
      </c>
      <c r="T331" s="150">
        <v>737180</v>
      </c>
      <c r="U331" s="150">
        <v>737181</v>
      </c>
      <c r="V331" s="150">
        <v>734828</v>
      </c>
      <c r="W331" s="150">
        <v>736396</v>
      </c>
      <c r="X331" s="150">
        <v>736396</v>
      </c>
      <c r="Y331" s="10">
        <v>1227533</v>
      </c>
      <c r="Z331" s="16">
        <v>22474</v>
      </c>
      <c r="AA331" s="150">
        <v>438641</v>
      </c>
    </row>
    <row r="332" spans="1:27" x14ac:dyDescent="0.35">
      <c r="A332" s="19">
        <v>5278</v>
      </c>
      <c r="B332" s="20" t="s">
        <v>366</v>
      </c>
      <c r="C332" s="150">
        <v>1427767</v>
      </c>
      <c r="D332" s="150">
        <v>2440689</v>
      </c>
      <c r="E332" s="150">
        <v>2417785</v>
      </c>
      <c r="F332" s="10">
        <v>3384900</v>
      </c>
      <c r="G332" s="10">
        <v>155262</v>
      </c>
      <c r="H332" s="156">
        <v>0</v>
      </c>
      <c r="I332" s="150">
        <v>0</v>
      </c>
      <c r="J332" s="16">
        <v>0</v>
      </c>
      <c r="K332" s="150">
        <v>0</v>
      </c>
      <c r="L332" s="150">
        <v>100012</v>
      </c>
      <c r="M332" s="150">
        <v>97440</v>
      </c>
      <c r="N332" s="10">
        <v>98727.28</v>
      </c>
      <c r="O332" s="150">
        <v>1206492</v>
      </c>
      <c r="P332" s="150">
        <v>4941</v>
      </c>
      <c r="Q332" s="150">
        <v>17085</v>
      </c>
      <c r="R332" s="16">
        <v>3747</v>
      </c>
      <c r="S332" s="16">
        <v>0</v>
      </c>
      <c r="T332" s="150">
        <v>122023</v>
      </c>
      <c r="U332" s="150">
        <v>122023</v>
      </c>
      <c r="V332" s="150">
        <v>121634</v>
      </c>
      <c r="W332" s="150">
        <v>121893</v>
      </c>
      <c r="X332" s="150">
        <v>121894</v>
      </c>
      <c r="Y332" s="10">
        <v>203186</v>
      </c>
      <c r="Z332" s="16">
        <v>2287</v>
      </c>
      <c r="AA332" s="150">
        <v>72573</v>
      </c>
    </row>
    <row r="333" spans="1:27" x14ac:dyDescent="0.35">
      <c r="A333" s="19">
        <v>5306</v>
      </c>
      <c r="B333" s="20" t="s">
        <v>367</v>
      </c>
      <c r="C333" s="150">
        <v>507573</v>
      </c>
      <c r="D333" s="150">
        <v>819828</v>
      </c>
      <c r="E333" s="150">
        <v>829626</v>
      </c>
      <c r="F333" s="10">
        <v>1161476</v>
      </c>
      <c r="G333" s="10">
        <v>53276</v>
      </c>
      <c r="H333" s="156">
        <v>0</v>
      </c>
      <c r="I333" s="150">
        <v>0</v>
      </c>
      <c r="J333" s="16">
        <v>0</v>
      </c>
      <c r="K333" s="150">
        <v>41985</v>
      </c>
      <c r="L333" s="150">
        <v>52219</v>
      </c>
      <c r="M333" s="150">
        <v>50875</v>
      </c>
      <c r="N333" s="10">
        <v>51548.28</v>
      </c>
      <c r="O333" s="150">
        <v>440006</v>
      </c>
      <c r="P333" s="150">
        <v>1802</v>
      </c>
      <c r="Q333" s="150">
        <v>32445</v>
      </c>
      <c r="R333" s="16">
        <v>2846</v>
      </c>
      <c r="S333" s="16">
        <v>5173</v>
      </c>
      <c r="T333" s="150">
        <v>41524</v>
      </c>
      <c r="U333" s="150">
        <v>41523</v>
      </c>
      <c r="V333" s="150">
        <v>41390</v>
      </c>
      <c r="W333" s="150">
        <v>41479</v>
      </c>
      <c r="X333" s="150">
        <v>41479</v>
      </c>
      <c r="Y333" s="10">
        <v>69145</v>
      </c>
      <c r="Z333" s="16">
        <v>0</v>
      </c>
      <c r="AA333" s="150">
        <v>24369</v>
      </c>
    </row>
    <row r="334" spans="1:27" x14ac:dyDescent="0.35">
      <c r="A334" s="19">
        <v>5348</v>
      </c>
      <c r="B334" s="20" t="s">
        <v>368</v>
      </c>
      <c r="C334" s="150">
        <v>690525</v>
      </c>
      <c r="D334" s="150">
        <v>1254685</v>
      </c>
      <c r="E334" s="150">
        <v>1215756</v>
      </c>
      <c r="F334" s="10">
        <v>1702059</v>
      </c>
      <c r="G334" s="10">
        <v>78072</v>
      </c>
      <c r="H334" s="156">
        <v>0</v>
      </c>
      <c r="I334" s="150">
        <v>0</v>
      </c>
      <c r="J334" s="16">
        <v>0</v>
      </c>
      <c r="K334" s="150">
        <v>0</v>
      </c>
      <c r="L334" s="150">
        <v>0</v>
      </c>
      <c r="M334" s="150">
        <v>0</v>
      </c>
      <c r="N334" s="10">
        <v>0</v>
      </c>
      <c r="O334" s="150">
        <v>518658</v>
      </c>
      <c r="P334" s="150">
        <v>2124</v>
      </c>
      <c r="Q334" s="150">
        <v>26775</v>
      </c>
      <c r="R334" s="16">
        <v>2349</v>
      </c>
      <c r="S334" s="16">
        <v>0</v>
      </c>
      <c r="T334" s="150">
        <v>41701</v>
      </c>
      <c r="U334" s="150">
        <v>41700</v>
      </c>
      <c r="V334" s="150">
        <v>41568</v>
      </c>
      <c r="W334" s="150">
        <v>41656</v>
      </c>
      <c r="X334" s="150">
        <v>41656</v>
      </c>
      <c r="Y334" s="10">
        <v>69438</v>
      </c>
      <c r="Z334" s="16">
        <v>0</v>
      </c>
      <c r="AA334" s="150">
        <v>29710</v>
      </c>
    </row>
    <row r="335" spans="1:27" x14ac:dyDescent="0.35">
      <c r="A335" s="19">
        <v>5355</v>
      </c>
      <c r="B335" s="20" t="s">
        <v>369</v>
      </c>
      <c r="C335" s="150">
        <v>699894</v>
      </c>
      <c r="D335" s="150">
        <v>1612076</v>
      </c>
      <c r="E335" s="150">
        <v>1444981</v>
      </c>
      <c r="F335" s="10">
        <v>2022974</v>
      </c>
      <c r="G335" s="10">
        <v>92792</v>
      </c>
      <c r="H335" s="156">
        <v>0</v>
      </c>
      <c r="I335" s="150">
        <v>0</v>
      </c>
      <c r="J335" s="16">
        <v>0</v>
      </c>
      <c r="K335" s="150">
        <v>0</v>
      </c>
      <c r="L335" s="150">
        <v>0</v>
      </c>
      <c r="M335" s="150">
        <v>0</v>
      </c>
      <c r="N335" s="10">
        <v>0</v>
      </c>
      <c r="O335" s="150">
        <v>1348956</v>
      </c>
      <c r="P335" s="150">
        <v>5525</v>
      </c>
      <c r="Q335" s="150">
        <v>0</v>
      </c>
      <c r="R335" s="16">
        <v>0</v>
      </c>
      <c r="S335" s="16">
        <v>0</v>
      </c>
      <c r="T335" s="150">
        <v>161221</v>
      </c>
      <c r="U335" s="150">
        <v>161221</v>
      </c>
      <c r="V335" s="150">
        <v>160706</v>
      </c>
      <c r="W335" s="150">
        <v>161050</v>
      </c>
      <c r="X335" s="150">
        <v>161049</v>
      </c>
      <c r="Y335" s="10">
        <v>268461</v>
      </c>
      <c r="Z335" s="16">
        <v>0</v>
      </c>
      <c r="AA335" s="150">
        <v>80084</v>
      </c>
    </row>
    <row r="336" spans="1:27" x14ac:dyDescent="0.35">
      <c r="A336" s="19">
        <v>5362</v>
      </c>
      <c r="B336" s="20" t="s">
        <v>370</v>
      </c>
      <c r="C336" s="150">
        <v>389459</v>
      </c>
      <c r="D336" s="150">
        <v>636316</v>
      </c>
      <c r="E336" s="150">
        <v>641110</v>
      </c>
      <c r="F336" s="10">
        <v>897553</v>
      </c>
      <c r="G336" s="10">
        <v>41170</v>
      </c>
      <c r="H336" s="156">
        <v>0</v>
      </c>
      <c r="I336" s="150">
        <v>0</v>
      </c>
      <c r="J336" s="16">
        <v>0</v>
      </c>
      <c r="K336" s="150">
        <v>0</v>
      </c>
      <c r="L336" s="150">
        <v>30092</v>
      </c>
      <c r="M336" s="150">
        <v>29318</v>
      </c>
      <c r="N336" s="10">
        <v>29705.89</v>
      </c>
      <c r="O336" s="150">
        <v>255990</v>
      </c>
      <c r="P336" s="150">
        <v>1048</v>
      </c>
      <c r="Q336" s="150">
        <v>6110</v>
      </c>
      <c r="R336" s="16">
        <v>536</v>
      </c>
      <c r="S336" s="16">
        <v>0</v>
      </c>
      <c r="T336" s="150">
        <v>16984</v>
      </c>
      <c r="U336" s="150">
        <v>16984</v>
      </c>
      <c r="V336" s="150">
        <v>16930</v>
      </c>
      <c r="W336" s="150">
        <v>16966</v>
      </c>
      <c r="X336" s="150">
        <v>16966</v>
      </c>
      <c r="Y336" s="10">
        <v>28284</v>
      </c>
      <c r="Z336" s="16">
        <v>0</v>
      </c>
      <c r="AA336" s="150">
        <v>13920</v>
      </c>
    </row>
    <row r="337" spans="1:27" x14ac:dyDescent="0.35">
      <c r="A337" s="19">
        <v>5369</v>
      </c>
      <c r="B337" s="20" t="s">
        <v>371</v>
      </c>
      <c r="C337" s="150">
        <v>391950</v>
      </c>
      <c r="D337" s="150">
        <v>615028</v>
      </c>
      <c r="E337" s="150">
        <v>629361</v>
      </c>
      <c r="F337" s="10">
        <v>881105</v>
      </c>
      <c r="G337" s="10">
        <v>40416</v>
      </c>
      <c r="H337" s="156">
        <v>0</v>
      </c>
      <c r="I337" s="150">
        <v>0</v>
      </c>
      <c r="J337" s="16">
        <v>0</v>
      </c>
      <c r="K337" s="150">
        <v>0</v>
      </c>
      <c r="L337" s="150">
        <v>0</v>
      </c>
      <c r="M337" s="150">
        <v>0</v>
      </c>
      <c r="N337" s="10">
        <v>0</v>
      </c>
      <c r="O337" s="150">
        <v>324996</v>
      </c>
      <c r="P337" s="150">
        <v>1331</v>
      </c>
      <c r="Q337" s="150">
        <v>6655</v>
      </c>
      <c r="R337" s="16">
        <v>584</v>
      </c>
      <c r="S337" s="16">
        <v>0</v>
      </c>
      <c r="T337" s="150">
        <v>28533</v>
      </c>
      <c r="U337" s="150">
        <v>28533</v>
      </c>
      <c r="V337" s="150">
        <v>28442</v>
      </c>
      <c r="W337" s="150">
        <v>28503</v>
      </c>
      <c r="X337" s="150">
        <v>28503</v>
      </c>
      <c r="Y337" s="10">
        <v>47513</v>
      </c>
      <c r="Z337" s="16">
        <v>0</v>
      </c>
      <c r="AA337" s="150">
        <v>16591</v>
      </c>
    </row>
    <row r="338" spans="1:27" x14ac:dyDescent="0.35">
      <c r="A338" s="19">
        <v>5376</v>
      </c>
      <c r="B338" s="20" t="s">
        <v>46</v>
      </c>
      <c r="C338" s="150">
        <v>70120</v>
      </c>
      <c r="D338" s="150">
        <v>166761</v>
      </c>
      <c r="E338" s="150">
        <v>148051</v>
      </c>
      <c r="F338" s="10">
        <v>207272</v>
      </c>
      <c r="G338" s="10">
        <v>9507</v>
      </c>
      <c r="H338" s="156">
        <v>0</v>
      </c>
      <c r="I338" s="150">
        <v>0</v>
      </c>
      <c r="J338" s="16">
        <v>0</v>
      </c>
      <c r="K338" s="150">
        <v>31604</v>
      </c>
      <c r="L338" s="150">
        <v>83196</v>
      </c>
      <c r="M338" s="150">
        <v>81056</v>
      </c>
      <c r="N338" s="10">
        <v>82127.22</v>
      </c>
      <c r="O338" s="150">
        <v>336868</v>
      </c>
      <c r="P338" s="150">
        <v>1380</v>
      </c>
      <c r="Q338" s="150">
        <v>34555</v>
      </c>
      <c r="R338" s="16">
        <v>3031</v>
      </c>
      <c r="S338" s="16">
        <v>102534</v>
      </c>
      <c r="T338" s="150">
        <v>44777</v>
      </c>
      <c r="U338" s="150">
        <v>44777</v>
      </c>
      <c r="V338" s="150">
        <v>44634</v>
      </c>
      <c r="W338" s="150">
        <v>44730</v>
      </c>
      <c r="X338" s="150">
        <v>44729</v>
      </c>
      <c r="Y338" s="10">
        <v>74563</v>
      </c>
      <c r="Z338" s="16">
        <v>0</v>
      </c>
      <c r="AA338" s="150">
        <v>17893</v>
      </c>
    </row>
    <row r="339" spans="1:27" x14ac:dyDescent="0.35">
      <c r="A339" s="19">
        <v>5390</v>
      </c>
      <c r="B339" s="20" t="s">
        <v>372</v>
      </c>
      <c r="C339" s="150">
        <v>1923033</v>
      </c>
      <c r="D339" s="150">
        <v>3551832</v>
      </c>
      <c r="E339" s="150">
        <v>3421791</v>
      </c>
      <c r="F339" s="10">
        <v>4790508</v>
      </c>
      <c r="G339" s="10">
        <v>219736</v>
      </c>
      <c r="H339" s="156">
        <v>0</v>
      </c>
      <c r="I339" s="150">
        <v>0</v>
      </c>
      <c r="J339" s="16">
        <v>0</v>
      </c>
      <c r="K339" s="150">
        <v>0</v>
      </c>
      <c r="L339" s="150">
        <v>0</v>
      </c>
      <c r="M339" s="150">
        <v>0</v>
      </c>
      <c r="N339" s="10">
        <v>0</v>
      </c>
      <c r="O339" s="150">
        <v>2093924</v>
      </c>
      <c r="P339" s="150">
        <v>8576</v>
      </c>
      <c r="Q339" s="150">
        <v>92915</v>
      </c>
      <c r="R339" s="16">
        <v>7703</v>
      </c>
      <c r="S339" s="16">
        <v>0</v>
      </c>
      <c r="T339" s="150">
        <v>148524</v>
      </c>
      <c r="U339" s="150">
        <v>148524</v>
      </c>
      <c r="V339" s="150">
        <v>148050</v>
      </c>
      <c r="W339" s="150">
        <v>148366</v>
      </c>
      <c r="X339" s="150">
        <v>148366</v>
      </c>
      <c r="Y339" s="10">
        <v>247319</v>
      </c>
      <c r="Z339" s="16">
        <v>0</v>
      </c>
      <c r="AA339" s="150">
        <v>128788</v>
      </c>
    </row>
    <row r="340" spans="1:27" x14ac:dyDescent="0.35">
      <c r="A340" s="19">
        <v>5397</v>
      </c>
      <c r="B340" s="20" t="s">
        <v>373</v>
      </c>
      <c r="C340" s="150">
        <v>197136</v>
      </c>
      <c r="D340" s="150">
        <v>361348</v>
      </c>
      <c r="E340" s="150">
        <v>349052</v>
      </c>
      <c r="F340" s="10">
        <v>488673</v>
      </c>
      <c r="G340" s="10">
        <v>22415</v>
      </c>
      <c r="H340" s="156">
        <v>0</v>
      </c>
      <c r="I340" s="150">
        <v>0</v>
      </c>
      <c r="J340" s="16">
        <v>0</v>
      </c>
      <c r="K340" s="150">
        <v>0</v>
      </c>
      <c r="L340" s="150">
        <v>21242</v>
      </c>
      <c r="M340" s="150">
        <v>20694</v>
      </c>
      <c r="N340" s="10">
        <v>20969.330000000002</v>
      </c>
      <c r="O340" s="150">
        <v>230020</v>
      </c>
      <c r="P340" s="150">
        <v>942</v>
      </c>
      <c r="Q340" s="150">
        <v>12795</v>
      </c>
      <c r="R340" s="16">
        <v>1122</v>
      </c>
      <c r="S340" s="16">
        <v>4405</v>
      </c>
      <c r="T340" s="150">
        <v>21737</v>
      </c>
      <c r="U340" s="150">
        <v>21736</v>
      </c>
      <c r="V340" s="150">
        <v>21668</v>
      </c>
      <c r="W340" s="150">
        <v>21713</v>
      </c>
      <c r="X340" s="150">
        <v>21714</v>
      </c>
      <c r="Y340" s="10">
        <v>36196</v>
      </c>
      <c r="Z340" s="16">
        <v>0</v>
      </c>
      <c r="AA340" s="150">
        <v>13620</v>
      </c>
    </row>
    <row r="341" spans="1:27" x14ac:dyDescent="0.35">
      <c r="A341" s="19">
        <v>5432</v>
      </c>
      <c r="B341" s="20" t="s">
        <v>374</v>
      </c>
      <c r="C341" s="150">
        <v>1378655</v>
      </c>
      <c r="D341" s="150">
        <v>2394289</v>
      </c>
      <c r="E341" s="150">
        <v>2358090</v>
      </c>
      <c r="F341" s="10">
        <v>3301325</v>
      </c>
      <c r="G341" s="10">
        <v>151429</v>
      </c>
      <c r="H341" s="156">
        <v>0</v>
      </c>
      <c r="I341" s="150">
        <v>0</v>
      </c>
      <c r="J341" s="16">
        <v>0</v>
      </c>
      <c r="K341" s="150">
        <v>0</v>
      </c>
      <c r="L341" s="150">
        <v>0</v>
      </c>
      <c r="M341" s="150">
        <v>0</v>
      </c>
      <c r="N341" s="10">
        <v>0</v>
      </c>
      <c r="O341" s="150">
        <v>1096676</v>
      </c>
      <c r="P341" s="150">
        <v>4491</v>
      </c>
      <c r="Q341" s="150">
        <v>42545</v>
      </c>
      <c r="R341" s="16">
        <v>3732</v>
      </c>
      <c r="S341" s="16">
        <v>0</v>
      </c>
      <c r="T341" s="150">
        <v>110480</v>
      </c>
      <c r="U341" s="150">
        <v>110481</v>
      </c>
      <c r="V341" s="150">
        <v>110128</v>
      </c>
      <c r="W341" s="150">
        <v>110363</v>
      </c>
      <c r="X341" s="150">
        <v>110363</v>
      </c>
      <c r="Y341" s="10">
        <v>183967</v>
      </c>
      <c r="Z341" s="16">
        <v>0</v>
      </c>
      <c r="AA341" s="150">
        <v>64494</v>
      </c>
    </row>
    <row r="342" spans="1:27" x14ac:dyDescent="0.35">
      <c r="A342" s="19">
        <v>5439</v>
      </c>
      <c r="B342" s="20" t="s">
        <v>375</v>
      </c>
      <c r="C342" s="150">
        <v>3334374</v>
      </c>
      <c r="D342" s="150">
        <v>5917890</v>
      </c>
      <c r="E342" s="150">
        <v>5782665</v>
      </c>
      <c r="F342" s="10">
        <v>8095731</v>
      </c>
      <c r="G342" s="10">
        <v>371344</v>
      </c>
      <c r="H342" s="156">
        <v>0</v>
      </c>
      <c r="I342" s="150">
        <v>0</v>
      </c>
      <c r="J342" s="16">
        <v>0</v>
      </c>
      <c r="K342" s="150">
        <v>0</v>
      </c>
      <c r="L342" s="150">
        <v>86736</v>
      </c>
      <c r="M342" s="150">
        <v>84506</v>
      </c>
      <c r="N342" s="10">
        <v>85621.440000000002</v>
      </c>
      <c r="O342" s="150">
        <v>2131024</v>
      </c>
      <c r="P342" s="150">
        <v>8728</v>
      </c>
      <c r="Q342" s="150">
        <v>0</v>
      </c>
      <c r="R342" s="16">
        <v>0</v>
      </c>
      <c r="S342" s="16">
        <v>0</v>
      </c>
      <c r="T342" s="150">
        <v>227502</v>
      </c>
      <c r="U342" s="150">
        <v>227501</v>
      </c>
      <c r="V342" s="150">
        <v>226776</v>
      </c>
      <c r="W342" s="150">
        <v>227259</v>
      </c>
      <c r="X342" s="150">
        <v>227260</v>
      </c>
      <c r="Y342" s="10">
        <v>378831</v>
      </c>
      <c r="Z342" s="16">
        <v>10676</v>
      </c>
      <c r="AA342" s="150">
        <v>122179</v>
      </c>
    </row>
    <row r="343" spans="1:27" x14ac:dyDescent="0.35">
      <c r="A343" s="19">
        <v>4522</v>
      </c>
      <c r="B343" s="20" t="s">
        <v>12</v>
      </c>
      <c r="C343" s="150">
        <v>5741</v>
      </c>
      <c r="D343" s="150">
        <v>6068</v>
      </c>
      <c r="E343" s="150">
        <v>7381</v>
      </c>
      <c r="F343" s="10">
        <v>10332</v>
      </c>
      <c r="G343" s="10">
        <v>474</v>
      </c>
      <c r="H343" s="156">
        <v>3326</v>
      </c>
      <c r="I343" s="150">
        <v>2079</v>
      </c>
      <c r="J343" s="16">
        <v>2909</v>
      </c>
      <c r="K343" s="150">
        <v>13885</v>
      </c>
      <c r="L343" s="150">
        <v>27437</v>
      </c>
      <c r="M343" s="150">
        <v>26731</v>
      </c>
      <c r="N343" s="10">
        <v>27084.720000000001</v>
      </c>
      <c r="O343" s="150">
        <v>146916</v>
      </c>
      <c r="P343" s="150">
        <v>602</v>
      </c>
      <c r="Q343" s="150">
        <v>49280</v>
      </c>
      <c r="R343" s="16">
        <v>4323</v>
      </c>
      <c r="S343" s="16">
        <v>154891</v>
      </c>
      <c r="T343" s="150">
        <v>13542</v>
      </c>
      <c r="U343" s="150">
        <v>13542</v>
      </c>
      <c r="V343" s="150">
        <v>13499</v>
      </c>
      <c r="W343" s="150">
        <v>13527</v>
      </c>
      <c r="X343" s="150">
        <v>13528</v>
      </c>
      <c r="Y343" s="10">
        <v>22549</v>
      </c>
      <c r="Z343" s="16">
        <v>0</v>
      </c>
      <c r="AA343" s="150">
        <v>9013</v>
      </c>
    </row>
    <row r="344" spans="1:27" x14ac:dyDescent="0.35">
      <c r="A344" s="19">
        <v>5457</v>
      </c>
      <c r="B344" s="20" t="s">
        <v>376</v>
      </c>
      <c r="C344" s="150">
        <v>200158</v>
      </c>
      <c r="D344" s="150">
        <v>545136</v>
      </c>
      <c r="E344" s="150">
        <v>465809</v>
      </c>
      <c r="F344" s="10">
        <v>652131</v>
      </c>
      <c r="G344" s="10">
        <v>29913</v>
      </c>
      <c r="H344" s="156">
        <v>0</v>
      </c>
      <c r="I344" s="150">
        <v>0</v>
      </c>
      <c r="J344" s="16">
        <v>0</v>
      </c>
      <c r="K344" s="150">
        <v>0</v>
      </c>
      <c r="L344" s="150">
        <v>84966</v>
      </c>
      <c r="M344" s="150">
        <v>82782</v>
      </c>
      <c r="N344" s="10">
        <v>83873.33</v>
      </c>
      <c r="O344" s="150">
        <v>778358</v>
      </c>
      <c r="P344" s="150">
        <v>3188</v>
      </c>
      <c r="Q344" s="150">
        <v>91325</v>
      </c>
      <c r="R344" s="16">
        <v>8012</v>
      </c>
      <c r="S344" s="16">
        <v>0</v>
      </c>
      <c r="T344" s="150">
        <v>84338</v>
      </c>
      <c r="U344" s="150">
        <v>84337</v>
      </c>
      <c r="V344" s="150">
        <v>83996</v>
      </c>
      <c r="W344" s="150">
        <v>84224</v>
      </c>
      <c r="X344" s="150">
        <v>84223</v>
      </c>
      <c r="Y344" s="10">
        <v>140394</v>
      </c>
      <c r="Z344" s="16">
        <v>0</v>
      </c>
      <c r="AA344" s="150">
        <v>44331</v>
      </c>
    </row>
    <row r="345" spans="1:27" x14ac:dyDescent="0.35">
      <c r="A345" s="19">
        <v>2485</v>
      </c>
      <c r="B345" s="20" t="s">
        <v>377</v>
      </c>
      <c r="C345" s="150">
        <v>319465</v>
      </c>
      <c r="D345" s="150">
        <v>1087414</v>
      </c>
      <c r="E345" s="150">
        <v>879299</v>
      </c>
      <c r="F345" s="10">
        <v>1231019</v>
      </c>
      <c r="G345" s="10">
        <v>56466</v>
      </c>
      <c r="H345" s="156">
        <v>0</v>
      </c>
      <c r="I345" s="150">
        <v>0</v>
      </c>
      <c r="J345" s="16">
        <v>0</v>
      </c>
      <c r="K345" s="150">
        <v>0</v>
      </c>
      <c r="L345" s="150">
        <v>55759</v>
      </c>
      <c r="M345" s="150">
        <v>57821</v>
      </c>
      <c r="N345" s="10">
        <v>56788.61</v>
      </c>
      <c r="O345" s="150">
        <v>398454</v>
      </c>
      <c r="P345" s="150">
        <v>1632</v>
      </c>
      <c r="Q345" s="150">
        <v>61500</v>
      </c>
      <c r="R345" s="16">
        <v>5395</v>
      </c>
      <c r="S345" s="16">
        <v>0</v>
      </c>
      <c r="T345" s="150">
        <v>38903</v>
      </c>
      <c r="U345" s="150">
        <v>38903</v>
      </c>
      <c r="V345" s="150">
        <v>46701</v>
      </c>
      <c r="W345" s="150">
        <v>41502</v>
      </c>
      <c r="X345" s="150">
        <v>41503</v>
      </c>
      <c r="Y345" s="10">
        <v>69183</v>
      </c>
      <c r="Z345" s="16">
        <v>2892</v>
      </c>
      <c r="AA345" s="150">
        <v>28375</v>
      </c>
    </row>
    <row r="346" spans="1:27" x14ac:dyDescent="0.35">
      <c r="A346" s="19">
        <v>5460</v>
      </c>
      <c r="B346" s="20" t="s">
        <v>378</v>
      </c>
      <c r="C346" s="150">
        <v>3251547</v>
      </c>
      <c r="D346" s="150">
        <v>5703378</v>
      </c>
      <c r="E346" s="150">
        <v>5596828</v>
      </c>
      <c r="F346" s="10">
        <v>7835560</v>
      </c>
      <c r="G346" s="10">
        <v>359410</v>
      </c>
      <c r="H346" s="156">
        <v>0</v>
      </c>
      <c r="I346" s="150">
        <v>0</v>
      </c>
      <c r="J346" s="16">
        <v>0</v>
      </c>
      <c r="K346" s="150">
        <v>210255</v>
      </c>
      <c r="L346" s="150">
        <v>292072</v>
      </c>
      <c r="M346" s="150">
        <v>338728</v>
      </c>
      <c r="N346" s="10">
        <v>315401.05</v>
      </c>
      <c r="O346" s="150">
        <v>2283876</v>
      </c>
      <c r="P346" s="150">
        <v>9354</v>
      </c>
      <c r="Q346" s="150">
        <v>104645</v>
      </c>
      <c r="R346" s="16">
        <v>9180</v>
      </c>
      <c r="S346" s="16">
        <v>0</v>
      </c>
      <c r="T346" s="150">
        <v>213539</v>
      </c>
      <c r="U346" s="150">
        <v>213540</v>
      </c>
      <c r="V346" s="150">
        <v>212857</v>
      </c>
      <c r="W346" s="150">
        <v>213311</v>
      </c>
      <c r="X346" s="150">
        <v>213312</v>
      </c>
      <c r="Y346" s="10">
        <v>355581</v>
      </c>
      <c r="Z346" s="16">
        <v>0</v>
      </c>
      <c r="AA346" s="150">
        <v>138770</v>
      </c>
    </row>
    <row r="347" spans="1:27" x14ac:dyDescent="0.35">
      <c r="A347" s="19">
        <v>5467</v>
      </c>
      <c r="B347" s="20" t="s">
        <v>379</v>
      </c>
      <c r="C347" s="150">
        <v>840068</v>
      </c>
      <c r="D347" s="150">
        <v>1491907</v>
      </c>
      <c r="E347" s="150">
        <v>1457484</v>
      </c>
      <c r="F347" s="10">
        <v>2040478</v>
      </c>
      <c r="G347" s="10">
        <v>93595</v>
      </c>
      <c r="H347" s="156">
        <v>0</v>
      </c>
      <c r="I347" s="150">
        <v>0</v>
      </c>
      <c r="J347" s="16">
        <v>0</v>
      </c>
      <c r="K347" s="150">
        <v>0</v>
      </c>
      <c r="L347" s="150">
        <v>0</v>
      </c>
      <c r="M347" s="150">
        <v>0</v>
      </c>
      <c r="N347" s="10">
        <v>0</v>
      </c>
      <c r="O347" s="150">
        <v>517174</v>
      </c>
      <c r="P347" s="150">
        <v>2118</v>
      </c>
      <c r="Q347" s="150">
        <v>11675</v>
      </c>
      <c r="R347" s="16">
        <v>1024</v>
      </c>
      <c r="S347" s="16">
        <v>0</v>
      </c>
      <c r="T347" s="150">
        <v>1713</v>
      </c>
      <c r="U347" s="150">
        <v>1713</v>
      </c>
      <c r="V347" s="150">
        <v>1708</v>
      </c>
      <c r="W347" s="150">
        <v>1711</v>
      </c>
      <c r="X347" s="150">
        <v>1712</v>
      </c>
      <c r="Y347" s="10">
        <v>2852</v>
      </c>
      <c r="Z347" s="16">
        <v>0</v>
      </c>
      <c r="AA347" s="150">
        <v>33783</v>
      </c>
    </row>
    <row r="348" spans="1:27" x14ac:dyDescent="0.35">
      <c r="A348" s="19">
        <v>5474</v>
      </c>
      <c r="B348" s="20" t="s">
        <v>34</v>
      </c>
      <c r="C348" s="150">
        <v>62547</v>
      </c>
      <c r="D348" s="150">
        <v>77756</v>
      </c>
      <c r="E348" s="150">
        <v>87689</v>
      </c>
      <c r="F348" s="10">
        <v>122766</v>
      </c>
      <c r="G348" s="10">
        <v>5631</v>
      </c>
      <c r="H348" s="156">
        <v>1462</v>
      </c>
      <c r="I348" s="150">
        <v>914</v>
      </c>
      <c r="J348" s="16">
        <v>1278</v>
      </c>
      <c r="K348" s="150">
        <v>83904</v>
      </c>
      <c r="L348" s="150">
        <v>148691</v>
      </c>
      <c r="M348" s="150">
        <v>144867</v>
      </c>
      <c r="N348" s="10">
        <v>146779.32999999999</v>
      </c>
      <c r="O348" s="150">
        <v>908950</v>
      </c>
      <c r="P348" s="150">
        <v>3723</v>
      </c>
      <c r="Q348" s="150">
        <v>100405</v>
      </c>
      <c r="R348" s="16">
        <v>8808</v>
      </c>
      <c r="S348" s="16">
        <v>134713</v>
      </c>
      <c r="T348" s="150">
        <v>84984</v>
      </c>
      <c r="U348" s="150">
        <v>84983</v>
      </c>
      <c r="V348" s="150">
        <v>84714</v>
      </c>
      <c r="W348" s="150">
        <v>84893</v>
      </c>
      <c r="X348" s="150">
        <v>82601</v>
      </c>
      <c r="Y348" s="10">
        <v>140747</v>
      </c>
      <c r="Z348" s="16">
        <v>0</v>
      </c>
      <c r="AA348" s="150">
        <v>57217</v>
      </c>
    </row>
    <row r="349" spans="1:27" x14ac:dyDescent="0.35">
      <c r="A349" s="19">
        <v>5586</v>
      </c>
      <c r="B349" s="20" t="s">
        <v>380</v>
      </c>
      <c r="C349" s="150">
        <v>811672</v>
      </c>
      <c r="D349" s="150">
        <v>1275978</v>
      </c>
      <c r="E349" s="150">
        <v>1304781</v>
      </c>
      <c r="F349" s="10">
        <v>1826693</v>
      </c>
      <c r="G349" s="10">
        <v>83789</v>
      </c>
      <c r="H349" s="156">
        <v>0</v>
      </c>
      <c r="I349" s="150">
        <v>0</v>
      </c>
      <c r="J349" s="16">
        <v>0</v>
      </c>
      <c r="K349" s="150">
        <v>0</v>
      </c>
      <c r="L349" s="150">
        <v>41598</v>
      </c>
      <c r="M349" s="150">
        <v>40528</v>
      </c>
      <c r="N349" s="10">
        <v>41063.61</v>
      </c>
      <c r="O349" s="150">
        <v>555758</v>
      </c>
      <c r="P349" s="150">
        <v>2276</v>
      </c>
      <c r="Q349" s="150">
        <v>43120</v>
      </c>
      <c r="R349" s="16">
        <v>3783</v>
      </c>
      <c r="S349" s="16">
        <v>30159</v>
      </c>
      <c r="T349" s="150">
        <v>25731</v>
      </c>
      <c r="U349" s="150">
        <v>25730</v>
      </c>
      <c r="V349" s="150">
        <v>25648</v>
      </c>
      <c r="W349" s="150">
        <v>25703</v>
      </c>
      <c r="X349" s="150">
        <v>25703</v>
      </c>
      <c r="Y349" s="10">
        <v>42846</v>
      </c>
      <c r="Z349" s="16">
        <v>0</v>
      </c>
      <c r="AA349" s="150">
        <v>32347</v>
      </c>
    </row>
    <row r="350" spans="1:27" x14ac:dyDescent="0.35">
      <c r="A350" s="19">
        <v>5593</v>
      </c>
      <c r="B350" s="20" t="s">
        <v>381</v>
      </c>
      <c r="C350" s="150">
        <v>1160995</v>
      </c>
      <c r="D350" s="150">
        <v>1993927</v>
      </c>
      <c r="E350" s="150">
        <v>1971826</v>
      </c>
      <c r="F350" s="10">
        <v>2760558</v>
      </c>
      <c r="G350" s="10">
        <v>126624</v>
      </c>
      <c r="H350" s="156">
        <v>0</v>
      </c>
      <c r="I350" s="150">
        <v>0</v>
      </c>
      <c r="J350" s="16">
        <v>0</v>
      </c>
      <c r="K350" s="150">
        <v>73986</v>
      </c>
      <c r="L350" s="150">
        <v>126564</v>
      </c>
      <c r="M350" s="150">
        <v>123310</v>
      </c>
      <c r="N350" s="10">
        <v>124936.94</v>
      </c>
      <c r="O350" s="150">
        <v>796908</v>
      </c>
      <c r="P350" s="150">
        <v>3264</v>
      </c>
      <c r="Q350" s="150">
        <v>59705</v>
      </c>
      <c r="R350" s="16">
        <v>5238</v>
      </c>
      <c r="S350" s="16">
        <v>615388</v>
      </c>
      <c r="T350" s="150">
        <v>55051</v>
      </c>
      <c r="U350" s="150">
        <v>55051</v>
      </c>
      <c r="V350" s="150">
        <v>54875</v>
      </c>
      <c r="W350" s="150">
        <v>54992</v>
      </c>
      <c r="X350" s="150">
        <v>54992</v>
      </c>
      <c r="Y350" s="10">
        <v>91671</v>
      </c>
      <c r="Z350" s="16">
        <v>1859</v>
      </c>
      <c r="AA350" s="150">
        <v>53378</v>
      </c>
    </row>
    <row r="351" spans="1:27" x14ac:dyDescent="0.35">
      <c r="A351" s="19">
        <v>5607</v>
      </c>
      <c r="B351" s="20" t="s">
        <v>382</v>
      </c>
      <c r="C351" s="150">
        <v>5856077</v>
      </c>
      <c r="D351" s="150">
        <v>10929652</v>
      </c>
      <c r="E351" s="150">
        <v>10491081</v>
      </c>
      <c r="F351" s="10">
        <v>14687513</v>
      </c>
      <c r="G351" s="10">
        <v>673703</v>
      </c>
      <c r="H351" s="156">
        <v>0</v>
      </c>
      <c r="I351" s="150">
        <v>0</v>
      </c>
      <c r="J351" s="16">
        <v>0</v>
      </c>
      <c r="K351" s="150">
        <v>0</v>
      </c>
      <c r="L351" s="150">
        <v>0</v>
      </c>
      <c r="M351" s="150">
        <v>0</v>
      </c>
      <c r="N351" s="10">
        <v>0</v>
      </c>
      <c r="O351" s="150">
        <v>5355756</v>
      </c>
      <c r="P351" s="150">
        <v>21935</v>
      </c>
      <c r="Q351" s="150">
        <v>233790</v>
      </c>
      <c r="R351" s="16">
        <v>20510</v>
      </c>
      <c r="S351" s="16">
        <v>0</v>
      </c>
      <c r="T351" s="150">
        <v>643278</v>
      </c>
      <c r="U351" s="150">
        <v>643278</v>
      </c>
      <c r="V351" s="150">
        <v>643467</v>
      </c>
      <c r="W351" s="150">
        <v>643341</v>
      </c>
      <c r="X351" s="150">
        <v>643341</v>
      </c>
      <c r="Y351" s="10">
        <v>1072416</v>
      </c>
      <c r="Z351" s="16">
        <v>132620</v>
      </c>
      <c r="AA351" s="150">
        <v>341232</v>
      </c>
    </row>
    <row r="352" spans="1:27" x14ac:dyDescent="0.35">
      <c r="A352" s="19">
        <v>5614</v>
      </c>
      <c r="B352" s="20" t="s">
        <v>50</v>
      </c>
      <c r="C352" s="150">
        <v>120831</v>
      </c>
      <c r="D352" s="150">
        <v>196750</v>
      </c>
      <c r="E352" s="150">
        <v>198488</v>
      </c>
      <c r="F352" s="10">
        <v>277883</v>
      </c>
      <c r="G352" s="10">
        <v>12746</v>
      </c>
      <c r="H352" s="156">
        <v>0</v>
      </c>
      <c r="I352" s="150">
        <v>0</v>
      </c>
      <c r="J352" s="16">
        <v>0</v>
      </c>
      <c r="K352" s="150">
        <v>0</v>
      </c>
      <c r="L352" s="150">
        <v>0</v>
      </c>
      <c r="M352" s="150">
        <v>0</v>
      </c>
      <c r="N352" s="10">
        <v>0</v>
      </c>
      <c r="O352" s="150">
        <v>177338</v>
      </c>
      <c r="P352" s="150">
        <v>726</v>
      </c>
      <c r="Q352" s="150">
        <v>2670</v>
      </c>
      <c r="R352" s="16">
        <v>234</v>
      </c>
      <c r="S352" s="16">
        <v>0</v>
      </c>
      <c r="T352" s="150">
        <v>8249</v>
      </c>
      <c r="U352" s="150">
        <v>8249</v>
      </c>
      <c r="V352" s="150">
        <v>8223</v>
      </c>
      <c r="W352" s="150">
        <v>8240</v>
      </c>
      <c r="X352" s="150">
        <v>8240</v>
      </c>
      <c r="Y352" s="10">
        <v>13739</v>
      </c>
      <c r="Z352" s="16">
        <v>0</v>
      </c>
      <c r="AA352" s="150">
        <v>11884</v>
      </c>
    </row>
    <row r="353" spans="1:27" x14ac:dyDescent="0.35">
      <c r="A353" s="19">
        <v>3542</v>
      </c>
      <c r="B353" s="20" t="s">
        <v>383</v>
      </c>
      <c r="C353" s="150">
        <v>7683</v>
      </c>
      <c r="D353" s="150">
        <v>6569</v>
      </c>
      <c r="E353" s="150">
        <v>8907</v>
      </c>
      <c r="F353" s="10">
        <v>12471</v>
      </c>
      <c r="G353" s="10">
        <v>572</v>
      </c>
      <c r="H353" s="156">
        <v>3210</v>
      </c>
      <c r="I353" s="150">
        <v>2007</v>
      </c>
      <c r="J353" s="16">
        <v>2809</v>
      </c>
      <c r="K353" s="150">
        <v>0</v>
      </c>
      <c r="L353" s="150">
        <v>0</v>
      </c>
      <c r="M353" s="150">
        <v>0</v>
      </c>
      <c r="N353" s="10">
        <v>0</v>
      </c>
      <c r="O353" s="150">
        <v>209244</v>
      </c>
      <c r="P353" s="150">
        <v>857</v>
      </c>
      <c r="Q353" s="150">
        <v>5960</v>
      </c>
      <c r="R353" s="16">
        <v>523</v>
      </c>
      <c r="S353" s="16">
        <v>0</v>
      </c>
      <c r="T353" s="150">
        <v>17740</v>
      </c>
      <c r="U353" s="150">
        <v>15852</v>
      </c>
      <c r="V353" s="150">
        <v>16743</v>
      </c>
      <c r="W353" s="150">
        <v>16779</v>
      </c>
      <c r="X353" s="150">
        <v>16778</v>
      </c>
      <c r="Y353" s="10">
        <v>27969</v>
      </c>
      <c r="Z353" s="16">
        <v>0</v>
      </c>
      <c r="AA353" s="150">
        <v>10716</v>
      </c>
    </row>
    <row r="354" spans="1:27" x14ac:dyDescent="0.35">
      <c r="A354" s="19">
        <v>5621</v>
      </c>
      <c r="B354" s="20" t="s">
        <v>384</v>
      </c>
      <c r="C354" s="150">
        <v>1755174</v>
      </c>
      <c r="D354" s="150">
        <v>3143094</v>
      </c>
      <c r="E354" s="150">
        <v>3061418</v>
      </c>
      <c r="F354" s="10">
        <v>4285985</v>
      </c>
      <c r="G354" s="10">
        <v>196594</v>
      </c>
      <c r="H354" s="156">
        <v>0</v>
      </c>
      <c r="I354" s="150">
        <v>0</v>
      </c>
      <c r="J354" s="16">
        <v>0</v>
      </c>
      <c r="K354" s="150">
        <v>0</v>
      </c>
      <c r="L354" s="150">
        <v>0</v>
      </c>
      <c r="M354" s="150">
        <v>0</v>
      </c>
      <c r="N354" s="10">
        <v>0</v>
      </c>
      <c r="O354" s="150">
        <v>2189642</v>
      </c>
      <c r="P354" s="150">
        <v>8968</v>
      </c>
      <c r="Q354" s="150">
        <v>36370</v>
      </c>
      <c r="R354" s="16">
        <v>3191</v>
      </c>
      <c r="S354" s="16">
        <v>0</v>
      </c>
      <c r="T354" s="150">
        <v>244639</v>
      </c>
      <c r="U354" s="150">
        <v>244639</v>
      </c>
      <c r="V354" s="150">
        <v>243858</v>
      </c>
      <c r="W354" s="150">
        <v>244379</v>
      </c>
      <c r="X354" s="150">
        <v>244378</v>
      </c>
      <c r="Y354" s="10">
        <v>407365</v>
      </c>
      <c r="Z354" s="16">
        <v>94867</v>
      </c>
      <c r="AA354" s="150">
        <v>118406</v>
      </c>
    </row>
    <row r="355" spans="1:27" x14ac:dyDescent="0.35">
      <c r="A355" s="19">
        <v>5628</v>
      </c>
      <c r="B355" s="20" t="s">
        <v>385</v>
      </c>
      <c r="C355" s="150">
        <v>937158</v>
      </c>
      <c r="D355" s="150">
        <v>1665941</v>
      </c>
      <c r="E355" s="150">
        <v>1626937</v>
      </c>
      <c r="F355" s="10">
        <v>2277711</v>
      </c>
      <c r="G355" s="10">
        <v>104477</v>
      </c>
      <c r="H355" s="156">
        <v>0</v>
      </c>
      <c r="I355" s="150">
        <v>0</v>
      </c>
      <c r="J355" s="16">
        <v>0</v>
      </c>
      <c r="K355" s="150">
        <v>0</v>
      </c>
      <c r="L355" s="150">
        <v>39828</v>
      </c>
      <c r="M355" s="150">
        <v>38804</v>
      </c>
      <c r="N355" s="10">
        <v>39315.5</v>
      </c>
      <c r="O355" s="150">
        <v>647024</v>
      </c>
      <c r="P355" s="150">
        <v>2650</v>
      </c>
      <c r="Q355" s="150">
        <v>25790</v>
      </c>
      <c r="R355" s="16">
        <v>2263</v>
      </c>
      <c r="S355" s="16">
        <v>165001</v>
      </c>
      <c r="T355" s="150">
        <v>42995</v>
      </c>
      <c r="U355" s="150">
        <v>42994</v>
      </c>
      <c r="V355" s="150">
        <v>42857</v>
      </c>
      <c r="W355" s="150">
        <v>42949</v>
      </c>
      <c r="X355" s="150">
        <v>42949</v>
      </c>
      <c r="Y355" s="10">
        <v>71592</v>
      </c>
      <c r="Z355" s="16">
        <v>0</v>
      </c>
      <c r="AA355" s="150">
        <v>42195</v>
      </c>
    </row>
    <row r="356" spans="1:27" x14ac:dyDescent="0.35">
      <c r="A356" s="19">
        <v>5642</v>
      </c>
      <c r="B356" s="20" t="s">
        <v>386</v>
      </c>
      <c r="C356" s="150">
        <v>640894</v>
      </c>
      <c r="D356" s="150">
        <v>1082327</v>
      </c>
      <c r="E356" s="150">
        <v>1077013</v>
      </c>
      <c r="F356" s="10">
        <v>1507819</v>
      </c>
      <c r="G356" s="10">
        <v>69162</v>
      </c>
      <c r="H356" s="156">
        <v>0</v>
      </c>
      <c r="I356" s="150">
        <v>0</v>
      </c>
      <c r="J356" s="16">
        <v>0</v>
      </c>
      <c r="K356" s="150">
        <v>0</v>
      </c>
      <c r="L356" s="150">
        <v>123909</v>
      </c>
      <c r="M356" s="150">
        <v>120723</v>
      </c>
      <c r="N356" s="10">
        <v>122315.78</v>
      </c>
      <c r="O356" s="150">
        <v>811006</v>
      </c>
      <c r="P356" s="150">
        <v>3321</v>
      </c>
      <c r="Q356" s="150">
        <v>18940</v>
      </c>
      <c r="R356" s="16">
        <v>1662</v>
      </c>
      <c r="S356" s="16">
        <v>0</v>
      </c>
      <c r="T356" s="150">
        <v>108299</v>
      </c>
      <c r="U356" s="150">
        <v>108299</v>
      </c>
      <c r="V356" s="150">
        <v>107953</v>
      </c>
      <c r="W356" s="150">
        <v>108183</v>
      </c>
      <c r="X356" s="150">
        <v>108184</v>
      </c>
      <c r="Y356" s="10">
        <v>180339</v>
      </c>
      <c r="Z356" s="16">
        <v>0</v>
      </c>
      <c r="AA356" s="150">
        <v>56149</v>
      </c>
    </row>
    <row r="357" spans="1:27" x14ac:dyDescent="0.35">
      <c r="A357" s="19">
        <v>5656</v>
      </c>
      <c r="B357" s="20" t="s">
        <v>387</v>
      </c>
      <c r="C357" s="150">
        <v>7039814</v>
      </c>
      <c r="D357" s="150">
        <v>12481592</v>
      </c>
      <c r="E357" s="150">
        <v>12200878</v>
      </c>
      <c r="F357" s="10">
        <v>17081230</v>
      </c>
      <c r="G357" s="10">
        <v>783501</v>
      </c>
      <c r="H357" s="156">
        <v>0</v>
      </c>
      <c r="I357" s="150">
        <v>0</v>
      </c>
      <c r="J357" s="16">
        <v>0</v>
      </c>
      <c r="K357" s="150">
        <v>0</v>
      </c>
      <c r="L357" s="150">
        <v>231002</v>
      </c>
      <c r="M357" s="150">
        <v>225062</v>
      </c>
      <c r="N357" s="10">
        <v>228031.5</v>
      </c>
      <c r="O357" s="150">
        <v>6160084</v>
      </c>
      <c r="P357" s="150">
        <v>25229</v>
      </c>
      <c r="Q357" s="150">
        <v>124355</v>
      </c>
      <c r="R357" s="16">
        <v>10909</v>
      </c>
      <c r="S357" s="16">
        <v>0</v>
      </c>
      <c r="T357" s="150">
        <v>770282</v>
      </c>
      <c r="U357" s="150">
        <v>770281</v>
      </c>
      <c r="V357" s="150">
        <v>767824</v>
      </c>
      <c r="W357" s="150">
        <v>769462</v>
      </c>
      <c r="X357" s="150">
        <v>769462</v>
      </c>
      <c r="Y357" s="10">
        <v>1282652</v>
      </c>
      <c r="Z357" s="16">
        <v>65297</v>
      </c>
      <c r="AA357" s="150">
        <v>336292</v>
      </c>
    </row>
    <row r="358" spans="1:27" x14ac:dyDescent="0.35">
      <c r="A358" s="19">
        <v>5663</v>
      </c>
      <c r="B358" s="20" t="s">
        <v>388</v>
      </c>
      <c r="C358" s="150">
        <v>4604701</v>
      </c>
      <c r="D358" s="150">
        <v>7744681</v>
      </c>
      <c r="E358" s="150">
        <v>7718364</v>
      </c>
      <c r="F358" s="10">
        <v>10805709</v>
      </c>
      <c r="G358" s="10">
        <v>495648</v>
      </c>
      <c r="H358" s="156">
        <v>0</v>
      </c>
      <c r="I358" s="150">
        <v>0</v>
      </c>
      <c r="J358" s="16">
        <v>0</v>
      </c>
      <c r="K358" s="150">
        <v>0</v>
      </c>
      <c r="L358" s="150">
        <v>518648</v>
      </c>
      <c r="M358" s="150">
        <v>529774</v>
      </c>
      <c r="N358" s="10">
        <v>524211.32</v>
      </c>
      <c r="O358" s="150">
        <v>3331580</v>
      </c>
      <c r="P358" s="150">
        <v>13645</v>
      </c>
      <c r="Q358" s="150">
        <v>153435</v>
      </c>
      <c r="R358" s="16">
        <v>13461</v>
      </c>
      <c r="S358" s="16">
        <v>0</v>
      </c>
      <c r="T358" s="150">
        <v>363886</v>
      </c>
      <c r="U358" s="150">
        <v>363886</v>
      </c>
      <c r="V358" s="150">
        <v>362726</v>
      </c>
      <c r="W358" s="150">
        <v>363499</v>
      </c>
      <c r="X358" s="150">
        <v>363499</v>
      </c>
      <c r="Y358" s="10">
        <v>605932</v>
      </c>
      <c r="Z358" s="16">
        <v>0</v>
      </c>
      <c r="AA358" s="150">
        <v>191246</v>
      </c>
    </row>
    <row r="359" spans="1:27" x14ac:dyDescent="0.35">
      <c r="A359" s="19">
        <v>5670</v>
      </c>
      <c r="B359" s="20" t="s">
        <v>43</v>
      </c>
      <c r="C359" s="150">
        <v>10711</v>
      </c>
      <c r="D359" s="150">
        <v>16628</v>
      </c>
      <c r="E359" s="150">
        <v>17087</v>
      </c>
      <c r="F359" s="10">
        <v>23923</v>
      </c>
      <c r="G359" s="10">
        <v>1097</v>
      </c>
      <c r="H359" s="156">
        <v>6612</v>
      </c>
      <c r="I359" s="150">
        <v>4132</v>
      </c>
      <c r="J359" s="16">
        <v>5785</v>
      </c>
      <c r="K359" s="150">
        <v>26579</v>
      </c>
      <c r="L359" s="150">
        <v>45138</v>
      </c>
      <c r="M359" s="150">
        <v>43978</v>
      </c>
      <c r="N359" s="10">
        <v>44557.83</v>
      </c>
      <c r="O359" s="150">
        <v>288638</v>
      </c>
      <c r="P359" s="150">
        <v>1182</v>
      </c>
      <c r="Q359" s="150">
        <v>43430</v>
      </c>
      <c r="R359" s="16">
        <v>3810</v>
      </c>
      <c r="S359" s="16">
        <v>157332</v>
      </c>
      <c r="T359" s="150">
        <v>27597</v>
      </c>
      <c r="U359" s="150">
        <v>27596</v>
      </c>
      <c r="V359" s="150">
        <v>27509</v>
      </c>
      <c r="W359" s="150">
        <v>27567</v>
      </c>
      <c r="X359" s="150">
        <v>27568</v>
      </c>
      <c r="Y359" s="10">
        <v>45953</v>
      </c>
      <c r="Z359" s="16">
        <v>0</v>
      </c>
      <c r="AA359" s="150">
        <v>18193</v>
      </c>
    </row>
    <row r="360" spans="1:27" x14ac:dyDescent="0.35">
      <c r="A360" s="19">
        <v>3510</v>
      </c>
      <c r="B360" s="20" t="s">
        <v>389</v>
      </c>
      <c r="C360" s="150">
        <v>21792</v>
      </c>
      <c r="D360" s="150">
        <v>22423</v>
      </c>
      <c r="E360" s="150">
        <v>27634</v>
      </c>
      <c r="F360" s="10">
        <v>38688</v>
      </c>
      <c r="G360" s="10">
        <v>1775</v>
      </c>
      <c r="H360" s="156">
        <v>58401</v>
      </c>
      <c r="I360" s="150">
        <v>36501</v>
      </c>
      <c r="J360" s="16">
        <v>51101</v>
      </c>
      <c r="K360" s="150">
        <v>0</v>
      </c>
      <c r="L360" s="150">
        <v>0</v>
      </c>
      <c r="M360" s="150">
        <v>0</v>
      </c>
      <c r="N360" s="10">
        <v>0</v>
      </c>
      <c r="O360" s="150">
        <v>310898</v>
      </c>
      <c r="P360" s="150">
        <v>1273</v>
      </c>
      <c r="Q360" s="150">
        <v>4960</v>
      </c>
      <c r="R360" s="16">
        <v>435</v>
      </c>
      <c r="S360" s="16">
        <v>0</v>
      </c>
      <c r="T360" s="150">
        <v>18180</v>
      </c>
      <c r="U360" s="150">
        <v>18181</v>
      </c>
      <c r="V360" s="150">
        <v>18121</v>
      </c>
      <c r="W360" s="150">
        <v>18161</v>
      </c>
      <c r="X360" s="150">
        <v>18161</v>
      </c>
      <c r="Y360" s="10">
        <v>30272</v>
      </c>
      <c r="Z360" s="16">
        <v>0</v>
      </c>
      <c r="AA360" s="150">
        <v>16324</v>
      </c>
    </row>
    <row r="361" spans="1:27" x14ac:dyDescent="0.35">
      <c r="A361" s="19">
        <v>5726</v>
      </c>
      <c r="B361" s="20" t="s">
        <v>390</v>
      </c>
      <c r="C361" s="150">
        <v>582007</v>
      </c>
      <c r="D361" s="150">
        <v>1066983</v>
      </c>
      <c r="E361" s="150">
        <v>1030619</v>
      </c>
      <c r="F361" s="10">
        <v>1442866</v>
      </c>
      <c r="G361" s="10">
        <v>66183</v>
      </c>
      <c r="H361" s="156">
        <v>0</v>
      </c>
      <c r="I361" s="150">
        <v>0</v>
      </c>
      <c r="J361" s="16">
        <v>0</v>
      </c>
      <c r="K361" s="150">
        <v>38547</v>
      </c>
      <c r="L361" s="150">
        <v>67265</v>
      </c>
      <c r="M361" s="150">
        <v>65535</v>
      </c>
      <c r="N361" s="10">
        <v>66400.22</v>
      </c>
      <c r="O361" s="150">
        <v>414036</v>
      </c>
      <c r="P361" s="150">
        <v>1696</v>
      </c>
      <c r="Q361" s="150">
        <v>18040</v>
      </c>
      <c r="R361" s="16">
        <v>1583</v>
      </c>
      <c r="S361" s="16">
        <v>68400</v>
      </c>
      <c r="T361" s="150">
        <v>43311</v>
      </c>
      <c r="U361" s="150">
        <v>43312</v>
      </c>
      <c r="V361" s="150">
        <v>43173</v>
      </c>
      <c r="W361" s="150">
        <v>43266</v>
      </c>
      <c r="X361" s="150">
        <v>43265</v>
      </c>
      <c r="Y361" s="10">
        <v>72120</v>
      </c>
      <c r="Z361" s="16">
        <v>3606</v>
      </c>
      <c r="AA361" s="150">
        <v>33482</v>
      </c>
    </row>
    <row r="362" spans="1:27" x14ac:dyDescent="0.35">
      <c r="A362" s="19">
        <v>5733</v>
      </c>
      <c r="B362" s="20" t="s">
        <v>44</v>
      </c>
      <c r="C362" s="150">
        <v>0</v>
      </c>
      <c r="D362" s="150">
        <v>0</v>
      </c>
      <c r="E362" s="150">
        <v>0</v>
      </c>
      <c r="F362" s="10">
        <v>0</v>
      </c>
      <c r="G362" s="10">
        <v>0</v>
      </c>
      <c r="H362" s="156">
        <v>4465</v>
      </c>
      <c r="I362" s="150">
        <v>2791</v>
      </c>
      <c r="J362" s="16">
        <v>3907</v>
      </c>
      <c r="K362" s="150">
        <v>0</v>
      </c>
      <c r="L362" s="150">
        <v>0</v>
      </c>
      <c r="M362" s="150">
        <v>0</v>
      </c>
      <c r="N362" s="10">
        <v>0</v>
      </c>
      <c r="O362" s="150">
        <v>372484</v>
      </c>
      <c r="P362" s="150">
        <v>1526</v>
      </c>
      <c r="Q362" s="150">
        <v>45295</v>
      </c>
      <c r="R362" s="16">
        <v>3974</v>
      </c>
      <c r="S362" s="16">
        <v>245050</v>
      </c>
      <c r="T362" s="150">
        <v>64824</v>
      </c>
      <c r="U362" s="150">
        <v>64823</v>
      </c>
      <c r="V362" s="150">
        <v>64618</v>
      </c>
      <c r="W362" s="150">
        <v>64755</v>
      </c>
      <c r="X362" s="150">
        <v>64755</v>
      </c>
      <c r="Y362" s="10">
        <v>107942</v>
      </c>
      <c r="Z362" s="16">
        <v>15759</v>
      </c>
      <c r="AA362" s="150">
        <v>21298</v>
      </c>
    </row>
    <row r="363" spans="1:27" x14ac:dyDescent="0.35">
      <c r="A363" s="19">
        <v>5740</v>
      </c>
      <c r="B363" s="20" t="s">
        <v>391</v>
      </c>
      <c r="C363" s="150">
        <v>210522</v>
      </c>
      <c r="D363" s="150">
        <v>392079</v>
      </c>
      <c r="E363" s="150">
        <v>376626</v>
      </c>
      <c r="F363" s="10">
        <v>527276</v>
      </c>
      <c r="G363" s="10">
        <v>24186</v>
      </c>
      <c r="H363" s="156">
        <v>0</v>
      </c>
      <c r="I363" s="150">
        <v>0</v>
      </c>
      <c r="J363" s="16">
        <v>0</v>
      </c>
      <c r="K363" s="150">
        <v>16794</v>
      </c>
      <c r="L363" s="150">
        <v>35403</v>
      </c>
      <c r="M363" s="150">
        <v>44977</v>
      </c>
      <c r="N363" s="10">
        <v>40188.550000000003</v>
      </c>
      <c r="O363" s="150">
        <v>183274</v>
      </c>
      <c r="P363" s="150">
        <v>751</v>
      </c>
      <c r="Q363" s="150">
        <v>9045</v>
      </c>
      <c r="R363" s="16">
        <v>793</v>
      </c>
      <c r="S363" s="16">
        <v>0</v>
      </c>
      <c r="T363" s="150">
        <v>8781</v>
      </c>
      <c r="U363" s="150">
        <v>8782</v>
      </c>
      <c r="V363" s="150">
        <v>8753</v>
      </c>
      <c r="W363" s="150">
        <v>8772</v>
      </c>
      <c r="X363" s="150">
        <v>8772</v>
      </c>
      <c r="Y363" s="10">
        <v>14623</v>
      </c>
      <c r="Z363" s="16">
        <v>0</v>
      </c>
      <c r="AA363" s="150">
        <v>12184</v>
      </c>
    </row>
    <row r="364" spans="1:27" x14ac:dyDescent="0.35">
      <c r="A364" s="19">
        <v>5747</v>
      </c>
      <c r="B364" s="20" t="s">
        <v>392</v>
      </c>
      <c r="C364" s="150">
        <v>2802412</v>
      </c>
      <c r="D364" s="150">
        <v>5013812</v>
      </c>
      <c r="E364" s="150">
        <v>4885140</v>
      </c>
      <c r="F364" s="10">
        <v>6839195</v>
      </c>
      <c r="G364" s="10">
        <v>313708</v>
      </c>
      <c r="H364" s="156">
        <v>0</v>
      </c>
      <c r="I364" s="150">
        <v>0</v>
      </c>
      <c r="J364" s="16">
        <v>0</v>
      </c>
      <c r="K364" s="150">
        <v>0</v>
      </c>
      <c r="L364" s="150">
        <v>0</v>
      </c>
      <c r="M364" s="150">
        <v>0</v>
      </c>
      <c r="N364" s="10">
        <v>0</v>
      </c>
      <c r="O364" s="150">
        <v>2325428</v>
      </c>
      <c r="P364" s="150">
        <v>9524</v>
      </c>
      <c r="Q364" s="150">
        <v>146000</v>
      </c>
      <c r="R364" s="16">
        <v>12808</v>
      </c>
      <c r="S364" s="16">
        <v>288953</v>
      </c>
      <c r="T364" s="150">
        <v>224978</v>
      </c>
      <c r="U364" s="150">
        <v>224978</v>
      </c>
      <c r="V364" s="150">
        <v>224261</v>
      </c>
      <c r="W364" s="150">
        <v>224738</v>
      </c>
      <c r="X364" s="150">
        <v>224739</v>
      </c>
      <c r="Y364" s="10">
        <v>374626</v>
      </c>
      <c r="Z364" s="16">
        <v>0</v>
      </c>
      <c r="AA364" s="150">
        <v>143844</v>
      </c>
    </row>
    <row r="365" spans="1:27" x14ac:dyDescent="0.35">
      <c r="A365" s="19">
        <v>5754</v>
      </c>
      <c r="B365" s="20" t="s">
        <v>393</v>
      </c>
      <c r="C365" s="150">
        <v>59902</v>
      </c>
      <c r="D365" s="150">
        <v>205581</v>
      </c>
      <c r="E365" s="150">
        <v>165927</v>
      </c>
      <c r="F365" s="10">
        <v>232299</v>
      </c>
      <c r="G365" s="10">
        <v>10655</v>
      </c>
      <c r="H365" s="156">
        <v>0</v>
      </c>
      <c r="I365" s="150">
        <v>0</v>
      </c>
      <c r="J365" s="16">
        <v>0</v>
      </c>
      <c r="K365" s="150">
        <v>0</v>
      </c>
      <c r="L365" s="150">
        <v>90277</v>
      </c>
      <c r="M365" s="150">
        <v>96691</v>
      </c>
      <c r="N365" s="10">
        <v>93484.94</v>
      </c>
      <c r="O365" s="150">
        <v>849590</v>
      </c>
      <c r="P365" s="150">
        <v>3480</v>
      </c>
      <c r="Q365" s="150">
        <v>66495</v>
      </c>
      <c r="R365" s="16">
        <v>5833</v>
      </c>
      <c r="S365" s="16">
        <v>132672</v>
      </c>
      <c r="T365" s="150">
        <v>91891</v>
      </c>
      <c r="U365" s="150">
        <v>91892</v>
      </c>
      <c r="V365" s="150">
        <v>91598</v>
      </c>
      <c r="W365" s="150">
        <v>91793</v>
      </c>
      <c r="X365" s="150">
        <v>91794</v>
      </c>
      <c r="Y365" s="10">
        <v>153017</v>
      </c>
      <c r="Z365" s="16">
        <v>0</v>
      </c>
      <c r="AA365" s="150">
        <v>44999</v>
      </c>
    </row>
    <row r="366" spans="1:27" x14ac:dyDescent="0.35">
      <c r="A366" s="19">
        <v>126</v>
      </c>
      <c r="B366" s="20" t="s">
        <v>394</v>
      </c>
      <c r="C366" s="150">
        <v>891393</v>
      </c>
      <c r="D366" s="150">
        <v>1648095</v>
      </c>
      <c r="E366" s="150">
        <v>1587180</v>
      </c>
      <c r="F366" s="10">
        <v>2222051</v>
      </c>
      <c r="G366" s="10">
        <v>101924</v>
      </c>
      <c r="H366" s="156">
        <v>0</v>
      </c>
      <c r="I366" s="150">
        <v>0</v>
      </c>
      <c r="J366" s="16">
        <v>0</v>
      </c>
      <c r="K366" s="150">
        <v>0</v>
      </c>
      <c r="L366" s="150">
        <v>0</v>
      </c>
      <c r="M366" s="150">
        <v>0</v>
      </c>
      <c r="N366" s="10">
        <v>0</v>
      </c>
      <c r="O366" s="150">
        <v>683382</v>
      </c>
      <c r="P366" s="150">
        <v>2799</v>
      </c>
      <c r="Q366" s="150">
        <v>48735</v>
      </c>
      <c r="R366" s="16">
        <v>4275</v>
      </c>
      <c r="S366" s="16">
        <v>0</v>
      </c>
      <c r="T366" s="150">
        <v>49269</v>
      </c>
      <c r="U366" s="150">
        <v>49270</v>
      </c>
      <c r="V366" s="150">
        <v>49112</v>
      </c>
      <c r="W366" s="150">
        <v>49217</v>
      </c>
      <c r="X366" s="150">
        <v>49217</v>
      </c>
      <c r="Y366" s="10">
        <v>82042</v>
      </c>
      <c r="Z366" s="16">
        <v>0</v>
      </c>
      <c r="AA366" s="150">
        <v>40493</v>
      </c>
    </row>
    <row r="367" spans="1:27" x14ac:dyDescent="0.35">
      <c r="A367" s="19">
        <v>5780</v>
      </c>
      <c r="B367" s="20" t="s">
        <v>395</v>
      </c>
      <c r="C367" s="150">
        <v>513246</v>
      </c>
      <c r="D367" s="150">
        <v>814631</v>
      </c>
      <c r="E367" s="150">
        <v>829923</v>
      </c>
      <c r="F367" s="10">
        <v>1161893</v>
      </c>
      <c r="G367" s="10">
        <v>53295</v>
      </c>
      <c r="H367" s="156">
        <v>0</v>
      </c>
      <c r="I367" s="150">
        <v>0</v>
      </c>
      <c r="J367" s="16">
        <v>0</v>
      </c>
      <c r="K367" s="150">
        <v>0</v>
      </c>
      <c r="L367" s="150">
        <v>53104</v>
      </c>
      <c r="M367" s="150">
        <v>51738</v>
      </c>
      <c r="N367" s="10">
        <v>52421.33</v>
      </c>
      <c r="O367" s="150">
        <v>339094</v>
      </c>
      <c r="P367" s="150">
        <v>1389</v>
      </c>
      <c r="Q367" s="150">
        <v>9635</v>
      </c>
      <c r="R367" s="16">
        <v>845</v>
      </c>
      <c r="S367" s="16">
        <v>16651</v>
      </c>
      <c r="T367" s="150">
        <v>34812</v>
      </c>
      <c r="U367" s="150">
        <v>34813</v>
      </c>
      <c r="V367" s="150">
        <v>34700</v>
      </c>
      <c r="W367" s="150">
        <v>34775</v>
      </c>
      <c r="X367" s="150">
        <v>34776</v>
      </c>
      <c r="Y367" s="10">
        <v>57968</v>
      </c>
      <c r="Z367" s="16">
        <v>0</v>
      </c>
      <c r="AA367" s="150">
        <v>14288</v>
      </c>
    </row>
    <row r="368" spans="1:27" x14ac:dyDescent="0.35">
      <c r="A368" s="19">
        <v>4375</v>
      </c>
      <c r="B368" s="20" t="s">
        <v>396</v>
      </c>
      <c r="C368" s="150">
        <v>514406</v>
      </c>
      <c r="D368" s="150">
        <v>929969</v>
      </c>
      <c r="E368" s="150">
        <v>902735</v>
      </c>
      <c r="F368" s="10">
        <v>1263828</v>
      </c>
      <c r="G368" s="10">
        <v>57971</v>
      </c>
      <c r="H368" s="156">
        <v>0</v>
      </c>
      <c r="I368" s="150">
        <v>0</v>
      </c>
      <c r="J368" s="16">
        <v>0</v>
      </c>
      <c r="K368" s="150">
        <v>41985</v>
      </c>
      <c r="L368" s="150">
        <v>99127</v>
      </c>
      <c r="M368" s="150">
        <v>96579</v>
      </c>
      <c r="N368" s="10">
        <v>97852.22</v>
      </c>
      <c r="O368" s="150">
        <v>461524</v>
      </c>
      <c r="P368" s="150">
        <v>1890</v>
      </c>
      <c r="Q368" s="150">
        <v>27055</v>
      </c>
      <c r="R368" s="16">
        <v>2373</v>
      </c>
      <c r="S368" s="16">
        <v>0</v>
      </c>
      <c r="T368" s="150">
        <v>32333</v>
      </c>
      <c r="U368" s="150">
        <v>32332</v>
      </c>
      <c r="V368" s="150">
        <v>32229</v>
      </c>
      <c r="W368" s="150">
        <v>32299</v>
      </c>
      <c r="X368" s="150">
        <v>32298</v>
      </c>
      <c r="Y368" s="10">
        <v>53838</v>
      </c>
      <c r="Z368" s="16">
        <v>0</v>
      </c>
      <c r="AA368" s="150">
        <v>28775</v>
      </c>
    </row>
    <row r="369" spans="1:27" x14ac:dyDescent="0.35">
      <c r="A369" s="19">
        <v>5810</v>
      </c>
      <c r="B369" s="20" t="s">
        <v>49</v>
      </c>
      <c r="C369" s="150">
        <v>55480</v>
      </c>
      <c r="D369" s="150">
        <v>277938</v>
      </c>
      <c r="E369" s="150">
        <v>208386</v>
      </c>
      <c r="F369" s="10">
        <v>291741</v>
      </c>
      <c r="G369" s="10">
        <v>13382</v>
      </c>
      <c r="H369" s="156">
        <v>0</v>
      </c>
      <c r="I369" s="150">
        <v>0</v>
      </c>
      <c r="J369" s="16">
        <v>0</v>
      </c>
      <c r="K369" s="150">
        <v>32266</v>
      </c>
      <c r="L369" s="150">
        <v>70805</v>
      </c>
      <c r="M369" s="150">
        <v>68985</v>
      </c>
      <c r="N369" s="10">
        <v>69894.44</v>
      </c>
      <c r="O369" s="150">
        <v>350966</v>
      </c>
      <c r="P369" s="150">
        <v>1437</v>
      </c>
      <c r="Q369" s="150">
        <v>16520</v>
      </c>
      <c r="R369" s="16">
        <v>1449</v>
      </c>
      <c r="S369" s="16">
        <v>0</v>
      </c>
      <c r="T369" s="150">
        <v>19998</v>
      </c>
      <c r="U369" s="150">
        <v>19998</v>
      </c>
      <c r="V369" s="150">
        <v>19934</v>
      </c>
      <c r="W369" s="150">
        <v>19976</v>
      </c>
      <c r="X369" s="150">
        <v>19977</v>
      </c>
      <c r="Y369" s="10">
        <v>33300</v>
      </c>
      <c r="Z369" s="16">
        <v>0</v>
      </c>
      <c r="AA369" s="150">
        <v>19328</v>
      </c>
    </row>
    <row r="370" spans="1:27" x14ac:dyDescent="0.35">
      <c r="A370" s="19">
        <v>5817</v>
      </c>
      <c r="B370" s="20" t="s">
        <v>397</v>
      </c>
      <c r="C370" s="150">
        <v>187779</v>
      </c>
      <c r="D370" s="150">
        <v>277943</v>
      </c>
      <c r="E370" s="150">
        <v>291076</v>
      </c>
      <c r="F370" s="10">
        <v>407507</v>
      </c>
      <c r="G370" s="10">
        <v>18692</v>
      </c>
      <c r="H370" s="156">
        <v>5345</v>
      </c>
      <c r="I370" s="150">
        <v>3341</v>
      </c>
      <c r="J370" s="16">
        <v>4677</v>
      </c>
      <c r="K370" s="150">
        <v>30745</v>
      </c>
      <c r="L370" s="150">
        <v>0</v>
      </c>
      <c r="M370" s="150">
        <v>0</v>
      </c>
      <c r="N370" s="10">
        <v>0</v>
      </c>
      <c r="O370" s="150">
        <v>315350</v>
      </c>
      <c r="P370" s="150">
        <v>1292</v>
      </c>
      <c r="Q370" s="150">
        <v>4355</v>
      </c>
      <c r="R370" s="16">
        <v>382</v>
      </c>
      <c r="S370" s="16">
        <v>0</v>
      </c>
      <c r="T370" s="150">
        <v>21317</v>
      </c>
      <c r="U370" s="150">
        <v>21065</v>
      </c>
      <c r="V370" s="150">
        <v>21123</v>
      </c>
      <c r="W370" s="150">
        <v>21169</v>
      </c>
      <c r="X370" s="150">
        <v>21168</v>
      </c>
      <c r="Y370" s="10">
        <v>35287</v>
      </c>
      <c r="Z370" s="16">
        <v>0</v>
      </c>
      <c r="AA370" s="150">
        <v>15256</v>
      </c>
    </row>
    <row r="371" spans="1:27" x14ac:dyDescent="0.35">
      <c r="A371" s="19">
        <v>5824</v>
      </c>
      <c r="B371" s="20" t="s">
        <v>398</v>
      </c>
      <c r="C371" s="150">
        <v>2022041</v>
      </c>
      <c r="D371" s="150">
        <v>3492253</v>
      </c>
      <c r="E371" s="150">
        <v>3446434</v>
      </c>
      <c r="F371" s="10">
        <v>4825008</v>
      </c>
      <c r="G371" s="10">
        <v>221319</v>
      </c>
      <c r="H371" s="156">
        <v>0</v>
      </c>
      <c r="I371" s="150">
        <v>0</v>
      </c>
      <c r="J371" s="16">
        <v>0</v>
      </c>
      <c r="K371" s="150">
        <v>0</v>
      </c>
      <c r="L371" s="150">
        <v>52219</v>
      </c>
      <c r="M371" s="150">
        <v>50875</v>
      </c>
      <c r="N371" s="10">
        <v>51548.28</v>
      </c>
      <c r="O371" s="150">
        <v>1245076</v>
      </c>
      <c r="P371" s="150">
        <v>5099</v>
      </c>
      <c r="Q371" s="150">
        <v>30390</v>
      </c>
      <c r="R371" s="16">
        <v>2666</v>
      </c>
      <c r="S371" s="16">
        <v>0</v>
      </c>
      <c r="T371" s="150">
        <v>153444</v>
      </c>
      <c r="U371" s="150">
        <v>153445</v>
      </c>
      <c r="V371" s="150">
        <v>152955</v>
      </c>
      <c r="W371" s="150">
        <v>153281</v>
      </c>
      <c r="X371" s="150">
        <v>153281</v>
      </c>
      <c r="Y371" s="10">
        <v>255513</v>
      </c>
      <c r="Z371" s="16">
        <v>0</v>
      </c>
      <c r="AA371" s="150">
        <v>62758</v>
      </c>
    </row>
    <row r="372" spans="1:27" x14ac:dyDescent="0.35">
      <c r="A372" s="19">
        <v>5859</v>
      </c>
      <c r="B372" s="20" t="s">
        <v>399</v>
      </c>
      <c r="C372" s="150">
        <v>719288</v>
      </c>
      <c r="D372" s="150">
        <v>1068064</v>
      </c>
      <c r="E372" s="150">
        <v>1117095</v>
      </c>
      <c r="F372" s="10">
        <v>1563932</v>
      </c>
      <c r="G372" s="10">
        <v>71736</v>
      </c>
      <c r="H372" s="156">
        <v>0</v>
      </c>
      <c r="I372" s="150">
        <v>0</v>
      </c>
      <c r="J372" s="16">
        <v>0</v>
      </c>
      <c r="K372" s="150">
        <v>0</v>
      </c>
      <c r="L372" s="150">
        <v>0</v>
      </c>
      <c r="M372" s="150">
        <v>0</v>
      </c>
      <c r="N372" s="10">
        <v>0</v>
      </c>
      <c r="O372" s="150">
        <v>431102</v>
      </c>
      <c r="P372" s="150">
        <v>1766</v>
      </c>
      <c r="Q372" s="150">
        <v>5560</v>
      </c>
      <c r="R372" s="16">
        <v>488</v>
      </c>
      <c r="S372" s="16">
        <v>0</v>
      </c>
      <c r="T372" s="150">
        <v>65343</v>
      </c>
      <c r="U372" s="150">
        <v>65343</v>
      </c>
      <c r="V372" s="150">
        <v>65136</v>
      </c>
      <c r="W372" s="150">
        <v>65379</v>
      </c>
      <c r="X372" s="150">
        <v>65300</v>
      </c>
      <c r="Y372" s="10">
        <v>108851</v>
      </c>
      <c r="Z372" s="16">
        <v>4290</v>
      </c>
      <c r="AA372" s="150">
        <v>21365</v>
      </c>
    </row>
    <row r="373" spans="1:27" x14ac:dyDescent="0.35">
      <c r="A373" s="19">
        <v>5852</v>
      </c>
      <c r="B373" s="20" t="s">
        <v>400</v>
      </c>
      <c r="C373" s="150">
        <v>493865</v>
      </c>
      <c r="D373" s="150">
        <v>977264</v>
      </c>
      <c r="E373" s="150">
        <v>919456</v>
      </c>
      <c r="F373" s="10">
        <v>1287238</v>
      </c>
      <c r="G373" s="10">
        <v>59044</v>
      </c>
      <c r="H373" s="156">
        <v>0</v>
      </c>
      <c r="I373" s="150">
        <v>0</v>
      </c>
      <c r="J373" s="16">
        <v>0</v>
      </c>
      <c r="K373" s="150">
        <v>0</v>
      </c>
      <c r="L373" s="150">
        <v>0</v>
      </c>
      <c r="M373" s="150">
        <v>0</v>
      </c>
      <c r="N373" s="10">
        <v>0</v>
      </c>
      <c r="O373" s="150">
        <v>526820</v>
      </c>
      <c r="P373" s="150">
        <v>2158</v>
      </c>
      <c r="Q373" s="150">
        <v>18010</v>
      </c>
      <c r="R373" s="16">
        <v>1580</v>
      </c>
      <c r="S373" s="16">
        <v>0</v>
      </c>
      <c r="T373" s="150">
        <v>33942</v>
      </c>
      <c r="U373" s="150">
        <v>33943</v>
      </c>
      <c r="V373" s="150">
        <v>33834</v>
      </c>
      <c r="W373" s="150">
        <v>33907</v>
      </c>
      <c r="X373" s="150">
        <v>33906</v>
      </c>
      <c r="Y373" s="10">
        <v>56520</v>
      </c>
      <c r="Z373" s="16">
        <v>51615</v>
      </c>
      <c r="AA373" s="150">
        <v>44231</v>
      </c>
    </row>
    <row r="374" spans="1:27" x14ac:dyDescent="0.35">
      <c r="A374" s="19">
        <v>238</v>
      </c>
      <c r="B374" s="20" t="s">
        <v>401</v>
      </c>
      <c r="C374" s="150">
        <v>275723</v>
      </c>
      <c r="D374" s="150">
        <v>550641</v>
      </c>
      <c r="E374" s="150">
        <v>516477</v>
      </c>
      <c r="F374" s="10">
        <v>723068</v>
      </c>
      <c r="G374" s="10">
        <v>33167</v>
      </c>
      <c r="H374" s="156">
        <v>0</v>
      </c>
      <c r="I374" s="150">
        <v>0</v>
      </c>
      <c r="J374" s="16">
        <v>0</v>
      </c>
      <c r="K374" s="150">
        <v>72069</v>
      </c>
      <c r="L374" s="150">
        <v>127449</v>
      </c>
      <c r="M374" s="150">
        <v>134657</v>
      </c>
      <c r="N374" s="10">
        <v>131052.33</v>
      </c>
      <c r="O374" s="150">
        <v>761292</v>
      </c>
      <c r="P374" s="150">
        <v>3118</v>
      </c>
      <c r="Q374" s="150">
        <v>67820</v>
      </c>
      <c r="R374" s="16">
        <v>5923</v>
      </c>
      <c r="S374" s="16">
        <v>15092</v>
      </c>
      <c r="T374" s="150">
        <v>68233</v>
      </c>
      <c r="U374" s="150">
        <v>68233</v>
      </c>
      <c r="V374" s="150">
        <v>68016</v>
      </c>
      <c r="W374" s="150">
        <v>68160</v>
      </c>
      <c r="X374" s="150">
        <v>68161</v>
      </c>
      <c r="Y374" s="10">
        <v>113620</v>
      </c>
      <c r="Z374" s="16">
        <v>11036</v>
      </c>
      <c r="AA374" s="150">
        <v>48237</v>
      </c>
    </row>
    <row r="375" spans="1:27" x14ac:dyDescent="0.35">
      <c r="A375" s="19">
        <v>5866</v>
      </c>
      <c r="B375" s="20" t="s">
        <v>402</v>
      </c>
      <c r="C375" s="150">
        <v>760352</v>
      </c>
      <c r="D375" s="150">
        <v>1370514</v>
      </c>
      <c r="E375" s="150">
        <v>1331791</v>
      </c>
      <c r="F375" s="10">
        <v>1864509</v>
      </c>
      <c r="G375" s="10">
        <v>85523</v>
      </c>
      <c r="H375" s="156">
        <v>0</v>
      </c>
      <c r="I375" s="150">
        <v>0</v>
      </c>
      <c r="J375" s="16">
        <v>0</v>
      </c>
      <c r="K375" s="150">
        <v>0</v>
      </c>
      <c r="L375" s="150">
        <v>0</v>
      </c>
      <c r="M375" s="150">
        <v>0</v>
      </c>
      <c r="N375" s="10">
        <v>0</v>
      </c>
      <c r="O375" s="150">
        <v>679672</v>
      </c>
      <c r="P375" s="150">
        <v>2784</v>
      </c>
      <c r="Q375" s="150">
        <v>55975</v>
      </c>
      <c r="R375" s="16">
        <v>4911</v>
      </c>
      <c r="S375" s="16">
        <v>106122</v>
      </c>
      <c r="T375" s="150">
        <v>73919</v>
      </c>
      <c r="U375" s="150">
        <v>73918</v>
      </c>
      <c r="V375" s="150">
        <v>73683</v>
      </c>
      <c r="W375" s="150">
        <v>73840</v>
      </c>
      <c r="X375" s="150">
        <v>73840</v>
      </c>
      <c r="Y375" s="10">
        <v>123088</v>
      </c>
      <c r="Z375" s="16">
        <v>0</v>
      </c>
      <c r="AA375" s="150">
        <v>50340</v>
      </c>
    </row>
    <row r="376" spans="1:27" x14ac:dyDescent="0.35">
      <c r="A376" s="19">
        <v>5901</v>
      </c>
      <c r="B376" s="20" t="s">
        <v>403</v>
      </c>
      <c r="C376" s="150">
        <v>2736485</v>
      </c>
      <c r="D376" s="150">
        <v>4392582</v>
      </c>
      <c r="E376" s="150">
        <v>4455667</v>
      </c>
      <c r="F376" s="10">
        <v>6237934</v>
      </c>
      <c r="G376" s="10">
        <v>286129</v>
      </c>
      <c r="H376" s="156">
        <v>0</v>
      </c>
      <c r="I376" s="150">
        <v>0</v>
      </c>
      <c r="J376" s="16">
        <v>0</v>
      </c>
      <c r="K376" s="150">
        <v>0</v>
      </c>
      <c r="L376" s="150">
        <v>259324</v>
      </c>
      <c r="M376" s="150">
        <v>366234</v>
      </c>
      <c r="N376" s="10">
        <v>312779.88</v>
      </c>
      <c r="O376" s="150">
        <v>4128488</v>
      </c>
      <c r="P376" s="150">
        <v>16908</v>
      </c>
      <c r="Q376" s="150">
        <v>128485</v>
      </c>
      <c r="R376" s="16">
        <v>11272</v>
      </c>
      <c r="S376" s="16">
        <v>0</v>
      </c>
      <c r="T376" s="150">
        <v>439871</v>
      </c>
      <c r="U376" s="150">
        <v>439871</v>
      </c>
      <c r="V376" s="150">
        <v>438468</v>
      </c>
      <c r="W376" s="150">
        <v>439404</v>
      </c>
      <c r="X376" s="150">
        <v>439403</v>
      </c>
      <c r="Y376" s="10">
        <v>732461</v>
      </c>
      <c r="Z376" s="16">
        <v>215160</v>
      </c>
      <c r="AA376" s="150">
        <v>234109</v>
      </c>
    </row>
    <row r="377" spans="1:27" x14ac:dyDescent="0.35">
      <c r="A377" s="19">
        <v>5985</v>
      </c>
      <c r="B377" s="20" t="s">
        <v>404</v>
      </c>
      <c r="C377" s="150">
        <v>1015541</v>
      </c>
      <c r="D377" s="150">
        <v>1853232</v>
      </c>
      <c r="E377" s="150">
        <v>1792983</v>
      </c>
      <c r="F377" s="10">
        <v>2510175</v>
      </c>
      <c r="G377" s="10">
        <v>115140</v>
      </c>
      <c r="H377" s="156">
        <v>0</v>
      </c>
      <c r="I377" s="150">
        <v>0</v>
      </c>
      <c r="J377" s="16">
        <v>0</v>
      </c>
      <c r="K377" s="150">
        <v>0</v>
      </c>
      <c r="L377" s="150">
        <v>75231</v>
      </c>
      <c r="M377" s="150">
        <v>85527</v>
      </c>
      <c r="N377" s="10">
        <v>80379.11</v>
      </c>
      <c r="O377" s="150">
        <v>809522</v>
      </c>
      <c r="P377" s="150">
        <v>3315</v>
      </c>
      <c r="Q377" s="150">
        <v>44030</v>
      </c>
      <c r="R377" s="16">
        <v>3863</v>
      </c>
      <c r="S377" s="16">
        <v>0</v>
      </c>
      <c r="T377" s="150">
        <v>87040</v>
      </c>
      <c r="U377" s="150">
        <v>87041</v>
      </c>
      <c r="V377" s="150">
        <v>86762</v>
      </c>
      <c r="W377" s="150">
        <v>86948</v>
      </c>
      <c r="X377" s="150">
        <v>86947</v>
      </c>
      <c r="Y377" s="10">
        <v>144937</v>
      </c>
      <c r="Z377" s="16">
        <v>0</v>
      </c>
      <c r="AA377" s="150">
        <v>63259</v>
      </c>
    </row>
    <row r="378" spans="1:27" x14ac:dyDescent="0.35">
      <c r="A378" s="19">
        <v>5992</v>
      </c>
      <c r="B378" s="20" t="s">
        <v>405</v>
      </c>
      <c r="C378" s="150">
        <v>0</v>
      </c>
      <c r="D378" s="150">
        <v>0</v>
      </c>
      <c r="E378" s="150">
        <v>0</v>
      </c>
      <c r="F378" s="10">
        <v>0</v>
      </c>
      <c r="G378" s="10">
        <v>0</v>
      </c>
      <c r="H378" s="156">
        <v>27560</v>
      </c>
      <c r="I378" s="150">
        <v>17225</v>
      </c>
      <c r="J378" s="16">
        <v>24116</v>
      </c>
      <c r="K378" s="150">
        <v>26579</v>
      </c>
      <c r="L378" s="150">
        <v>35403</v>
      </c>
      <c r="M378" s="150">
        <v>34491</v>
      </c>
      <c r="N378" s="10">
        <v>34948.22</v>
      </c>
      <c r="O378" s="150">
        <v>284186</v>
      </c>
      <c r="P378" s="150">
        <v>1164</v>
      </c>
      <c r="Q378" s="150">
        <v>47070</v>
      </c>
      <c r="R378" s="16">
        <v>4129</v>
      </c>
      <c r="S378" s="16">
        <v>88533</v>
      </c>
      <c r="T378" s="150">
        <v>40836</v>
      </c>
      <c r="U378" s="150">
        <v>40835</v>
      </c>
      <c r="V378" s="150">
        <v>40706</v>
      </c>
      <c r="W378" s="150">
        <v>40792</v>
      </c>
      <c r="X378" s="150">
        <v>40792</v>
      </c>
      <c r="Y378" s="10">
        <v>67999</v>
      </c>
      <c r="Z378" s="16">
        <v>0</v>
      </c>
      <c r="AA378" s="150">
        <v>17926</v>
      </c>
    </row>
    <row r="379" spans="1:27" x14ac:dyDescent="0.35">
      <c r="A379" s="19">
        <v>6022</v>
      </c>
      <c r="B379" s="20" t="s">
        <v>406</v>
      </c>
      <c r="C379" s="150">
        <v>389955</v>
      </c>
      <c r="D379" s="150">
        <v>551648</v>
      </c>
      <c r="E379" s="150">
        <v>588502</v>
      </c>
      <c r="F379" s="10">
        <v>823903</v>
      </c>
      <c r="G379" s="10">
        <v>37792</v>
      </c>
      <c r="H379" s="156">
        <v>0</v>
      </c>
      <c r="I379" s="150">
        <v>0</v>
      </c>
      <c r="J379" s="16">
        <v>0</v>
      </c>
      <c r="K379" s="150">
        <v>30348</v>
      </c>
      <c r="L379" s="150">
        <v>0</v>
      </c>
      <c r="M379" s="150">
        <v>0</v>
      </c>
      <c r="N379" s="10">
        <v>0</v>
      </c>
      <c r="O379" s="150">
        <v>318318</v>
      </c>
      <c r="P379" s="150">
        <v>1304</v>
      </c>
      <c r="Q379" s="150">
        <v>4985</v>
      </c>
      <c r="R379" s="16">
        <v>437</v>
      </c>
      <c r="S379" s="16">
        <v>0</v>
      </c>
      <c r="T379" s="150">
        <v>14100</v>
      </c>
      <c r="U379" s="150">
        <v>14100</v>
      </c>
      <c r="V379" s="150">
        <v>14055</v>
      </c>
      <c r="W379" s="150">
        <v>14086</v>
      </c>
      <c r="X379" s="150">
        <v>14085</v>
      </c>
      <c r="Y379" s="10">
        <v>23479</v>
      </c>
      <c r="Z379" s="16">
        <v>0</v>
      </c>
      <c r="AA379" s="150">
        <v>15356</v>
      </c>
    </row>
    <row r="380" spans="1:27" x14ac:dyDescent="0.35">
      <c r="A380" s="19">
        <v>6027</v>
      </c>
      <c r="B380" s="20" t="s">
        <v>407</v>
      </c>
      <c r="C380" s="150">
        <v>367236</v>
      </c>
      <c r="D380" s="150">
        <v>775335</v>
      </c>
      <c r="E380" s="150">
        <v>714107</v>
      </c>
      <c r="F380" s="10">
        <v>999750</v>
      </c>
      <c r="G380" s="10">
        <v>45858</v>
      </c>
      <c r="H380" s="156">
        <v>0</v>
      </c>
      <c r="I380" s="150">
        <v>0</v>
      </c>
      <c r="J380" s="16">
        <v>0</v>
      </c>
      <c r="K380" s="150">
        <v>0</v>
      </c>
      <c r="L380" s="150">
        <v>51334</v>
      </c>
      <c r="M380" s="150">
        <v>50014</v>
      </c>
      <c r="N380" s="10">
        <v>50673.22</v>
      </c>
      <c r="O380" s="150">
        <v>359128</v>
      </c>
      <c r="P380" s="150">
        <v>1471</v>
      </c>
      <c r="Q380" s="150">
        <v>13975</v>
      </c>
      <c r="R380" s="16">
        <v>1226</v>
      </c>
      <c r="S380" s="16">
        <v>9085</v>
      </c>
      <c r="T380" s="150">
        <v>51315</v>
      </c>
      <c r="U380" s="150">
        <v>51316</v>
      </c>
      <c r="V380" s="150">
        <v>51152</v>
      </c>
      <c r="W380" s="150">
        <v>51262</v>
      </c>
      <c r="X380" s="150">
        <v>51261</v>
      </c>
      <c r="Y380" s="10">
        <v>85449</v>
      </c>
      <c r="Z380" s="16">
        <v>0</v>
      </c>
      <c r="AA380" s="150">
        <v>20797</v>
      </c>
    </row>
    <row r="381" spans="1:27" x14ac:dyDescent="0.35">
      <c r="A381" s="19">
        <v>6069</v>
      </c>
      <c r="B381" s="20" t="s">
        <v>408</v>
      </c>
      <c r="C381" s="150">
        <v>0</v>
      </c>
      <c r="D381" s="150">
        <v>0</v>
      </c>
      <c r="E381" s="150">
        <v>0</v>
      </c>
      <c r="F381" s="10">
        <v>0</v>
      </c>
      <c r="G381" s="10">
        <v>0</v>
      </c>
      <c r="H381" s="156">
        <v>0</v>
      </c>
      <c r="I381" s="150">
        <v>0</v>
      </c>
      <c r="J381" s="16">
        <v>0</v>
      </c>
      <c r="K381" s="150">
        <v>0</v>
      </c>
      <c r="L381" s="150">
        <v>0</v>
      </c>
      <c r="M381" s="150">
        <v>0</v>
      </c>
      <c r="N381" s="10">
        <v>0</v>
      </c>
      <c r="O381" s="150">
        <v>51198</v>
      </c>
      <c r="P381" s="150">
        <v>210</v>
      </c>
      <c r="Q381" s="150">
        <v>2795</v>
      </c>
      <c r="R381" s="16">
        <v>245</v>
      </c>
      <c r="S381" s="16">
        <v>10680</v>
      </c>
      <c r="T381" s="150">
        <v>1980</v>
      </c>
      <c r="U381" s="150">
        <v>1981</v>
      </c>
      <c r="V381" s="150">
        <v>1974</v>
      </c>
      <c r="W381" s="150">
        <v>1978</v>
      </c>
      <c r="X381" s="150">
        <v>1978</v>
      </c>
      <c r="Y381" s="10">
        <v>3297</v>
      </c>
      <c r="Z381" s="16">
        <v>0</v>
      </c>
      <c r="AA381" s="150">
        <v>3071</v>
      </c>
    </row>
    <row r="382" spans="1:27" x14ac:dyDescent="0.35">
      <c r="A382" s="19">
        <v>6104</v>
      </c>
      <c r="B382" s="20" t="s">
        <v>409</v>
      </c>
      <c r="C382" s="150">
        <v>51862</v>
      </c>
      <c r="D382" s="150">
        <v>130994</v>
      </c>
      <c r="E382" s="150">
        <v>114285</v>
      </c>
      <c r="F382" s="10">
        <v>159999</v>
      </c>
      <c r="G382" s="10">
        <v>7339</v>
      </c>
      <c r="H382" s="156">
        <v>0</v>
      </c>
      <c r="I382" s="150">
        <v>0</v>
      </c>
      <c r="J382" s="16">
        <v>0</v>
      </c>
      <c r="K382" s="150">
        <v>0</v>
      </c>
      <c r="L382" s="150">
        <v>0</v>
      </c>
      <c r="M382" s="150">
        <v>0</v>
      </c>
      <c r="N382" s="10">
        <v>0</v>
      </c>
      <c r="O382" s="150">
        <v>116494</v>
      </c>
      <c r="P382" s="150">
        <v>477</v>
      </c>
      <c r="Q382" s="150">
        <v>3790</v>
      </c>
      <c r="R382" s="16">
        <v>332</v>
      </c>
      <c r="S382" s="16">
        <v>3778</v>
      </c>
      <c r="T382" s="150">
        <v>8142</v>
      </c>
      <c r="U382" s="150">
        <v>8142</v>
      </c>
      <c r="V382" s="150">
        <v>8116</v>
      </c>
      <c r="W382" s="150">
        <v>8134</v>
      </c>
      <c r="X382" s="150">
        <v>8133</v>
      </c>
      <c r="Y382" s="10">
        <v>13558</v>
      </c>
      <c r="Z382" s="16">
        <v>0</v>
      </c>
      <c r="AA382" s="150">
        <v>5975</v>
      </c>
    </row>
    <row r="383" spans="1:27" x14ac:dyDescent="0.35">
      <c r="A383" s="19">
        <v>6113</v>
      </c>
      <c r="B383" s="20" t="s">
        <v>410</v>
      </c>
      <c r="C383" s="150">
        <v>1000440</v>
      </c>
      <c r="D383" s="150">
        <v>1739521</v>
      </c>
      <c r="E383" s="150">
        <v>1712476</v>
      </c>
      <c r="F383" s="10">
        <v>2397466</v>
      </c>
      <c r="G383" s="10">
        <v>109970</v>
      </c>
      <c r="H383" s="156">
        <v>0</v>
      </c>
      <c r="I383" s="150">
        <v>0</v>
      </c>
      <c r="J383" s="16">
        <v>0</v>
      </c>
      <c r="K383" s="150">
        <v>0</v>
      </c>
      <c r="L383" s="150">
        <v>0</v>
      </c>
      <c r="M383" s="150">
        <v>0</v>
      </c>
      <c r="N383" s="10">
        <v>0</v>
      </c>
      <c r="O383" s="150">
        <v>1020250</v>
      </c>
      <c r="P383" s="150">
        <v>4178</v>
      </c>
      <c r="Q383" s="150">
        <v>17150</v>
      </c>
      <c r="R383" s="16">
        <v>1505</v>
      </c>
      <c r="S383" s="16">
        <v>0</v>
      </c>
      <c r="T383" s="150">
        <v>101654</v>
      </c>
      <c r="U383" s="150">
        <v>101653</v>
      </c>
      <c r="V383" s="150">
        <v>100815</v>
      </c>
      <c r="W383" s="150">
        <v>101374</v>
      </c>
      <c r="X383" s="150">
        <v>101374</v>
      </c>
      <c r="Y383" s="10">
        <v>168985</v>
      </c>
      <c r="Z383" s="16">
        <v>0</v>
      </c>
      <c r="AA383" s="150">
        <v>49372</v>
      </c>
    </row>
    <row r="384" spans="1:27" x14ac:dyDescent="0.35">
      <c r="A384" s="19">
        <v>6083</v>
      </c>
      <c r="B384" s="20" t="s">
        <v>411</v>
      </c>
      <c r="C384" s="150">
        <v>839106</v>
      </c>
      <c r="D384" s="150">
        <v>1634044</v>
      </c>
      <c r="E384" s="150">
        <v>1545718</v>
      </c>
      <c r="F384" s="10">
        <v>2164006</v>
      </c>
      <c r="G384" s="10">
        <v>99261</v>
      </c>
      <c r="H384" s="156">
        <v>0</v>
      </c>
      <c r="I384" s="150">
        <v>0</v>
      </c>
      <c r="J384" s="16">
        <v>0</v>
      </c>
      <c r="K384" s="150">
        <v>0</v>
      </c>
      <c r="L384" s="150">
        <v>0</v>
      </c>
      <c r="M384" s="150">
        <v>0</v>
      </c>
      <c r="N384" s="10">
        <v>0</v>
      </c>
      <c r="O384" s="150">
        <v>785036</v>
      </c>
      <c r="P384" s="150">
        <v>3215</v>
      </c>
      <c r="Q384" s="150">
        <v>14835</v>
      </c>
      <c r="R384" s="16">
        <v>1301</v>
      </c>
      <c r="S384" s="16">
        <v>0</v>
      </c>
      <c r="T384" s="150">
        <v>161551</v>
      </c>
      <c r="U384" s="150">
        <v>161551</v>
      </c>
      <c r="V384" s="150">
        <v>161036</v>
      </c>
      <c r="W384" s="150">
        <v>161379</v>
      </c>
      <c r="X384" s="150">
        <v>161380</v>
      </c>
      <c r="Y384" s="10">
        <v>269008</v>
      </c>
      <c r="Z384" s="16">
        <v>38058</v>
      </c>
      <c r="AA384" s="150">
        <v>35318</v>
      </c>
    </row>
    <row r="385" spans="1:27" x14ac:dyDescent="0.35">
      <c r="A385" s="19">
        <v>6118</v>
      </c>
      <c r="B385" s="20" t="s">
        <v>412</v>
      </c>
      <c r="C385" s="150">
        <v>811805</v>
      </c>
      <c r="D385" s="150">
        <v>1316335</v>
      </c>
      <c r="E385" s="150">
        <v>1330088</v>
      </c>
      <c r="F385" s="10">
        <v>1862123</v>
      </c>
      <c r="G385" s="10">
        <v>85414</v>
      </c>
      <c r="H385" s="156">
        <v>0</v>
      </c>
      <c r="I385" s="150">
        <v>0</v>
      </c>
      <c r="J385" s="16">
        <v>0</v>
      </c>
      <c r="K385" s="150">
        <v>0</v>
      </c>
      <c r="L385" s="150">
        <v>0</v>
      </c>
      <c r="M385" s="150">
        <v>0</v>
      </c>
      <c r="N385" s="10">
        <v>0</v>
      </c>
      <c r="O385" s="150">
        <v>605472</v>
      </c>
      <c r="P385" s="150">
        <v>2480</v>
      </c>
      <c r="Q385" s="150">
        <v>13550</v>
      </c>
      <c r="R385" s="16">
        <v>1189</v>
      </c>
      <c r="S385" s="16">
        <v>0</v>
      </c>
      <c r="T385" s="150">
        <v>49968</v>
      </c>
      <c r="U385" s="150">
        <v>49968</v>
      </c>
      <c r="V385" s="150">
        <v>53065</v>
      </c>
      <c r="W385" s="150">
        <v>51001</v>
      </c>
      <c r="X385" s="150">
        <v>51000</v>
      </c>
      <c r="Y385" s="10">
        <v>85014</v>
      </c>
      <c r="Z385" s="16">
        <v>2124</v>
      </c>
      <c r="AA385" s="150">
        <v>37789</v>
      </c>
    </row>
    <row r="386" spans="1:27" x14ac:dyDescent="0.35">
      <c r="A386" s="19">
        <v>6125</v>
      </c>
      <c r="B386" s="20" t="s">
        <v>413</v>
      </c>
      <c r="C386" s="150">
        <v>3471758</v>
      </c>
      <c r="D386" s="150">
        <v>6100526</v>
      </c>
      <c r="E386" s="150">
        <v>5982678</v>
      </c>
      <c r="F386" s="10">
        <v>8375749</v>
      </c>
      <c r="G386" s="10">
        <v>384188</v>
      </c>
      <c r="H386" s="156">
        <v>0</v>
      </c>
      <c r="I386" s="150">
        <v>0</v>
      </c>
      <c r="J386" s="16">
        <v>0</v>
      </c>
      <c r="K386" s="150">
        <v>0</v>
      </c>
      <c r="L386" s="150">
        <v>110633</v>
      </c>
      <c r="M386" s="150">
        <v>107789</v>
      </c>
      <c r="N386" s="10">
        <v>109209.94</v>
      </c>
      <c r="O386" s="150">
        <v>2722398</v>
      </c>
      <c r="P386" s="150">
        <v>11150</v>
      </c>
      <c r="Q386" s="150">
        <v>35325</v>
      </c>
      <c r="R386" s="16">
        <v>3099</v>
      </c>
      <c r="S386" s="16">
        <v>0</v>
      </c>
      <c r="T386" s="150">
        <v>274889</v>
      </c>
      <c r="U386" s="150">
        <v>274043</v>
      </c>
      <c r="V386" s="150">
        <v>273590</v>
      </c>
      <c r="W386" s="150">
        <v>274174</v>
      </c>
      <c r="X386" s="150">
        <v>274174</v>
      </c>
      <c r="Y386" s="10">
        <v>457034</v>
      </c>
      <c r="Z386" s="16">
        <v>9390</v>
      </c>
      <c r="AA386" s="150">
        <v>177727</v>
      </c>
    </row>
    <row r="387" spans="1:27" x14ac:dyDescent="0.35">
      <c r="A387" s="19">
        <v>6174</v>
      </c>
      <c r="B387" s="20" t="s">
        <v>414</v>
      </c>
      <c r="C387" s="150">
        <v>7930823</v>
      </c>
      <c r="D387" s="150">
        <v>12702254</v>
      </c>
      <c r="E387" s="150">
        <v>12895673</v>
      </c>
      <c r="F387" s="10">
        <v>18053941</v>
      </c>
      <c r="G387" s="10">
        <v>828119</v>
      </c>
      <c r="H387" s="156">
        <v>0</v>
      </c>
      <c r="I387" s="150">
        <v>0</v>
      </c>
      <c r="J387" s="16">
        <v>0</v>
      </c>
      <c r="K387" s="150">
        <v>0</v>
      </c>
      <c r="L387" s="150">
        <v>84081</v>
      </c>
      <c r="M387" s="150">
        <v>81919</v>
      </c>
      <c r="N387" s="10">
        <v>83000.28</v>
      </c>
      <c r="O387" s="150">
        <v>8913646</v>
      </c>
      <c r="P387" s="150">
        <v>36506</v>
      </c>
      <c r="Q387" s="150">
        <v>121940</v>
      </c>
      <c r="R387" s="16">
        <v>10698</v>
      </c>
      <c r="S387" s="16">
        <v>0</v>
      </c>
      <c r="T387" s="150">
        <v>1017558</v>
      </c>
      <c r="U387" s="150">
        <v>1017557</v>
      </c>
      <c r="V387" s="150">
        <v>1013499</v>
      </c>
      <c r="W387" s="150">
        <v>1016205</v>
      </c>
      <c r="X387" s="150">
        <v>1016205</v>
      </c>
      <c r="Y387" s="10">
        <v>1693956</v>
      </c>
      <c r="Z387" s="16">
        <v>192659</v>
      </c>
      <c r="AA387" s="150">
        <v>583553</v>
      </c>
    </row>
    <row r="388" spans="1:27" x14ac:dyDescent="0.35">
      <c r="A388" s="19">
        <v>6181</v>
      </c>
      <c r="B388" s="20" t="s">
        <v>415</v>
      </c>
      <c r="C388" s="150">
        <v>3065018</v>
      </c>
      <c r="D388" s="150">
        <v>5018123</v>
      </c>
      <c r="E388" s="150">
        <v>5051963</v>
      </c>
      <c r="F388" s="10">
        <v>7072749</v>
      </c>
      <c r="G388" s="10">
        <v>324421</v>
      </c>
      <c r="H388" s="156">
        <v>0</v>
      </c>
      <c r="I388" s="150">
        <v>0</v>
      </c>
      <c r="J388" s="16">
        <v>0</v>
      </c>
      <c r="K388" s="150">
        <v>0</v>
      </c>
      <c r="L388" s="150">
        <v>0</v>
      </c>
      <c r="M388" s="150">
        <v>0</v>
      </c>
      <c r="N388" s="10">
        <v>0</v>
      </c>
      <c r="O388" s="150">
        <v>3062976</v>
      </c>
      <c r="P388" s="150">
        <v>12544</v>
      </c>
      <c r="Q388" s="150">
        <v>74905</v>
      </c>
      <c r="R388" s="16">
        <v>6571</v>
      </c>
      <c r="S388" s="16">
        <v>0</v>
      </c>
      <c r="T388" s="150">
        <v>312862</v>
      </c>
      <c r="U388" s="150">
        <v>312861</v>
      </c>
      <c r="V388" s="150">
        <v>311864</v>
      </c>
      <c r="W388" s="150">
        <v>312529</v>
      </c>
      <c r="X388" s="150">
        <v>312529</v>
      </c>
      <c r="Y388" s="10">
        <v>520968</v>
      </c>
      <c r="Z388" s="16">
        <v>0</v>
      </c>
      <c r="AA388" s="150">
        <v>155027</v>
      </c>
    </row>
    <row r="389" spans="1:27" x14ac:dyDescent="0.35">
      <c r="A389" s="19">
        <v>6195</v>
      </c>
      <c r="B389" s="20" t="s">
        <v>416</v>
      </c>
      <c r="C389" s="150">
        <v>1429636</v>
      </c>
      <c r="D389" s="150">
        <v>2770079</v>
      </c>
      <c r="E389" s="150">
        <v>2624822</v>
      </c>
      <c r="F389" s="10">
        <v>3674750</v>
      </c>
      <c r="G389" s="10">
        <v>168558</v>
      </c>
      <c r="H389" s="156">
        <v>0</v>
      </c>
      <c r="I389" s="150">
        <v>0</v>
      </c>
      <c r="J389" s="16">
        <v>0</v>
      </c>
      <c r="K389" s="150">
        <v>0</v>
      </c>
      <c r="L389" s="150">
        <v>218611</v>
      </c>
      <c r="M389" s="150">
        <v>212989</v>
      </c>
      <c r="N389" s="10">
        <v>215800.72</v>
      </c>
      <c r="O389" s="150">
        <v>1532230</v>
      </c>
      <c r="P389" s="150">
        <v>6275</v>
      </c>
      <c r="Q389" s="150">
        <v>54280</v>
      </c>
      <c r="R389" s="16">
        <v>4762</v>
      </c>
      <c r="S389" s="16">
        <v>12821</v>
      </c>
      <c r="T389" s="150">
        <v>137233</v>
      </c>
      <c r="U389" s="150">
        <v>137232</v>
      </c>
      <c r="V389" s="150">
        <v>136794</v>
      </c>
      <c r="W389" s="150">
        <v>136657</v>
      </c>
      <c r="X389" s="150">
        <v>136980</v>
      </c>
      <c r="Y389" s="10">
        <v>228337</v>
      </c>
      <c r="Z389" s="16">
        <v>0</v>
      </c>
      <c r="AA389" s="150">
        <v>95606</v>
      </c>
    </row>
    <row r="390" spans="1:27" x14ac:dyDescent="0.35">
      <c r="A390" s="19">
        <v>6216</v>
      </c>
      <c r="B390" s="20" t="s">
        <v>417</v>
      </c>
      <c r="C390" s="150">
        <v>2015840</v>
      </c>
      <c r="D390" s="150">
        <v>3726964</v>
      </c>
      <c r="E390" s="150">
        <v>3589253</v>
      </c>
      <c r="F390" s="10">
        <v>5024954</v>
      </c>
      <c r="G390" s="10">
        <v>230490</v>
      </c>
      <c r="H390" s="156">
        <v>0</v>
      </c>
      <c r="I390" s="150">
        <v>0</v>
      </c>
      <c r="J390" s="16">
        <v>0</v>
      </c>
      <c r="K390" s="150">
        <v>0</v>
      </c>
      <c r="L390" s="150">
        <v>0</v>
      </c>
      <c r="M390" s="150">
        <v>0</v>
      </c>
      <c r="N390" s="10">
        <v>0</v>
      </c>
      <c r="O390" s="150">
        <v>1520358</v>
      </c>
      <c r="P390" s="150">
        <v>6227</v>
      </c>
      <c r="Q390" s="150">
        <v>51335</v>
      </c>
      <c r="R390" s="16">
        <v>4504</v>
      </c>
      <c r="S390" s="16">
        <v>0</v>
      </c>
      <c r="T390" s="150">
        <v>119075</v>
      </c>
      <c r="U390" s="150">
        <v>119074</v>
      </c>
      <c r="V390" s="150">
        <v>118696</v>
      </c>
      <c r="W390" s="150">
        <v>118948</v>
      </c>
      <c r="X390" s="150">
        <v>118948</v>
      </c>
      <c r="Y390" s="10">
        <v>198279</v>
      </c>
      <c r="Z390" s="16">
        <v>0</v>
      </c>
      <c r="AA390" s="150">
        <v>85892</v>
      </c>
    </row>
    <row r="391" spans="1:27" x14ac:dyDescent="0.35">
      <c r="A391" s="19">
        <v>6223</v>
      </c>
      <c r="B391" s="20" t="s">
        <v>418</v>
      </c>
      <c r="C391" s="150">
        <v>8572457</v>
      </c>
      <c r="D391" s="150">
        <v>14464887</v>
      </c>
      <c r="E391" s="150">
        <v>14398340</v>
      </c>
      <c r="F391" s="10">
        <v>20157675</v>
      </c>
      <c r="G391" s="10">
        <v>924615</v>
      </c>
      <c r="H391" s="156">
        <v>0</v>
      </c>
      <c r="I391" s="150">
        <v>0</v>
      </c>
      <c r="J391" s="16">
        <v>0</v>
      </c>
      <c r="K391" s="150">
        <v>0</v>
      </c>
      <c r="L391" s="150">
        <v>531039</v>
      </c>
      <c r="M391" s="150">
        <v>517383</v>
      </c>
      <c r="N391" s="10">
        <v>524211.32</v>
      </c>
      <c r="O391" s="150">
        <v>6065850</v>
      </c>
      <c r="P391" s="150">
        <v>24843</v>
      </c>
      <c r="Q391" s="150">
        <v>155620</v>
      </c>
      <c r="R391" s="16">
        <v>13652</v>
      </c>
      <c r="S391" s="16">
        <v>0</v>
      </c>
      <c r="T391" s="150">
        <v>614984</v>
      </c>
      <c r="U391" s="150">
        <v>614985</v>
      </c>
      <c r="V391" s="150">
        <v>613022</v>
      </c>
      <c r="W391" s="150">
        <v>614330</v>
      </c>
      <c r="X391" s="150">
        <v>614330</v>
      </c>
      <c r="Y391" s="10">
        <v>1024054</v>
      </c>
      <c r="Z391" s="16">
        <v>56134</v>
      </c>
      <c r="AA391" s="150">
        <v>325409</v>
      </c>
    </row>
    <row r="392" spans="1:27" x14ac:dyDescent="0.35">
      <c r="A392" s="19">
        <v>6230</v>
      </c>
      <c r="B392" s="20" t="s">
        <v>39</v>
      </c>
      <c r="C392" s="150">
        <v>14358</v>
      </c>
      <c r="D392" s="150">
        <v>20841</v>
      </c>
      <c r="E392" s="150">
        <v>21999</v>
      </c>
      <c r="F392" s="10">
        <v>30798</v>
      </c>
      <c r="G392" s="10">
        <v>1413</v>
      </c>
      <c r="H392" s="156">
        <v>4463</v>
      </c>
      <c r="I392" s="150">
        <v>2790</v>
      </c>
      <c r="J392" s="16">
        <v>3905</v>
      </c>
      <c r="K392" s="150">
        <v>29422</v>
      </c>
      <c r="L392" s="150">
        <v>52219</v>
      </c>
      <c r="M392" s="150">
        <v>50875</v>
      </c>
      <c r="N392" s="10">
        <v>51548.28</v>
      </c>
      <c r="O392" s="150">
        <v>309414</v>
      </c>
      <c r="P392" s="150">
        <v>1267</v>
      </c>
      <c r="Q392" s="150">
        <v>46285</v>
      </c>
      <c r="R392" s="16">
        <v>4060</v>
      </c>
      <c r="S392" s="16">
        <v>68926</v>
      </c>
      <c r="T392" s="150">
        <v>30170</v>
      </c>
      <c r="U392" s="150">
        <v>30169</v>
      </c>
      <c r="V392" s="150">
        <v>30074</v>
      </c>
      <c r="W392" s="150">
        <v>30137</v>
      </c>
      <c r="X392" s="150">
        <v>30138</v>
      </c>
      <c r="Y392" s="10">
        <v>50237</v>
      </c>
      <c r="Z392" s="16">
        <v>1130</v>
      </c>
      <c r="AA392" s="150">
        <v>20864</v>
      </c>
    </row>
    <row r="393" spans="1:27" x14ac:dyDescent="0.35">
      <c r="A393" s="19">
        <v>6237</v>
      </c>
      <c r="B393" s="20" t="s">
        <v>419</v>
      </c>
      <c r="C393" s="150">
        <v>951661</v>
      </c>
      <c r="D393" s="150">
        <v>1645309</v>
      </c>
      <c r="E393" s="150">
        <v>1623106</v>
      </c>
      <c r="F393" s="10">
        <v>2272348</v>
      </c>
      <c r="G393" s="10">
        <v>104231</v>
      </c>
      <c r="H393" s="156">
        <v>0</v>
      </c>
      <c r="I393" s="150">
        <v>0</v>
      </c>
      <c r="J393" s="16">
        <v>0</v>
      </c>
      <c r="K393" s="150">
        <v>92631</v>
      </c>
      <c r="L393" s="150">
        <v>184094</v>
      </c>
      <c r="M393" s="150">
        <v>179360</v>
      </c>
      <c r="N393" s="10">
        <v>181725.55</v>
      </c>
      <c r="O393" s="150">
        <v>1014314</v>
      </c>
      <c r="P393" s="150">
        <v>4154</v>
      </c>
      <c r="Q393" s="150">
        <v>63865</v>
      </c>
      <c r="R393" s="16">
        <v>5603</v>
      </c>
      <c r="S393" s="16">
        <v>0</v>
      </c>
      <c r="T393" s="150">
        <v>61012</v>
      </c>
      <c r="U393" s="150">
        <v>61011</v>
      </c>
      <c r="V393" s="150">
        <v>60817</v>
      </c>
      <c r="W393" s="150">
        <v>60947</v>
      </c>
      <c r="X393" s="150">
        <v>60946</v>
      </c>
      <c r="Y393" s="10">
        <v>101595</v>
      </c>
      <c r="Z393" s="16">
        <v>0</v>
      </c>
      <c r="AA393" s="150">
        <v>57050</v>
      </c>
    </row>
    <row r="394" spans="1:27" x14ac:dyDescent="0.35">
      <c r="A394" s="19">
        <v>6244</v>
      </c>
      <c r="B394" s="20" t="s">
        <v>420</v>
      </c>
      <c r="C394" s="150">
        <v>2574811</v>
      </c>
      <c r="D394" s="150">
        <v>5537380</v>
      </c>
      <c r="E394" s="150">
        <v>5070119</v>
      </c>
      <c r="F394" s="10">
        <v>7098167</v>
      </c>
      <c r="G394" s="10">
        <v>325587</v>
      </c>
      <c r="H394" s="156">
        <v>0</v>
      </c>
      <c r="I394" s="150">
        <v>0</v>
      </c>
      <c r="J394" s="16">
        <v>0</v>
      </c>
      <c r="K394" s="150">
        <v>0</v>
      </c>
      <c r="L394" s="150">
        <v>0</v>
      </c>
      <c r="M394" s="150">
        <v>0</v>
      </c>
      <c r="N394" s="10">
        <v>0</v>
      </c>
      <c r="O394" s="150">
        <v>4452000</v>
      </c>
      <c r="P394" s="150">
        <v>18233</v>
      </c>
      <c r="Q394" s="150">
        <v>0</v>
      </c>
      <c r="R394" s="16">
        <v>0</v>
      </c>
      <c r="S394" s="16">
        <v>0</v>
      </c>
      <c r="T394" s="150">
        <v>492858</v>
      </c>
      <c r="U394" s="150">
        <v>438825</v>
      </c>
      <c r="V394" s="150">
        <v>464564</v>
      </c>
      <c r="W394" s="150">
        <v>465416</v>
      </c>
      <c r="X394" s="150">
        <v>465416</v>
      </c>
      <c r="Y394" s="10">
        <v>775781</v>
      </c>
      <c r="Z394" s="16">
        <v>278589</v>
      </c>
      <c r="AA394" s="150">
        <v>354919</v>
      </c>
    </row>
    <row r="395" spans="1:27" x14ac:dyDescent="0.35">
      <c r="A395" s="19">
        <v>6251</v>
      </c>
      <c r="B395" s="20" t="s">
        <v>421</v>
      </c>
      <c r="C395" s="150">
        <v>353497</v>
      </c>
      <c r="D395" s="150">
        <v>602184</v>
      </c>
      <c r="E395" s="150">
        <v>597301</v>
      </c>
      <c r="F395" s="10">
        <v>836221</v>
      </c>
      <c r="G395" s="10">
        <v>38357</v>
      </c>
      <c r="H395" s="156">
        <v>0</v>
      </c>
      <c r="I395" s="150">
        <v>0</v>
      </c>
      <c r="J395" s="16">
        <v>0</v>
      </c>
      <c r="K395" s="150">
        <v>18645</v>
      </c>
      <c r="L395" s="150">
        <v>29207</v>
      </c>
      <c r="M395" s="150">
        <v>28457</v>
      </c>
      <c r="N395" s="10">
        <v>28830.83</v>
      </c>
      <c r="O395" s="150">
        <v>192178</v>
      </c>
      <c r="P395" s="150">
        <v>787</v>
      </c>
      <c r="Q395" s="150">
        <v>14530</v>
      </c>
      <c r="R395" s="16">
        <v>1275</v>
      </c>
      <c r="S395" s="16">
        <v>42122</v>
      </c>
      <c r="T395" s="150">
        <v>20021</v>
      </c>
      <c r="U395" s="150">
        <v>20022</v>
      </c>
      <c r="V395" s="150">
        <v>19958</v>
      </c>
      <c r="W395" s="150">
        <v>20001</v>
      </c>
      <c r="X395" s="150">
        <v>20000</v>
      </c>
      <c r="Y395" s="10">
        <v>33340</v>
      </c>
      <c r="Z395" s="16">
        <v>12989</v>
      </c>
      <c r="AA395" s="150">
        <v>10682</v>
      </c>
    </row>
    <row r="396" spans="1:27" x14ac:dyDescent="0.35">
      <c r="A396" s="19">
        <v>6293</v>
      </c>
      <c r="B396" s="20" t="s">
        <v>422</v>
      </c>
      <c r="C396" s="150">
        <v>0</v>
      </c>
      <c r="D396" s="150">
        <v>0</v>
      </c>
      <c r="E396" s="150">
        <v>0</v>
      </c>
      <c r="F396" s="10">
        <v>0</v>
      </c>
      <c r="G396" s="10">
        <v>0</v>
      </c>
      <c r="H396" s="156">
        <v>13195</v>
      </c>
      <c r="I396" s="150">
        <v>8247</v>
      </c>
      <c r="J396" s="16">
        <v>11545</v>
      </c>
      <c r="K396" s="150">
        <v>43506</v>
      </c>
      <c r="L396" s="150">
        <v>88507</v>
      </c>
      <c r="M396" s="150">
        <v>86231</v>
      </c>
      <c r="N396" s="10">
        <v>87367.55</v>
      </c>
      <c r="O396" s="150">
        <v>470428</v>
      </c>
      <c r="P396" s="150">
        <v>1927</v>
      </c>
      <c r="Q396" s="150">
        <v>62110</v>
      </c>
      <c r="R396" s="16">
        <v>5449</v>
      </c>
      <c r="S396" s="16">
        <v>70803</v>
      </c>
      <c r="T396" s="150">
        <v>41098</v>
      </c>
      <c r="U396" s="150">
        <v>41098</v>
      </c>
      <c r="V396" s="150">
        <v>40966</v>
      </c>
      <c r="W396" s="150">
        <v>41054</v>
      </c>
      <c r="X396" s="150">
        <v>41055</v>
      </c>
      <c r="Y396" s="10">
        <v>68435</v>
      </c>
      <c r="Z396" s="16">
        <v>0</v>
      </c>
      <c r="AA396" s="150">
        <v>27407</v>
      </c>
    </row>
    <row r="397" spans="1:27" x14ac:dyDescent="0.35">
      <c r="A397" s="19">
        <v>6300</v>
      </c>
      <c r="B397" s="20" t="s">
        <v>423</v>
      </c>
      <c r="C397" s="150">
        <v>6960870</v>
      </c>
      <c r="D397" s="150">
        <v>13569002</v>
      </c>
      <c r="E397" s="150">
        <v>12831170</v>
      </c>
      <c r="F397" s="10">
        <v>17963639</v>
      </c>
      <c r="G397" s="10">
        <v>823976</v>
      </c>
      <c r="H397" s="156">
        <v>0</v>
      </c>
      <c r="I397" s="150">
        <v>0</v>
      </c>
      <c r="J397" s="16">
        <v>0</v>
      </c>
      <c r="K397" s="150">
        <v>562069</v>
      </c>
      <c r="L397" s="150">
        <v>996583</v>
      </c>
      <c r="M397" s="150">
        <v>981441</v>
      </c>
      <c r="N397" s="10">
        <v>989010.87</v>
      </c>
      <c r="O397" s="150">
        <v>5923386</v>
      </c>
      <c r="P397" s="150">
        <v>24259</v>
      </c>
      <c r="Q397" s="150">
        <v>40235</v>
      </c>
      <c r="R397" s="16">
        <v>3530</v>
      </c>
      <c r="S397" s="16">
        <v>0</v>
      </c>
      <c r="T397" s="150">
        <v>534210</v>
      </c>
      <c r="U397" s="150">
        <v>534218</v>
      </c>
      <c r="V397" s="150">
        <v>532510</v>
      </c>
      <c r="W397" s="150">
        <v>533647</v>
      </c>
      <c r="X397" s="150">
        <v>533646</v>
      </c>
      <c r="Y397" s="10">
        <v>889558</v>
      </c>
      <c r="Z397" s="16">
        <v>29906</v>
      </c>
      <c r="AA397" s="150">
        <v>402255</v>
      </c>
    </row>
    <row r="398" spans="1:27" x14ac:dyDescent="0.35">
      <c r="A398" s="19">
        <v>6307</v>
      </c>
      <c r="B398" s="20" t="s">
        <v>424</v>
      </c>
      <c r="C398" s="150">
        <v>4633082</v>
      </c>
      <c r="D398" s="150">
        <v>7405954</v>
      </c>
      <c r="E398" s="150">
        <v>7524397</v>
      </c>
      <c r="F398" s="10">
        <v>10534156</v>
      </c>
      <c r="G398" s="10">
        <v>483193</v>
      </c>
      <c r="H398" s="156">
        <v>0</v>
      </c>
      <c r="I398" s="150">
        <v>0</v>
      </c>
      <c r="J398" s="16">
        <v>0</v>
      </c>
      <c r="K398" s="150">
        <v>0</v>
      </c>
      <c r="L398" s="150">
        <v>0</v>
      </c>
      <c r="M398" s="150">
        <v>0</v>
      </c>
      <c r="N398" s="10">
        <v>0</v>
      </c>
      <c r="O398" s="150">
        <v>4736928</v>
      </c>
      <c r="P398" s="150">
        <v>19400</v>
      </c>
      <c r="Q398" s="150">
        <v>114790</v>
      </c>
      <c r="R398" s="16">
        <v>10070</v>
      </c>
      <c r="S398" s="16">
        <v>0</v>
      </c>
      <c r="T398" s="150">
        <v>425060</v>
      </c>
      <c r="U398" s="150">
        <v>425060</v>
      </c>
      <c r="V398" s="150">
        <v>424844</v>
      </c>
      <c r="W398" s="150">
        <v>424988</v>
      </c>
      <c r="X398" s="150">
        <v>424989</v>
      </c>
      <c r="Y398" s="10">
        <v>708432</v>
      </c>
      <c r="Z398" s="16">
        <v>22405</v>
      </c>
      <c r="AA398" s="150">
        <v>324408</v>
      </c>
    </row>
    <row r="399" spans="1:27" x14ac:dyDescent="0.35">
      <c r="A399" s="19">
        <v>6328</v>
      </c>
      <c r="B399" s="20" t="s">
        <v>425</v>
      </c>
      <c r="C399" s="150">
        <v>3314865</v>
      </c>
      <c r="D399" s="150">
        <v>5892261</v>
      </c>
      <c r="E399" s="150">
        <v>5754454</v>
      </c>
      <c r="F399" s="10">
        <v>8056236</v>
      </c>
      <c r="G399" s="10">
        <v>369532</v>
      </c>
      <c r="H399" s="156">
        <v>0</v>
      </c>
      <c r="I399" s="150">
        <v>0</v>
      </c>
      <c r="J399" s="16">
        <v>0</v>
      </c>
      <c r="K399" s="150">
        <v>0</v>
      </c>
      <c r="L399" s="150">
        <v>0</v>
      </c>
      <c r="M399" s="150">
        <v>0</v>
      </c>
      <c r="N399" s="10">
        <v>0</v>
      </c>
      <c r="O399" s="150">
        <v>2784726</v>
      </c>
      <c r="P399" s="150">
        <v>11405</v>
      </c>
      <c r="Q399" s="150">
        <v>79145</v>
      </c>
      <c r="R399" s="16">
        <v>6943</v>
      </c>
      <c r="S399" s="16">
        <v>0</v>
      </c>
      <c r="T399" s="150">
        <v>150553</v>
      </c>
      <c r="U399" s="150">
        <v>150553</v>
      </c>
      <c r="V399" s="150">
        <v>150073</v>
      </c>
      <c r="W399" s="150">
        <v>150393</v>
      </c>
      <c r="X399" s="150">
        <v>150393</v>
      </c>
      <c r="Y399" s="10">
        <v>250695</v>
      </c>
      <c r="Z399" s="16">
        <v>21138</v>
      </c>
      <c r="AA399" s="150">
        <v>164274</v>
      </c>
    </row>
    <row r="400" spans="1:27" x14ac:dyDescent="0.35">
      <c r="A400" s="19">
        <v>6370</v>
      </c>
      <c r="B400" s="20" t="s">
        <v>426</v>
      </c>
      <c r="C400" s="150">
        <v>1599984</v>
      </c>
      <c r="D400" s="150">
        <v>3014914</v>
      </c>
      <c r="E400" s="150">
        <v>2884311</v>
      </c>
      <c r="F400" s="10">
        <v>4038035</v>
      </c>
      <c r="G400" s="10">
        <v>185221</v>
      </c>
      <c r="H400" s="156">
        <v>0</v>
      </c>
      <c r="I400" s="150">
        <v>0</v>
      </c>
      <c r="J400" s="16">
        <v>0</v>
      </c>
      <c r="K400" s="150">
        <v>0</v>
      </c>
      <c r="L400" s="150">
        <v>0</v>
      </c>
      <c r="M400" s="150">
        <v>0</v>
      </c>
      <c r="N400" s="10">
        <v>0</v>
      </c>
      <c r="O400" s="150">
        <v>1269562</v>
      </c>
      <c r="P400" s="150">
        <v>5200</v>
      </c>
      <c r="Q400" s="150">
        <v>61255</v>
      </c>
      <c r="R400" s="16">
        <v>5374</v>
      </c>
      <c r="S400" s="16">
        <v>0</v>
      </c>
      <c r="T400" s="150">
        <v>125469</v>
      </c>
      <c r="U400" s="150">
        <v>125469</v>
      </c>
      <c r="V400" s="150">
        <v>125069</v>
      </c>
      <c r="W400" s="150">
        <v>125335</v>
      </c>
      <c r="X400" s="150">
        <v>125336</v>
      </c>
      <c r="Y400" s="10">
        <v>208927</v>
      </c>
      <c r="Z400" s="16">
        <v>0</v>
      </c>
      <c r="AA400" s="150">
        <v>74476</v>
      </c>
    </row>
    <row r="401" spans="1:27" x14ac:dyDescent="0.35">
      <c r="A401" s="19">
        <v>6321</v>
      </c>
      <c r="B401" s="20" t="s">
        <v>427</v>
      </c>
      <c r="C401" s="150">
        <v>1244294</v>
      </c>
      <c r="D401" s="150">
        <v>2173425</v>
      </c>
      <c r="E401" s="150">
        <v>2136074</v>
      </c>
      <c r="F401" s="10">
        <v>2990504</v>
      </c>
      <c r="G401" s="10">
        <v>137172</v>
      </c>
      <c r="H401" s="156">
        <v>0</v>
      </c>
      <c r="I401" s="150">
        <v>0</v>
      </c>
      <c r="J401" s="16">
        <v>0</v>
      </c>
      <c r="K401" s="150">
        <v>0</v>
      </c>
      <c r="L401" s="150">
        <v>0</v>
      </c>
      <c r="M401" s="150">
        <v>0</v>
      </c>
      <c r="N401" s="10">
        <v>0</v>
      </c>
      <c r="O401" s="150">
        <v>848848</v>
      </c>
      <c r="P401" s="150">
        <v>3476</v>
      </c>
      <c r="Q401" s="150">
        <v>54140</v>
      </c>
      <c r="R401" s="16">
        <v>4750</v>
      </c>
      <c r="S401" s="16">
        <v>92717</v>
      </c>
      <c r="T401" s="150">
        <v>67782</v>
      </c>
      <c r="U401" s="150">
        <v>67781</v>
      </c>
      <c r="V401" s="150">
        <v>67567</v>
      </c>
      <c r="W401" s="150">
        <v>67709</v>
      </c>
      <c r="X401" s="150">
        <v>67710</v>
      </c>
      <c r="Y401" s="10">
        <v>112866</v>
      </c>
      <c r="Z401" s="16">
        <v>11041</v>
      </c>
      <c r="AA401" s="150">
        <v>50440</v>
      </c>
    </row>
    <row r="402" spans="1:27" x14ac:dyDescent="0.35">
      <c r="A402" s="19">
        <v>6335</v>
      </c>
      <c r="B402" s="20" t="s">
        <v>428</v>
      </c>
      <c r="C402" s="150">
        <v>561815</v>
      </c>
      <c r="D402" s="150">
        <v>1016619</v>
      </c>
      <c r="E402" s="150">
        <v>986521</v>
      </c>
      <c r="F402" s="10">
        <v>1381131</v>
      </c>
      <c r="G402" s="10">
        <v>63351</v>
      </c>
      <c r="H402" s="156">
        <v>0</v>
      </c>
      <c r="I402" s="150">
        <v>0</v>
      </c>
      <c r="J402" s="16">
        <v>0</v>
      </c>
      <c r="K402" s="150">
        <v>76961</v>
      </c>
      <c r="L402" s="150">
        <v>124794</v>
      </c>
      <c r="M402" s="150">
        <v>121586</v>
      </c>
      <c r="N402" s="10">
        <v>123188.83</v>
      </c>
      <c r="O402" s="150">
        <v>854042</v>
      </c>
      <c r="P402" s="150">
        <v>3498</v>
      </c>
      <c r="Q402" s="150">
        <v>73205</v>
      </c>
      <c r="R402" s="16">
        <v>6422</v>
      </c>
      <c r="S402" s="16">
        <v>0</v>
      </c>
      <c r="T402" s="150">
        <v>37261</v>
      </c>
      <c r="U402" s="150">
        <v>37261</v>
      </c>
      <c r="V402" s="150">
        <v>37143</v>
      </c>
      <c r="W402" s="150">
        <v>37221</v>
      </c>
      <c r="X402" s="150">
        <v>37222</v>
      </c>
      <c r="Y402" s="10">
        <v>62045</v>
      </c>
      <c r="Z402" s="16">
        <v>1420</v>
      </c>
      <c r="AA402" s="150">
        <v>42262</v>
      </c>
    </row>
    <row r="403" spans="1:27" x14ac:dyDescent="0.35">
      <c r="A403" s="19">
        <v>6354</v>
      </c>
      <c r="B403" s="20" t="s">
        <v>429</v>
      </c>
      <c r="C403" s="150">
        <v>147010</v>
      </c>
      <c r="D403" s="150">
        <v>568531</v>
      </c>
      <c r="E403" s="150">
        <v>447213</v>
      </c>
      <c r="F403" s="10">
        <v>626097</v>
      </c>
      <c r="G403" s="10">
        <v>28719</v>
      </c>
      <c r="H403" s="156">
        <v>0</v>
      </c>
      <c r="I403" s="150">
        <v>0</v>
      </c>
      <c r="J403" s="16">
        <v>0</v>
      </c>
      <c r="K403" s="150">
        <v>19042</v>
      </c>
      <c r="L403" s="150">
        <v>43368</v>
      </c>
      <c r="M403" s="150">
        <v>42254</v>
      </c>
      <c r="N403" s="10">
        <v>42809.72</v>
      </c>
      <c r="O403" s="150">
        <v>212954</v>
      </c>
      <c r="P403" s="150">
        <v>872</v>
      </c>
      <c r="Q403" s="150">
        <v>12200</v>
      </c>
      <c r="R403" s="16">
        <v>1070</v>
      </c>
      <c r="S403" s="16">
        <v>93821</v>
      </c>
      <c r="T403" s="150">
        <v>17105</v>
      </c>
      <c r="U403" s="150">
        <v>17104</v>
      </c>
      <c r="V403" s="150">
        <v>17050</v>
      </c>
      <c r="W403" s="150">
        <v>17086</v>
      </c>
      <c r="X403" s="150">
        <v>17086</v>
      </c>
      <c r="Y403" s="10">
        <v>28481</v>
      </c>
      <c r="Z403" s="16">
        <v>0</v>
      </c>
      <c r="AA403" s="150">
        <v>18026</v>
      </c>
    </row>
    <row r="404" spans="1:27" x14ac:dyDescent="0.35">
      <c r="A404" s="19">
        <v>6384</v>
      </c>
      <c r="B404" s="20" t="s">
        <v>430</v>
      </c>
      <c r="C404" s="150">
        <v>500957</v>
      </c>
      <c r="D404" s="150">
        <v>909721</v>
      </c>
      <c r="E404" s="150">
        <v>881674</v>
      </c>
      <c r="F404" s="10">
        <v>1234343</v>
      </c>
      <c r="G404" s="10">
        <v>56618</v>
      </c>
      <c r="H404" s="156">
        <v>0</v>
      </c>
      <c r="I404" s="150">
        <v>0</v>
      </c>
      <c r="J404" s="16">
        <v>0</v>
      </c>
      <c r="K404" s="150">
        <v>0</v>
      </c>
      <c r="L404" s="150">
        <v>0</v>
      </c>
      <c r="M404" s="150">
        <v>0</v>
      </c>
      <c r="N404" s="10">
        <v>0</v>
      </c>
      <c r="O404" s="150">
        <v>609182</v>
      </c>
      <c r="P404" s="150">
        <v>2495</v>
      </c>
      <c r="Q404" s="150">
        <v>35475</v>
      </c>
      <c r="R404" s="16">
        <v>3112</v>
      </c>
      <c r="S404" s="16">
        <v>0</v>
      </c>
      <c r="T404" s="150">
        <v>46356</v>
      </c>
      <c r="U404" s="150">
        <v>46355</v>
      </c>
      <c r="V404" s="150">
        <v>46209</v>
      </c>
      <c r="W404" s="150">
        <v>46306</v>
      </c>
      <c r="X404" s="150">
        <v>46307</v>
      </c>
      <c r="Y404" s="10">
        <v>77189</v>
      </c>
      <c r="Z404" s="16">
        <v>12542</v>
      </c>
      <c r="AA404" s="150">
        <v>37789</v>
      </c>
    </row>
    <row r="405" spans="1:27" x14ac:dyDescent="0.35">
      <c r="A405" s="19">
        <v>6412</v>
      </c>
      <c r="B405" s="20" t="s">
        <v>431</v>
      </c>
      <c r="C405" s="150">
        <v>339728</v>
      </c>
      <c r="D405" s="150">
        <v>630852</v>
      </c>
      <c r="E405" s="150">
        <v>606612</v>
      </c>
      <c r="F405" s="10">
        <v>849257</v>
      </c>
      <c r="G405" s="10">
        <v>38955</v>
      </c>
      <c r="H405" s="156">
        <v>0</v>
      </c>
      <c r="I405" s="150">
        <v>0</v>
      </c>
      <c r="J405" s="16">
        <v>0</v>
      </c>
      <c r="K405" s="150">
        <v>0</v>
      </c>
      <c r="L405" s="150">
        <v>0</v>
      </c>
      <c r="M405" s="150">
        <v>0</v>
      </c>
      <c r="N405" s="10">
        <v>0</v>
      </c>
      <c r="O405" s="150">
        <v>324996</v>
      </c>
      <c r="P405" s="150">
        <v>1331</v>
      </c>
      <c r="Q405" s="150">
        <v>13535</v>
      </c>
      <c r="R405" s="16">
        <v>1187</v>
      </c>
      <c r="S405" s="16">
        <v>14597</v>
      </c>
      <c r="T405" s="150">
        <v>51501</v>
      </c>
      <c r="U405" s="150">
        <v>51502</v>
      </c>
      <c r="V405" s="150">
        <v>51336</v>
      </c>
      <c r="W405" s="150">
        <v>51447</v>
      </c>
      <c r="X405" s="150">
        <v>51446</v>
      </c>
      <c r="Y405" s="10">
        <v>85757</v>
      </c>
      <c r="Z405" s="16">
        <v>0</v>
      </c>
      <c r="AA405" s="150">
        <v>18727</v>
      </c>
    </row>
    <row r="406" spans="1:27" x14ac:dyDescent="0.35">
      <c r="A406" s="19">
        <v>6440</v>
      </c>
      <c r="B406" s="20" t="s">
        <v>432</v>
      </c>
      <c r="C406" s="150">
        <v>8328</v>
      </c>
      <c r="D406" s="150">
        <v>15844</v>
      </c>
      <c r="E406" s="150">
        <v>15107</v>
      </c>
      <c r="F406" s="10">
        <v>21150</v>
      </c>
      <c r="G406" s="10">
        <v>970</v>
      </c>
      <c r="H406" s="156">
        <v>34860</v>
      </c>
      <c r="I406" s="150">
        <v>21788</v>
      </c>
      <c r="J406" s="16">
        <v>30503</v>
      </c>
      <c r="K406" s="150">
        <v>9653</v>
      </c>
      <c r="L406" s="150">
        <v>26552</v>
      </c>
      <c r="M406" s="150">
        <v>25870</v>
      </c>
      <c r="N406" s="10">
        <v>26209.67</v>
      </c>
      <c r="O406" s="150">
        <v>112784</v>
      </c>
      <c r="P406" s="150">
        <v>462</v>
      </c>
      <c r="Q406" s="150">
        <v>7950</v>
      </c>
      <c r="R406" s="16">
        <v>697</v>
      </c>
      <c r="S406" s="16">
        <v>11083</v>
      </c>
      <c r="T406" s="150">
        <v>8898</v>
      </c>
      <c r="U406" s="150">
        <v>8897</v>
      </c>
      <c r="V406" s="150">
        <v>8870</v>
      </c>
      <c r="W406" s="150">
        <v>8888</v>
      </c>
      <c r="X406" s="150">
        <v>8888</v>
      </c>
      <c r="Y406" s="10">
        <v>14816</v>
      </c>
      <c r="Z406" s="16">
        <v>0</v>
      </c>
      <c r="AA406" s="150">
        <v>6242</v>
      </c>
    </row>
    <row r="407" spans="1:27" x14ac:dyDescent="0.35">
      <c r="A407" s="19">
        <v>6419</v>
      </c>
      <c r="B407" s="20" t="s">
        <v>433</v>
      </c>
      <c r="C407" s="150">
        <v>1551142</v>
      </c>
      <c r="D407" s="150">
        <v>3080036</v>
      </c>
      <c r="E407" s="150">
        <v>2894486</v>
      </c>
      <c r="F407" s="10">
        <v>4052280</v>
      </c>
      <c r="G407" s="10">
        <v>185875</v>
      </c>
      <c r="H407" s="156">
        <v>0</v>
      </c>
      <c r="I407" s="150">
        <v>0</v>
      </c>
      <c r="J407" s="16">
        <v>0</v>
      </c>
      <c r="K407" s="150">
        <v>0</v>
      </c>
      <c r="L407" s="150">
        <v>0</v>
      </c>
      <c r="M407" s="150">
        <v>0</v>
      </c>
      <c r="N407" s="10">
        <v>0</v>
      </c>
      <c r="O407" s="150">
        <v>2072406</v>
      </c>
      <c r="P407" s="150">
        <v>8488</v>
      </c>
      <c r="Q407" s="150">
        <v>245</v>
      </c>
      <c r="R407" s="16">
        <v>21</v>
      </c>
      <c r="S407" s="16">
        <v>0</v>
      </c>
      <c r="T407" s="150">
        <v>166250</v>
      </c>
      <c r="U407" s="150">
        <v>166251</v>
      </c>
      <c r="V407" s="150">
        <v>165720</v>
      </c>
      <c r="W407" s="150">
        <v>166073</v>
      </c>
      <c r="X407" s="150">
        <v>166074</v>
      </c>
      <c r="Y407" s="10">
        <v>276834</v>
      </c>
      <c r="Z407" s="16">
        <v>52970</v>
      </c>
      <c r="AA407" s="150">
        <v>129389</v>
      </c>
    </row>
    <row r="408" spans="1:27" x14ac:dyDescent="0.35">
      <c r="A408" s="19">
        <v>6426</v>
      </c>
      <c r="B408" s="20" t="s">
        <v>434</v>
      </c>
      <c r="C408" s="150">
        <v>830253</v>
      </c>
      <c r="D408" s="150">
        <v>1509051</v>
      </c>
      <c r="E408" s="150">
        <v>1462065</v>
      </c>
      <c r="F408" s="10">
        <v>2046891</v>
      </c>
      <c r="G408" s="10">
        <v>93889</v>
      </c>
      <c r="H408" s="156">
        <v>0</v>
      </c>
      <c r="I408" s="150">
        <v>0</v>
      </c>
      <c r="J408" s="16">
        <v>0</v>
      </c>
      <c r="K408" s="150">
        <v>0</v>
      </c>
      <c r="L408" s="150">
        <v>91162</v>
      </c>
      <c r="M408" s="150">
        <v>88818</v>
      </c>
      <c r="N408" s="10">
        <v>89988.72</v>
      </c>
      <c r="O408" s="150">
        <v>552048</v>
      </c>
      <c r="P408" s="150">
        <v>2261</v>
      </c>
      <c r="Q408" s="150">
        <v>55500</v>
      </c>
      <c r="R408" s="16">
        <v>4869</v>
      </c>
      <c r="S408" s="16">
        <v>17191</v>
      </c>
      <c r="T408" s="150">
        <v>31449</v>
      </c>
      <c r="U408" s="150">
        <v>31449</v>
      </c>
      <c r="V408" s="150">
        <v>31348</v>
      </c>
      <c r="W408" s="150">
        <v>31416</v>
      </c>
      <c r="X408" s="150">
        <v>31415</v>
      </c>
      <c r="Y408" s="10">
        <v>52369</v>
      </c>
      <c r="Z408" s="16">
        <v>0</v>
      </c>
      <c r="AA408" s="150">
        <v>38823</v>
      </c>
    </row>
    <row r="409" spans="1:27" x14ac:dyDescent="0.35">
      <c r="A409" s="19">
        <v>6461</v>
      </c>
      <c r="B409" s="20" t="s">
        <v>435</v>
      </c>
      <c r="C409" s="150">
        <v>1356314</v>
      </c>
      <c r="D409" s="150">
        <v>2767866</v>
      </c>
      <c r="E409" s="150">
        <v>2577613</v>
      </c>
      <c r="F409" s="10">
        <v>3608658</v>
      </c>
      <c r="G409" s="10">
        <v>165526</v>
      </c>
      <c r="H409" s="156">
        <v>0</v>
      </c>
      <c r="I409" s="150">
        <v>0</v>
      </c>
      <c r="J409" s="16">
        <v>0</v>
      </c>
      <c r="K409" s="150">
        <v>0</v>
      </c>
      <c r="L409" s="150">
        <v>92047</v>
      </c>
      <c r="M409" s="150">
        <v>89679</v>
      </c>
      <c r="N409" s="10">
        <v>90863.78</v>
      </c>
      <c r="O409" s="150">
        <v>1487710</v>
      </c>
      <c r="P409" s="150">
        <v>6093</v>
      </c>
      <c r="Q409" s="150">
        <v>42015</v>
      </c>
      <c r="R409" s="16">
        <v>3686</v>
      </c>
      <c r="S409" s="16">
        <v>0</v>
      </c>
      <c r="T409" s="150">
        <v>158250</v>
      </c>
      <c r="U409" s="150">
        <v>158250</v>
      </c>
      <c r="V409" s="150">
        <v>157746</v>
      </c>
      <c r="W409" s="150">
        <v>158082</v>
      </c>
      <c r="X409" s="150">
        <v>158082</v>
      </c>
      <c r="Y409" s="10">
        <v>263514</v>
      </c>
      <c r="Z409" s="16">
        <v>60260</v>
      </c>
      <c r="AA409" s="150">
        <v>77180</v>
      </c>
    </row>
    <row r="410" spans="1:27" x14ac:dyDescent="0.35">
      <c r="A410" s="19">
        <v>6470</v>
      </c>
      <c r="B410" s="20" t="s">
        <v>436</v>
      </c>
      <c r="C410" s="150">
        <v>1402902</v>
      </c>
      <c r="D410" s="150">
        <v>2192433</v>
      </c>
      <c r="E410" s="150">
        <v>2247084</v>
      </c>
      <c r="F410" s="10">
        <v>3145918</v>
      </c>
      <c r="G410" s="10">
        <v>144301</v>
      </c>
      <c r="H410" s="156">
        <v>0</v>
      </c>
      <c r="I410" s="150">
        <v>0</v>
      </c>
      <c r="J410" s="16">
        <v>0</v>
      </c>
      <c r="K410" s="150">
        <v>0</v>
      </c>
      <c r="L410" s="150">
        <v>0</v>
      </c>
      <c r="M410" s="150">
        <v>0</v>
      </c>
      <c r="N410" s="10">
        <v>0</v>
      </c>
      <c r="O410" s="150">
        <v>1593816</v>
      </c>
      <c r="P410" s="150">
        <v>6528</v>
      </c>
      <c r="Q410" s="150">
        <v>21940</v>
      </c>
      <c r="R410" s="16">
        <v>1925</v>
      </c>
      <c r="S410" s="16">
        <v>0</v>
      </c>
      <c r="T410" s="150">
        <v>186994</v>
      </c>
      <c r="U410" s="150">
        <v>186995</v>
      </c>
      <c r="V410" s="150">
        <v>186398</v>
      </c>
      <c r="W410" s="150">
        <v>186795</v>
      </c>
      <c r="X410" s="150">
        <v>186796</v>
      </c>
      <c r="Y410" s="10">
        <v>311378</v>
      </c>
      <c r="Z410" s="16">
        <v>0</v>
      </c>
      <c r="AA410" s="150">
        <v>91734</v>
      </c>
    </row>
    <row r="411" spans="1:27" x14ac:dyDescent="0.35">
      <c r="A411" s="19">
        <v>6475</v>
      </c>
      <c r="B411" s="20" t="s">
        <v>40</v>
      </c>
      <c r="C411" s="150">
        <v>26040</v>
      </c>
      <c r="D411" s="150">
        <v>141577</v>
      </c>
      <c r="E411" s="150">
        <v>104761</v>
      </c>
      <c r="F411" s="10">
        <v>146666</v>
      </c>
      <c r="G411" s="10">
        <v>6727</v>
      </c>
      <c r="H411" s="156">
        <v>0</v>
      </c>
      <c r="I411" s="150">
        <v>0</v>
      </c>
      <c r="J411" s="16">
        <v>0</v>
      </c>
      <c r="K411" s="150">
        <v>0</v>
      </c>
      <c r="L411" s="150">
        <v>56644</v>
      </c>
      <c r="M411" s="150">
        <v>55188</v>
      </c>
      <c r="N411" s="10">
        <v>55915.55</v>
      </c>
      <c r="O411" s="150">
        <v>424424</v>
      </c>
      <c r="P411" s="150">
        <v>1738</v>
      </c>
      <c r="Q411" s="150">
        <v>54110</v>
      </c>
      <c r="R411" s="16">
        <v>4747</v>
      </c>
      <c r="S411" s="16">
        <v>40505</v>
      </c>
      <c r="T411" s="150">
        <v>13209</v>
      </c>
      <c r="U411" s="150">
        <v>13210</v>
      </c>
      <c r="V411" s="150">
        <v>13167</v>
      </c>
      <c r="W411" s="150">
        <v>13195</v>
      </c>
      <c r="X411" s="150">
        <v>13196</v>
      </c>
      <c r="Y411" s="10">
        <v>21995</v>
      </c>
      <c r="Z411" s="16">
        <v>13338</v>
      </c>
      <c r="AA411" s="150">
        <v>20230</v>
      </c>
    </row>
    <row r="412" spans="1:27" x14ac:dyDescent="0.35">
      <c r="A412" s="19">
        <v>6482</v>
      </c>
      <c r="B412" s="20" t="s">
        <v>437</v>
      </c>
      <c r="C412" s="150">
        <v>5530</v>
      </c>
      <c r="D412" s="150">
        <v>781</v>
      </c>
      <c r="E412" s="150">
        <v>3944</v>
      </c>
      <c r="F412" s="10">
        <v>5522</v>
      </c>
      <c r="G412" s="10">
        <v>253</v>
      </c>
      <c r="H412" s="156">
        <v>9020</v>
      </c>
      <c r="I412" s="150">
        <v>5638</v>
      </c>
      <c r="J412" s="16">
        <v>7892</v>
      </c>
      <c r="K412" s="150">
        <v>0</v>
      </c>
      <c r="L412" s="150">
        <v>0</v>
      </c>
      <c r="M412" s="150">
        <v>0</v>
      </c>
      <c r="N412" s="10">
        <v>0</v>
      </c>
      <c r="O412" s="150">
        <v>448168</v>
      </c>
      <c r="P412" s="150">
        <v>1835</v>
      </c>
      <c r="Q412" s="150">
        <v>7460</v>
      </c>
      <c r="R412" s="16">
        <v>654</v>
      </c>
      <c r="S412" s="16">
        <v>0</v>
      </c>
      <c r="T412" s="150">
        <v>25206</v>
      </c>
      <c r="U412" s="150">
        <v>25207</v>
      </c>
      <c r="V412" s="150">
        <v>25126</v>
      </c>
      <c r="W412" s="150">
        <v>25180</v>
      </c>
      <c r="X412" s="150">
        <v>25180</v>
      </c>
      <c r="Y412" s="10">
        <v>41973</v>
      </c>
      <c r="Z412" s="16">
        <v>0</v>
      </c>
      <c r="AA412" s="150">
        <v>25537</v>
      </c>
    </row>
    <row r="413" spans="1:27" x14ac:dyDescent="0.35">
      <c r="A413" s="19">
        <v>6545</v>
      </c>
      <c r="B413" s="20" t="s">
        <v>438</v>
      </c>
      <c r="C413" s="150">
        <v>565510</v>
      </c>
      <c r="D413" s="150">
        <v>765281</v>
      </c>
      <c r="E413" s="150">
        <v>831745</v>
      </c>
      <c r="F413" s="10">
        <v>1164442</v>
      </c>
      <c r="G413" s="10">
        <v>53412</v>
      </c>
      <c r="H413" s="156">
        <v>0</v>
      </c>
      <c r="I413" s="150">
        <v>0</v>
      </c>
      <c r="J413" s="16">
        <v>0</v>
      </c>
      <c r="K413" s="150">
        <v>0</v>
      </c>
      <c r="L413" s="150">
        <v>0</v>
      </c>
      <c r="M413" s="150">
        <v>0</v>
      </c>
      <c r="N413" s="10">
        <v>0</v>
      </c>
      <c r="O413" s="150">
        <v>727902</v>
      </c>
      <c r="P413" s="150">
        <v>2981</v>
      </c>
      <c r="Q413" s="150">
        <v>38190</v>
      </c>
      <c r="R413" s="16">
        <v>3350</v>
      </c>
      <c r="S413" s="16">
        <v>0</v>
      </c>
      <c r="T413" s="150">
        <v>91686</v>
      </c>
      <c r="U413" s="150">
        <v>91686</v>
      </c>
      <c r="V413" s="150">
        <v>91394</v>
      </c>
      <c r="W413" s="150">
        <v>91588</v>
      </c>
      <c r="X413" s="150">
        <v>91589</v>
      </c>
      <c r="Y413" s="10">
        <v>152673</v>
      </c>
      <c r="Z413" s="16">
        <v>52135</v>
      </c>
      <c r="AA413" s="150">
        <v>55615</v>
      </c>
    </row>
    <row r="414" spans="1:27" x14ac:dyDescent="0.35">
      <c r="A414" s="19">
        <v>6608</v>
      </c>
      <c r="B414" s="20" t="s">
        <v>439</v>
      </c>
      <c r="C414" s="150">
        <v>1039067</v>
      </c>
      <c r="D414" s="150">
        <v>1987917</v>
      </c>
      <c r="E414" s="150">
        <v>1891865</v>
      </c>
      <c r="F414" s="10">
        <v>2648612</v>
      </c>
      <c r="G414" s="10">
        <v>121489</v>
      </c>
      <c r="H414" s="156">
        <v>0</v>
      </c>
      <c r="I414" s="150">
        <v>0</v>
      </c>
      <c r="J414" s="16">
        <v>0</v>
      </c>
      <c r="K414" s="150">
        <v>0</v>
      </c>
      <c r="L414" s="150">
        <v>0</v>
      </c>
      <c r="M414" s="150">
        <v>0</v>
      </c>
      <c r="N414" s="10">
        <v>0</v>
      </c>
      <c r="O414" s="150">
        <v>1126356</v>
      </c>
      <c r="P414" s="150">
        <v>4613</v>
      </c>
      <c r="Q414" s="150">
        <v>67665</v>
      </c>
      <c r="R414" s="16">
        <v>5936</v>
      </c>
      <c r="S414" s="16">
        <v>0</v>
      </c>
      <c r="T414" s="150">
        <v>100807</v>
      </c>
      <c r="U414" s="150">
        <v>100807</v>
      </c>
      <c r="V414" s="150">
        <v>100487</v>
      </c>
      <c r="W414" s="150">
        <v>100700</v>
      </c>
      <c r="X414" s="150">
        <v>100700</v>
      </c>
      <c r="Y414" s="10">
        <v>167861</v>
      </c>
      <c r="Z414" s="16">
        <v>0</v>
      </c>
      <c r="AA414" s="150">
        <v>65896</v>
      </c>
    </row>
    <row r="415" spans="1:27" x14ac:dyDescent="0.35">
      <c r="A415" s="19">
        <v>6615</v>
      </c>
      <c r="B415" s="20" t="s">
        <v>13</v>
      </c>
      <c r="C415" s="150">
        <v>6137</v>
      </c>
      <c r="D415" s="150">
        <v>6256</v>
      </c>
      <c r="E415" s="150">
        <v>7746</v>
      </c>
      <c r="F415" s="10">
        <v>10845</v>
      </c>
      <c r="G415" s="10">
        <v>497</v>
      </c>
      <c r="H415" s="156">
        <v>10573</v>
      </c>
      <c r="I415" s="150">
        <v>6608</v>
      </c>
      <c r="J415" s="16">
        <v>9251</v>
      </c>
      <c r="K415" s="150">
        <v>18579</v>
      </c>
      <c r="L415" s="150">
        <v>34518</v>
      </c>
      <c r="M415" s="150">
        <v>33630</v>
      </c>
      <c r="N415" s="10">
        <v>34073.17</v>
      </c>
      <c r="O415" s="150">
        <v>201082</v>
      </c>
      <c r="P415" s="150">
        <v>824</v>
      </c>
      <c r="Q415" s="150">
        <v>28410</v>
      </c>
      <c r="R415" s="16">
        <v>2492</v>
      </c>
      <c r="S415" s="16">
        <v>31666</v>
      </c>
      <c r="T415" s="150">
        <v>17376</v>
      </c>
      <c r="U415" s="150">
        <v>17376</v>
      </c>
      <c r="V415" s="150">
        <v>17321</v>
      </c>
      <c r="W415" s="150">
        <v>17358</v>
      </c>
      <c r="X415" s="150">
        <v>17358</v>
      </c>
      <c r="Y415" s="10">
        <v>28933</v>
      </c>
      <c r="Z415" s="16">
        <v>0</v>
      </c>
      <c r="AA415" s="150">
        <v>10415</v>
      </c>
    </row>
    <row r="416" spans="1:27" x14ac:dyDescent="0.35">
      <c r="A416" s="19">
        <v>6678</v>
      </c>
      <c r="B416" s="20" t="s">
        <v>440</v>
      </c>
      <c r="C416" s="150">
        <v>220773</v>
      </c>
      <c r="D416" s="150">
        <v>0</v>
      </c>
      <c r="E416" s="150">
        <v>136363</v>
      </c>
      <c r="F416" s="10">
        <v>192303</v>
      </c>
      <c r="G416" s="10">
        <v>8821</v>
      </c>
      <c r="H416" s="156">
        <v>272235</v>
      </c>
      <c r="I416" s="150">
        <v>170147</v>
      </c>
      <c r="J416" s="16">
        <v>238206</v>
      </c>
      <c r="K416" s="150">
        <v>120930</v>
      </c>
      <c r="L416" s="150">
        <v>234542</v>
      </c>
      <c r="M416" s="150">
        <v>228512</v>
      </c>
      <c r="N416" s="10">
        <v>231525.72</v>
      </c>
      <c r="O416" s="150">
        <v>1317792</v>
      </c>
      <c r="P416" s="150">
        <v>5397</v>
      </c>
      <c r="Q416" s="150">
        <v>67530</v>
      </c>
      <c r="R416" s="16">
        <v>5924</v>
      </c>
      <c r="S416" s="16">
        <v>0</v>
      </c>
      <c r="T416" s="150">
        <v>92379</v>
      </c>
      <c r="U416" s="150">
        <v>92379</v>
      </c>
      <c r="V416" s="150">
        <v>92084</v>
      </c>
      <c r="W416" s="150">
        <v>92280</v>
      </c>
      <c r="X416" s="150">
        <v>92281</v>
      </c>
      <c r="Y416" s="10">
        <v>153828</v>
      </c>
      <c r="Z416" s="16">
        <v>0</v>
      </c>
      <c r="AA416" s="150">
        <v>72139</v>
      </c>
    </row>
    <row r="417" spans="1:27" x14ac:dyDescent="0.35">
      <c r="A417" s="19">
        <v>469</v>
      </c>
      <c r="B417" s="20" t="s">
        <v>441</v>
      </c>
      <c r="C417" s="150">
        <v>261867</v>
      </c>
      <c r="D417" s="150">
        <v>604738</v>
      </c>
      <c r="E417" s="150">
        <v>541628</v>
      </c>
      <c r="F417" s="10">
        <v>758279</v>
      </c>
      <c r="G417" s="10">
        <v>34782</v>
      </c>
      <c r="H417" s="156">
        <v>0</v>
      </c>
      <c r="I417" s="150">
        <v>0</v>
      </c>
      <c r="J417" s="16">
        <v>0</v>
      </c>
      <c r="K417" s="150">
        <v>0</v>
      </c>
      <c r="L417" s="150">
        <v>0</v>
      </c>
      <c r="M417" s="150">
        <v>0</v>
      </c>
      <c r="N417" s="10">
        <v>0</v>
      </c>
      <c r="O417" s="150">
        <v>575050</v>
      </c>
      <c r="P417" s="150">
        <v>2355</v>
      </c>
      <c r="Q417" s="150">
        <v>20970</v>
      </c>
      <c r="R417" s="16">
        <v>1840</v>
      </c>
      <c r="S417" s="16">
        <v>76013</v>
      </c>
      <c r="T417" s="150">
        <v>79518</v>
      </c>
      <c r="U417" s="150">
        <v>79517</v>
      </c>
      <c r="V417" s="150">
        <v>79265</v>
      </c>
      <c r="W417" s="150">
        <v>79434</v>
      </c>
      <c r="X417" s="150">
        <v>79433</v>
      </c>
      <c r="Y417" s="10">
        <v>132411</v>
      </c>
      <c r="Z417" s="16">
        <v>34221</v>
      </c>
      <c r="AA417" s="150">
        <v>36854</v>
      </c>
    </row>
    <row r="418" spans="1:27" x14ac:dyDescent="0.35">
      <c r="A418" s="19">
        <v>6685</v>
      </c>
      <c r="B418" s="20" t="s">
        <v>442</v>
      </c>
      <c r="C418" s="150">
        <v>5100757</v>
      </c>
      <c r="D418" s="150">
        <v>9228852</v>
      </c>
      <c r="E418" s="150">
        <v>8956006</v>
      </c>
      <c r="F418" s="10">
        <v>12538408</v>
      </c>
      <c r="G418" s="10">
        <v>575126</v>
      </c>
      <c r="H418" s="156">
        <v>0</v>
      </c>
      <c r="I418" s="150">
        <v>0</v>
      </c>
      <c r="J418" s="16">
        <v>0</v>
      </c>
      <c r="K418" s="150">
        <v>0</v>
      </c>
      <c r="L418" s="150">
        <v>585913</v>
      </c>
      <c r="M418" s="150">
        <v>576089</v>
      </c>
      <c r="N418" s="10">
        <v>580999.93000000005</v>
      </c>
      <c r="O418" s="150">
        <v>3678836</v>
      </c>
      <c r="P418" s="150">
        <v>15067</v>
      </c>
      <c r="Q418" s="150">
        <v>141280</v>
      </c>
      <c r="R418" s="16">
        <v>12394</v>
      </c>
      <c r="S418" s="16">
        <v>0</v>
      </c>
      <c r="T418" s="150">
        <v>457203</v>
      </c>
      <c r="U418" s="150">
        <v>457203</v>
      </c>
      <c r="V418" s="150">
        <v>455744</v>
      </c>
      <c r="W418" s="150">
        <v>456717</v>
      </c>
      <c r="X418" s="150">
        <v>456717</v>
      </c>
      <c r="Y418" s="10">
        <v>761320</v>
      </c>
      <c r="Z418" s="16">
        <v>20169</v>
      </c>
      <c r="AA418" s="150">
        <v>253371</v>
      </c>
    </row>
    <row r="419" spans="1:27" x14ac:dyDescent="0.35">
      <c r="A419" s="19">
        <v>6692</v>
      </c>
      <c r="B419" s="20" t="s">
        <v>443</v>
      </c>
      <c r="C419" s="150">
        <v>1033561</v>
      </c>
      <c r="D419" s="150">
        <v>1947667</v>
      </c>
      <c r="E419" s="150">
        <v>1863268</v>
      </c>
      <c r="F419" s="10">
        <v>2608575</v>
      </c>
      <c r="G419" s="10">
        <v>119653</v>
      </c>
      <c r="H419" s="156">
        <v>0</v>
      </c>
      <c r="I419" s="150">
        <v>0</v>
      </c>
      <c r="J419" s="16">
        <v>0</v>
      </c>
      <c r="K419" s="150">
        <v>0</v>
      </c>
      <c r="L419" s="150">
        <v>0</v>
      </c>
      <c r="M419" s="150">
        <v>0</v>
      </c>
      <c r="N419" s="10">
        <v>0</v>
      </c>
      <c r="O419" s="150">
        <v>829556</v>
      </c>
      <c r="P419" s="150">
        <v>3397</v>
      </c>
      <c r="Q419" s="150">
        <v>59710</v>
      </c>
      <c r="R419" s="16">
        <v>5238</v>
      </c>
      <c r="S419" s="16">
        <v>0</v>
      </c>
      <c r="T419" s="150">
        <v>77023</v>
      </c>
      <c r="U419" s="150">
        <v>77023</v>
      </c>
      <c r="V419" s="150">
        <v>76777</v>
      </c>
      <c r="W419" s="150">
        <v>76940</v>
      </c>
      <c r="X419" s="150">
        <v>76941</v>
      </c>
      <c r="Y419" s="10">
        <v>128258</v>
      </c>
      <c r="Z419" s="16">
        <v>5385</v>
      </c>
      <c r="AA419" s="150">
        <v>49205</v>
      </c>
    </row>
    <row r="420" spans="1:27" x14ac:dyDescent="0.35">
      <c r="A420" s="19">
        <v>6713</v>
      </c>
      <c r="B420" s="20" t="s">
        <v>444</v>
      </c>
      <c r="C420" s="150">
        <v>297421</v>
      </c>
      <c r="D420" s="150">
        <v>494638</v>
      </c>
      <c r="E420" s="150">
        <v>495037</v>
      </c>
      <c r="F420" s="10">
        <v>693050</v>
      </c>
      <c r="G420" s="10">
        <v>31790</v>
      </c>
      <c r="H420" s="156">
        <v>0</v>
      </c>
      <c r="I420" s="150">
        <v>0</v>
      </c>
      <c r="J420" s="16">
        <v>0</v>
      </c>
      <c r="K420" s="150">
        <v>26315</v>
      </c>
      <c r="L420" s="150">
        <v>38943</v>
      </c>
      <c r="M420" s="150">
        <v>37941</v>
      </c>
      <c r="N420" s="10">
        <v>38442.44</v>
      </c>
      <c r="O420" s="150">
        <v>278250</v>
      </c>
      <c r="P420" s="150">
        <v>1140</v>
      </c>
      <c r="Q420" s="150">
        <v>14585</v>
      </c>
      <c r="R420" s="16">
        <v>1280</v>
      </c>
      <c r="S420" s="16">
        <v>54707</v>
      </c>
      <c r="T420" s="150">
        <v>21349</v>
      </c>
      <c r="U420" s="150">
        <v>21350</v>
      </c>
      <c r="V420" s="150">
        <v>21281</v>
      </c>
      <c r="W420" s="150">
        <v>21327</v>
      </c>
      <c r="X420" s="150">
        <v>21327</v>
      </c>
      <c r="Y420" s="10">
        <v>35550</v>
      </c>
      <c r="Z420" s="16">
        <v>0</v>
      </c>
      <c r="AA420" s="150">
        <v>20864</v>
      </c>
    </row>
    <row r="421" spans="1:27" x14ac:dyDescent="0.35">
      <c r="A421" s="19">
        <v>6720</v>
      </c>
      <c r="B421" s="20" t="s">
        <v>445</v>
      </c>
      <c r="C421" s="150">
        <v>19038</v>
      </c>
      <c r="D421" s="150">
        <v>24172</v>
      </c>
      <c r="E421" s="150">
        <v>27006</v>
      </c>
      <c r="F421" s="10">
        <v>37809</v>
      </c>
      <c r="G421" s="10">
        <v>1734</v>
      </c>
      <c r="H421" s="156">
        <v>0</v>
      </c>
      <c r="I421" s="150">
        <v>0</v>
      </c>
      <c r="J421" s="16">
        <v>0</v>
      </c>
      <c r="K421" s="150">
        <v>29621</v>
      </c>
      <c r="L421" s="150">
        <v>76116</v>
      </c>
      <c r="M421" s="150">
        <v>84642</v>
      </c>
      <c r="N421" s="10">
        <v>80379.11</v>
      </c>
      <c r="O421" s="150">
        <v>334642</v>
      </c>
      <c r="P421" s="150">
        <v>1371</v>
      </c>
      <c r="Q421" s="150">
        <v>12600</v>
      </c>
      <c r="R421" s="16">
        <v>1105</v>
      </c>
      <c r="S421" s="16">
        <v>112632</v>
      </c>
      <c r="T421" s="150">
        <v>59947</v>
      </c>
      <c r="U421" s="150">
        <v>59947</v>
      </c>
      <c r="V421" s="150">
        <v>59755</v>
      </c>
      <c r="W421" s="150">
        <v>59883</v>
      </c>
      <c r="X421" s="150">
        <v>59883</v>
      </c>
      <c r="Y421" s="10">
        <v>99821</v>
      </c>
      <c r="Z421" s="16">
        <v>17054</v>
      </c>
      <c r="AA421" s="150">
        <v>15022</v>
      </c>
    </row>
    <row r="422" spans="1:27" x14ac:dyDescent="0.35">
      <c r="A422" s="19">
        <v>6734</v>
      </c>
      <c r="B422" s="20" t="s">
        <v>446</v>
      </c>
      <c r="C422" s="150">
        <v>1199015</v>
      </c>
      <c r="D422" s="150">
        <v>2175714</v>
      </c>
      <c r="E422" s="150">
        <v>2109206</v>
      </c>
      <c r="F422" s="10">
        <v>2952888</v>
      </c>
      <c r="G422" s="10">
        <v>135446</v>
      </c>
      <c r="H422" s="156">
        <v>0</v>
      </c>
      <c r="I422" s="150">
        <v>0</v>
      </c>
      <c r="J422" s="16">
        <v>0</v>
      </c>
      <c r="K422" s="150">
        <v>0</v>
      </c>
      <c r="L422" s="150">
        <v>0</v>
      </c>
      <c r="M422" s="150">
        <v>0</v>
      </c>
      <c r="N422" s="10">
        <v>0</v>
      </c>
      <c r="O422" s="150">
        <v>985376</v>
      </c>
      <c r="P422" s="150">
        <v>4036</v>
      </c>
      <c r="Q422" s="150">
        <v>48430</v>
      </c>
      <c r="R422" s="16">
        <v>4249</v>
      </c>
      <c r="S422" s="16">
        <v>0</v>
      </c>
      <c r="T422" s="150">
        <v>46464</v>
      </c>
      <c r="U422" s="150">
        <v>46465</v>
      </c>
      <c r="V422" s="150">
        <v>46317</v>
      </c>
      <c r="W422" s="150">
        <v>46415</v>
      </c>
      <c r="X422" s="150">
        <v>46415</v>
      </c>
      <c r="Y422" s="10">
        <v>77371</v>
      </c>
      <c r="Z422" s="16">
        <v>0</v>
      </c>
      <c r="AA422" s="150">
        <v>58919</v>
      </c>
    </row>
    <row r="423" spans="1:27" ht="15" thickBot="1" x14ac:dyDescent="0.4">
      <c r="A423" s="134">
        <v>6748</v>
      </c>
      <c r="B423" s="133" t="s">
        <v>447</v>
      </c>
      <c r="C423" s="151">
        <v>20432</v>
      </c>
      <c r="D423" s="150">
        <v>297061</v>
      </c>
      <c r="E423" s="150">
        <v>198433</v>
      </c>
      <c r="F423" s="10">
        <v>277805</v>
      </c>
      <c r="G423" s="10">
        <v>12743</v>
      </c>
      <c r="H423" s="157">
        <v>0</v>
      </c>
      <c r="I423" s="150">
        <v>0</v>
      </c>
      <c r="J423" s="115">
        <v>0</v>
      </c>
      <c r="K423" s="150">
        <v>0</v>
      </c>
      <c r="L423" s="150">
        <v>0</v>
      </c>
      <c r="M423" s="150">
        <v>0</v>
      </c>
      <c r="N423" s="10">
        <v>0</v>
      </c>
      <c r="O423" s="150">
        <v>247086</v>
      </c>
      <c r="P423" s="150">
        <v>1012</v>
      </c>
      <c r="Q423" s="150">
        <v>11230</v>
      </c>
      <c r="R423" s="16">
        <v>985</v>
      </c>
      <c r="S423" s="16">
        <v>10171</v>
      </c>
      <c r="T423" s="150">
        <v>14390</v>
      </c>
      <c r="U423" s="150">
        <v>14391</v>
      </c>
      <c r="V423" s="150">
        <v>14345</v>
      </c>
      <c r="W423" s="150">
        <v>14375</v>
      </c>
      <c r="X423" s="150">
        <v>14375</v>
      </c>
      <c r="Y423" s="10">
        <v>23963</v>
      </c>
      <c r="Z423" s="16">
        <v>0</v>
      </c>
      <c r="AA423" s="150">
        <v>12919</v>
      </c>
    </row>
    <row r="424" spans="1:27" ht="15" thickBot="1" x14ac:dyDescent="0.4">
      <c r="A424" s="135"/>
      <c r="B424" s="136" t="s">
        <v>504</v>
      </c>
      <c r="C424" s="166">
        <f t="shared" ref="C424:J424" si="0">SUM(C2:C423)</f>
        <v>673511122</v>
      </c>
      <c r="D424" s="167">
        <f t="shared" si="0"/>
        <v>1189075308</v>
      </c>
      <c r="E424" s="167">
        <f t="shared" si="0"/>
        <v>1164114905</v>
      </c>
      <c r="F424" s="168">
        <f t="shared" si="0"/>
        <v>1629762240</v>
      </c>
      <c r="G424" s="168">
        <f t="shared" si="0"/>
        <v>74755773</v>
      </c>
      <c r="H424" s="167">
        <f t="shared" si="0"/>
        <v>3023129</v>
      </c>
      <c r="I424" s="167">
        <f t="shared" si="0"/>
        <v>1889466</v>
      </c>
      <c r="J424" s="137">
        <f t="shared" si="0"/>
        <v>2645233</v>
      </c>
      <c r="K424" s="167">
        <f t="shared" ref="K424:AA424" si="1">SUM(K2:K423)</f>
        <v>16830000</v>
      </c>
      <c r="L424" s="167">
        <f t="shared" si="1"/>
        <v>36353161</v>
      </c>
      <c r="M424" s="167">
        <f t="shared" si="1"/>
        <v>36384168</v>
      </c>
      <c r="N424" s="137">
        <f t="shared" si="1"/>
        <v>36322171</v>
      </c>
      <c r="O424" s="167">
        <f t="shared" si="1"/>
        <v>610419656</v>
      </c>
      <c r="P424" s="167">
        <f t="shared" si="1"/>
        <v>2500000</v>
      </c>
      <c r="Q424" s="167">
        <f t="shared" si="1"/>
        <v>21830993</v>
      </c>
      <c r="R424" s="168">
        <f t="shared" si="1"/>
        <v>1914376</v>
      </c>
      <c r="S424" s="168">
        <f t="shared" si="1"/>
        <v>13500000</v>
      </c>
      <c r="T424" s="167">
        <f t="shared" si="1"/>
        <v>65292622</v>
      </c>
      <c r="U424" s="167">
        <f t="shared" si="1"/>
        <v>65579428</v>
      </c>
      <c r="V424" s="167">
        <f t="shared" si="1"/>
        <v>65223241</v>
      </c>
      <c r="W424" s="167">
        <f t="shared" si="1"/>
        <v>65350125</v>
      </c>
      <c r="X424" s="167">
        <f t="shared" si="1"/>
        <v>65359101</v>
      </c>
      <c r="Y424" s="168">
        <f t="shared" si="1"/>
        <v>108969185</v>
      </c>
      <c r="Z424" s="168">
        <f t="shared" si="1"/>
        <v>8742213</v>
      </c>
      <c r="AA424" s="165">
        <f t="shared" si="1"/>
        <v>39000000</v>
      </c>
    </row>
    <row r="425" spans="1:27" x14ac:dyDescent="0.35">
      <c r="Z425" s="35"/>
    </row>
    <row r="426" spans="1:27" x14ac:dyDescent="0.35">
      <c r="Z426" s="35"/>
    </row>
    <row r="427" spans="1:27" x14ac:dyDescent="0.35">
      <c r="Z427" s="35"/>
    </row>
    <row r="428" spans="1:27" x14ac:dyDescent="0.35">
      <c r="Z428" s="35"/>
    </row>
    <row r="429" spans="1:27" x14ac:dyDescent="0.35">
      <c r="A429" s="119">
        <v>9999</v>
      </c>
      <c r="B429" s="120" t="s">
        <v>502</v>
      </c>
      <c r="C429" s="10">
        <v>2241889</v>
      </c>
      <c r="D429" s="10">
        <v>3843168</v>
      </c>
      <c r="E429" s="10">
        <v>3803161</v>
      </c>
      <c r="F429" s="10">
        <v>5324425</v>
      </c>
      <c r="G429" s="10">
        <v>244227</v>
      </c>
    </row>
    <row r="431" spans="1:27" x14ac:dyDescent="0.35">
      <c r="C431" s="15">
        <f>C424+C429</f>
        <v>675753011</v>
      </c>
      <c r="D431" s="15">
        <f>D424+D429</f>
        <v>1192918476</v>
      </c>
      <c r="E431" s="15">
        <f>E424+E429</f>
        <v>1167918066</v>
      </c>
      <c r="F431" s="15">
        <f>F424+F429</f>
        <v>1635086665</v>
      </c>
      <c r="G431" s="15">
        <f>G424+G429</f>
        <v>75000000</v>
      </c>
    </row>
  </sheetData>
  <conditionalFormatting sqref="J2">
    <cfRule type="cellIs" dxfId="0" priority="1" stopIfTrue="1" operator="lessThan">
      <formula>0</formula>
    </cfRule>
  </conditionalFormatting>
  <pageMargins left="0.7" right="0.7" top="0.75" bottom="0.75" header="0.3" footer="0.3"/>
  <pageSetup scale="10" orientation="landscape" r:id="rId1"/>
  <headerFooter>
    <oddFooter>Page &amp;P of &amp;N</oddFooter>
  </headerFooter>
  <colBreaks count="2" manualBreakCount="2">
    <brk id="3" max="429" man="1"/>
    <brk id="19"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Letter</vt:lpstr>
      <vt:lpstr>Withholding</vt:lpstr>
      <vt:lpstr>Eligibility</vt:lpstr>
      <vt:lpstr>Letter!Print_Area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2009-2010 Aid Adj Explanation</dc:title>
  <dc:subject>Open Enrollmnet Aid Adj</dc:subject>
  <dc:creator>Pamela Schumacher</dc:creator>
  <cp:keywords>Aid, Adjustments, Payments, Reconciliation, Open Enrollment</cp:keywords>
  <cp:lastModifiedBy>Sengupta, Sumana   DPI</cp:lastModifiedBy>
  <cp:lastPrinted>2018-11-06T19:27:45Z</cp:lastPrinted>
  <dcterms:created xsi:type="dcterms:W3CDTF">2009-11-24T18:54:43Z</dcterms:created>
  <dcterms:modified xsi:type="dcterms:W3CDTF">2021-06-10T16:22:20Z</dcterms:modified>
  <cp:category>Aid</cp:category>
  <cp:contentStatus>Final</cp:contentStatus>
</cp:coreProperties>
</file>