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51" yWindow="90" windowWidth="15480" windowHeight="10470" tabRatio="837" activeTab="0"/>
  </bookViews>
  <sheets>
    <sheet name="08-09 Rev Lim Calc" sheetId="1" r:id="rId1"/>
    <sheet name="DATA" sheetId="2" r:id="rId2"/>
  </sheets>
  <definedNames>
    <definedName name="AIDPENPY">'DATA'!$I$2:$I$4</definedName>
    <definedName name="avgmemcy">'DATA'!$BA$2:$BA$4</definedName>
    <definedName name="avgmempy">'DATA'!$AZ$2:$AZ$4</definedName>
    <definedName name="BASEAID">'DATA'!$D$2:$D$4</definedName>
    <definedName name="BASEREV">'DATA'!$C$2:$C$4</definedName>
    <definedName name="ccpermem">'DATA'!$AE$2:$AE$4</definedName>
    <definedName name="CHGBACK_CY">'DATA'!$AX$2:$AX$4</definedName>
    <definedName name="COMAID_PY_FILE">'DATA'!$E$2:$E$4</definedName>
    <definedName name="compval">'DATA'!$AN$2:$AN$4</definedName>
    <definedName name="DECLINPY">'DATA'!$K$2:$K$4</definedName>
    <definedName name="EXCLMESS">'DATA'!$AQ$2:$AQ$4</definedName>
    <definedName name="fte3f05s">'DATA'!$P$2:$P$4</definedName>
    <definedName name="fte3f06s">'DATA'!$T$2:$T$4</definedName>
    <definedName name="fte3f07s">'DATA'!$X$2:$X$4</definedName>
    <definedName name="fte3f08s">'DATA'!$AI$2:$AI$4</definedName>
    <definedName name="fte3rd05">'DATA'!$O$2:$O$4</definedName>
    <definedName name="fte3rd06">'DATA'!$S$2:$S$4</definedName>
    <definedName name="fte3rd07">'DATA'!$W$2:$W$4</definedName>
    <definedName name="fte3rd08">'DATA'!$AH$2:$AH$4</definedName>
    <definedName name="HIPOV">'DATA'!$AD$2:$AD$4</definedName>
    <definedName name="hipov_offset_py">'DATA'!$BB$2:$BB$4</definedName>
    <definedName name="impex_cy">'DATA'!$AL$2:$AL$4</definedName>
    <definedName name="LEVY10C_CY">'DATA'!$AR$2:$AR$4</definedName>
    <definedName name="LEVY10C_PY">'DATA'!$F$2:$F$4</definedName>
    <definedName name="LEVY38C_PY">'DATA'!$G$2:$G$4</definedName>
    <definedName name="LEVY41C_CY">'DATA'!$AU$2:$AU$4</definedName>
    <definedName name="LEVY41C_PY">'DATA'!$H$2:$H$4</definedName>
    <definedName name="LEVY48C_CY">'DATA'!$AY$2:$AY$4</definedName>
    <definedName name="LEVY80C_CY">'DATA'!$AW$2:$AW$4</definedName>
    <definedName name="line7xtr_py">'DATA'!$BC$2:$BC$4</definedName>
    <definedName name="octaid">'DATA'!$AB$2:$AB$4</definedName>
    <definedName name="OTH_NONP">'DATA'!$L$2:$L$4</definedName>
    <definedName name="_xlnm.Print_Area" localSheetId="0">'08-09 Rev Lim Calc'!$A$1:$P$50</definedName>
    <definedName name="PYREFNON">'DATA'!$J$2:$J$4</definedName>
    <definedName name="REFNRCY">'DATA'!$AA$2:$AA$4</definedName>
    <definedName name="REFRCY">'DATA'!$Z$2:$Z$4</definedName>
    <definedName name="REORG">'DATA'!$AK$2:$AK$4</definedName>
    <definedName name="SERVICE">'DATA'!$AJ$2:$AJ$4</definedName>
    <definedName name="simlevy38c_cy">'DATA'!$AS$2:$AS$4</definedName>
    <definedName name="simlevy39c_cy">'DATA'!$AT$2:$AT$4</definedName>
    <definedName name="speclevy_cy">'DATA'!$AV$2:$AV$4</definedName>
    <definedName name="SUMM05">'DATA'!$M$2:$M$4</definedName>
    <definedName name="SUMM0540">'DATA'!$N$2:$N$4</definedName>
    <definedName name="SUMM06">'DATA'!$Q$2:$Q$4</definedName>
    <definedName name="SUMM0640">'DATA'!$R$2:$R$4</definedName>
    <definedName name="SUMM07">'DATA'!$U$2:$U$4</definedName>
    <definedName name="SUMM0740">'DATA'!$V$2:$V$4</definedName>
    <definedName name="summ08">'DATA'!$AF$2:$AF$4</definedName>
    <definedName name="SUMM0840">'DATA'!$AG$2:$AG$4</definedName>
    <definedName name="tifoutcy">'DATA'!$AO$2:$AO$4</definedName>
    <definedName name="TRGAIDCY">'DATA'!$AC$2:$AC$4</definedName>
    <definedName name="UNUSEDPY">'DATA'!$Y$2:$Y$4</definedName>
  </definedNames>
  <calcPr fullCalcOnLoad="1"/>
</workbook>
</file>

<file path=xl/comments1.xml><?xml version="1.0" encoding="utf-8"?>
<comments xmlns="http://schemas.openxmlformats.org/spreadsheetml/2006/main">
  <authors>
    <author>A satisfied Microsoft Office user</author>
    <author>State of Wisconsin</author>
    <author>Karen Kucharz</author>
    <author>Karen A. Kucharz</author>
  </authors>
  <commentList>
    <comment ref="E4" authorId="0">
      <text>
        <r>
          <rPr>
            <b/>
            <sz val="8"/>
            <rFont val="Tahoma"/>
            <family val="2"/>
          </rPr>
          <t xml:space="preserve">Make sure this amount does not exceed Line 9 of the 2007-2008 Final Revenue Limit Worksheet to be produced by DPI in May, 2008.  If it does exceed Line 9, check the following:
1.  Did you have an aid penalty in 2007-2008 for levying above the revenue limit?  If so, enter the amount of the aid reduction  on the penalty line.
2.  Did you have a non-recurring exemption in 2007-2008 (Declining Enrollment or a Referenda to Exceed)?  If so enter the amount levied for that exemption on the appropriate line.
3.  Did you include the Community Service levy in error?
4. Did you include the referendum debt Fund 30 levy in error?
</t>
        </r>
        <r>
          <rPr>
            <sz val="8"/>
            <rFont val="Tahoma"/>
            <family val="0"/>
          </rPr>
          <t xml:space="preserve">
</t>
        </r>
      </text>
    </comment>
    <comment ref="E6" authorId="0">
      <text>
        <r>
          <rPr>
            <b/>
            <sz val="8"/>
            <rFont val="Tahoma"/>
            <family val="2"/>
          </rPr>
          <t xml:space="preserve">Enter the amount of the October General Aid certification for 2007-2008. </t>
        </r>
        <r>
          <rPr>
            <sz val="8"/>
            <rFont val="Tahoma"/>
            <family val="0"/>
          </rPr>
          <t xml:space="preserve"> </t>
        </r>
        <r>
          <rPr>
            <b/>
            <sz val="8"/>
            <rFont val="Tahoma"/>
            <family val="2"/>
          </rPr>
          <t>Obtain this figure from Line I-5 of the Equalization Aid Worksheet mailed in October, 2007 or from Line 12 of the 2007-2008 Revenue Limit Worksheet produced by DPI.  
Enter the certified amount even if less aid was received due to a revenue limit penalty. October, 2007 Equalization Aid Worksheets are also available on the School Finance Team Website under the "Worksheets (DPI-Printed)" button on the homepage scanbar or at:  http://dpi.wi.gov/sfs/workdpi.html .</t>
        </r>
        <r>
          <rPr>
            <sz val="8"/>
            <rFont val="Tahoma"/>
            <family val="0"/>
          </rPr>
          <t xml:space="preserve">
</t>
        </r>
      </text>
    </comment>
    <comment ref="E7" authorId="0">
      <text>
        <r>
          <rPr>
            <b/>
            <sz val="8"/>
            <rFont val="Tahoma"/>
            <family val="2"/>
          </rPr>
          <t xml:space="preserve">Aid for Exempt Computer Property is part of the base revenue.  Enter the amount received, Source 691, in 2007-2008.    Computer Aid is shown  on Line 17 of the 2007-2008 Revenue Limit Worksheet produced by DPI and mailed to your district.  </t>
        </r>
      </text>
    </comment>
    <comment ref="I6" authorId="0">
      <text>
        <r>
          <rPr>
            <b/>
            <sz val="8"/>
            <rFont val="Tahoma"/>
            <family val="2"/>
          </rPr>
          <t>The allowable rate of increase is the percentage change in the consumer price index for all urban consumers, U.S. city average, between the preceding March 31 and the 2nd preceding March 31, as computed by the federal Department of Labor. 
The per-pupil number was updated on 4/17/08. The CPI increase over last year's per- pupil amount is 4.0%, bringing the 08-09 per-pupil inflationary increase to $274.68</t>
        </r>
      </text>
    </comment>
    <comment ref="E9" authorId="0">
      <text>
        <r>
          <rPr>
            <b/>
            <sz val="8"/>
            <rFont val="Tahoma"/>
            <family val="2"/>
          </rPr>
          <t>Use the Fall, 2007 SD-401 (Dept of Revenue Levy Certification Sheet) entry for account TAX 211 010 211. (Do not include amounts Chargebacks, Mobile Home Taxes or TIF Settlements.)</t>
        </r>
        <r>
          <rPr>
            <sz val="8"/>
            <rFont val="Tahoma"/>
            <family val="0"/>
          </rPr>
          <t xml:space="preserve">
</t>
        </r>
      </text>
    </comment>
    <comment ref="E10" authorId="0">
      <text>
        <r>
          <rPr>
            <b/>
            <sz val="8"/>
            <rFont val="Tahoma"/>
            <family val="2"/>
          </rPr>
          <t>Use the Fall, 2007 SD-401 (Dept of Revenue Levy Certification Sheet) entry for account TAX 211 038 210.  This amount is also found on Line 14B of the 2007-2008 Revenue Limit Worksheet produced by DPI.</t>
        </r>
        <r>
          <rPr>
            <sz val="8"/>
            <rFont val="Tahoma"/>
            <family val="0"/>
          </rPr>
          <t xml:space="preserve">
</t>
        </r>
      </text>
    </comment>
    <comment ref="I8" authorId="0">
      <text>
        <r>
          <rPr>
            <b/>
            <sz val="8"/>
            <rFont val="Tahoma"/>
            <family val="2"/>
          </rPr>
          <t>Districts that participate in a CCDEB and who appear to be "low revenue" districts may need to reduce the amount of  increase available for low revenue status.  However all districts are guaranteed at least the statutory increase per pupil.  Contact Lori Ames at 608-266-3464 for assistance.</t>
        </r>
        <r>
          <rPr>
            <sz val="8"/>
            <rFont val="Tahoma"/>
            <family val="0"/>
          </rPr>
          <t xml:space="preserve">
</t>
        </r>
      </text>
    </comment>
    <comment ref="E11" authorId="0">
      <text>
        <r>
          <rPr>
            <b/>
            <sz val="8"/>
            <rFont val="Tahoma"/>
            <family val="2"/>
          </rPr>
          <t>Use the Fall, 2007 PC-401 (Dept of Revenue Levy Certification Sheet) entry for account TAX 211 041 210.  This amount is also shown on Line 14C of the 2007-2008 Revenue Limit Worksheet produced by DPI.</t>
        </r>
        <r>
          <rPr>
            <sz val="8"/>
            <rFont val="Tahoma"/>
            <family val="0"/>
          </rPr>
          <t xml:space="preserve">
</t>
        </r>
      </text>
    </comment>
    <comment ref="E15" authorId="0">
      <text>
        <r>
          <rPr>
            <b/>
            <sz val="8"/>
            <rFont val="Tahoma"/>
            <family val="2"/>
          </rPr>
          <t xml:space="preserve">If the district had an approved referenda to exceed the 2007-2008 revenue limit on a non-recurring basis, enter the </t>
        </r>
        <r>
          <rPr>
            <b/>
            <u val="single"/>
            <sz val="8"/>
            <rFont val="Tahoma"/>
            <family val="2"/>
          </rPr>
          <t>amount levied</t>
        </r>
        <r>
          <rPr>
            <b/>
            <sz val="8"/>
            <rFont val="Tahoma"/>
            <family val="2"/>
          </rPr>
          <t xml:space="preserve"> for the exemption. 
If the district levied to the maximum in 2007-2008, enter the full amount of the exemption allowed; or, if the district did not levy to the maximum in 2007-2008, then enter only the amount of the exemption actually used.  </t>
        </r>
        <r>
          <rPr>
            <sz val="8"/>
            <rFont val="Tahoma"/>
            <family val="0"/>
          </rPr>
          <t xml:space="preserve">
</t>
        </r>
      </text>
    </comment>
    <comment ref="I15" authorId="0">
      <text>
        <r>
          <rPr>
            <b/>
            <sz val="8"/>
            <rFont val="Tahoma"/>
            <family val="2"/>
          </rPr>
          <t xml:space="preserve">Districts should consult the "Results Box" on page 2 of the 07-08 Revenue Limit computation for eligible carryover amounts.
If the district did not have any Non-Recurring exemptions (Line 10=0) and did not utilize the extra revenue limit authority provided for in Line 7, then any underlevy is eligible for carryover.
Districts underlevying in the presence of non-recurring exemptions (Line 10 &gt; 0) and/or utilizing the revenue limit authority provided for in Line 7 may not have any carryover.  Call DPI for assistance. </t>
        </r>
        <r>
          <rPr>
            <sz val="8"/>
            <rFont val="Tahoma"/>
            <family val="0"/>
          </rPr>
          <t xml:space="preserve">  
 </t>
        </r>
      </text>
    </comment>
    <comment ref="E16" authorId="0">
      <text>
        <r>
          <rPr>
            <b/>
            <sz val="8"/>
            <rFont val="Tahoma"/>
            <family val="2"/>
          </rPr>
          <t xml:space="preserve">If the district had a declining enrollment exemption in 2007-2008, enter the </t>
        </r>
        <r>
          <rPr>
            <b/>
            <u val="single"/>
            <sz val="8"/>
            <rFont val="Tahoma"/>
            <family val="2"/>
          </rPr>
          <t>amount levied</t>
        </r>
        <r>
          <rPr>
            <b/>
            <sz val="8"/>
            <rFont val="Tahoma"/>
            <family val="2"/>
          </rPr>
          <t xml:space="preserve"> for that exemption.  
If the district levied to the maximum in 2007-2008, enter the full amount of the exemption from Line 10B of the 2007-2008 Revenue Limit Worksheet produced by DPI; or, if the district did not levy to the maximum in 2007-2008, then enter only the amount of the exemption actually used.</t>
        </r>
        <r>
          <rPr>
            <sz val="8"/>
            <rFont val="Tahoma"/>
            <family val="0"/>
          </rPr>
          <t xml:space="preserve">
</t>
        </r>
      </text>
    </comment>
    <comment ref="E17" authorId="0">
      <text>
        <r>
          <rPr>
            <b/>
            <sz val="8"/>
            <rFont val="Tahoma"/>
            <family val="2"/>
          </rPr>
          <t>No district was authorized by DPI to use this exemption in 2007-08, therefore, no district should enter an amount here.</t>
        </r>
      </text>
    </comment>
    <comment ref="I17" authorId="1">
      <text>
        <r>
          <rPr>
            <b/>
            <sz val="8"/>
            <rFont val="Tahoma"/>
            <family val="0"/>
          </rPr>
          <t>Applications for Transfer of Service Exemption should be directed to Brad Adams at DPI (608/267-3752).  Forms are available on the website:  http://www.dpi.wi.gov/sfs/transerv.html.</t>
        </r>
      </text>
    </comment>
    <comment ref="I19" authorId="0">
      <text>
        <r>
          <rPr>
            <b/>
            <sz val="8"/>
            <rFont val="Tahoma"/>
            <family val="2"/>
          </rPr>
          <t>Districts that receive less Federal Impact Aid in 2007-2008 than was received in 2006-2007 are granted an exemption for the amount of the aid reduction.  Estimate the reduction in aid or contact Brad Adams at DPI for assistance (608/267-3752).</t>
        </r>
        <r>
          <rPr>
            <sz val="8"/>
            <rFont val="Tahoma"/>
            <family val="0"/>
          </rPr>
          <t xml:space="preserve">
</t>
        </r>
      </text>
    </comment>
    <comment ref="I20" authorId="0">
      <text>
        <r>
          <rPr>
            <b/>
            <sz val="8"/>
            <rFont val="Tahoma"/>
            <family val="2"/>
          </rPr>
          <t xml:space="preserve">Districts that have a referendum approved exemption to exceed the revenue limit on a recurring basis and for which 2008-2009 is the first year of the exemption, enter the full amount approved.  Do not enter an amount here for a referenda-approved recurring exemption that began in a prior year.  That amount, to the extent that the district used the levy authority approved, is already included in the base revenue calculation on the left.  Even if the full amount was not levied, the allowable carryover is already reflected in Line 8A. </t>
        </r>
        <r>
          <rPr>
            <sz val="8"/>
            <rFont val="Tahoma"/>
            <family val="0"/>
          </rPr>
          <t xml:space="preserve">
</t>
        </r>
      </text>
    </comment>
    <comment ref="I23" authorId="1">
      <text>
        <r>
          <rPr>
            <b/>
            <sz val="8"/>
            <rFont val="Tahoma"/>
            <family val="0"/>
          </rPr>
          <t>School Boards are required to notify DPI within 10 days of a board resolution to go to referendum and also of the results within 10 days of the referenda.  Forms are available at: www.dpi.wi.gov/sfs/referendum.html.</t>
        </r>
      </text>
    </comment>
    <comment ref="J31" authorId="1">
      <text>
        <r>
          <rPr>
            <b/>
            <sz val="8"/>
            <rFont val="Tahoma"/>
            <family val="0"/>
          </rPr>
          <t>The actual revenue limit is computed by DPI in June 2009.</t>
        </r>
        <r>
          <rPr>
            <sz val="8"/>
            <rFont val="Tahoma"/>
            <family val="0"/>
          </rPr>
          <t xml:space="preserve">
</t>
        </r>
      </text>
    </comment>
    <comment ref="D30" authorId="1">
      <text>
        <r>
          <rPr>
            <b/>
            <sz val="8"/>
            <rFont val="Tahoma"/>
            <family val="0"/>
          </rPr>
          <t>Summer School   counts 40% for revenue limits.</t>
        </r>
        <r>
          <rPr>
            <sz val="8"/>
            <rFont val="Tahoma"/>
            <family val="0"/>
          </rPr>
          <t xml:space="preserve">
</t>
        </r>
      </text>
    </comment>
    <comment ref="D31" authorId="1">
      <text>
        <r>
          <rPr>
            <b/>
            <sz val="8"/>
            <rFont val="Tahoma"/>
            <family val="0"/>
          </rPr>
          <t>You must estimate a number until actual data is available.
Districts in the Ch. 220 Inter Aid Program (Milwaukee suburbs) must count Sept. resident transfer students at 75% per fte.</t>
        </r>
        <r>
          <rPr>
            <sz val="8"/>
            <rFont val="Tahoma"/>
            <family val="0"/>
          </rPr>
          <t xml:space="preserve">
</t>
        </r>
      </text>
    </comment>
    <comment ref="I35" authorId="0">
      <text>
        <r>
          <rPr>
            <b/>
            <sz val="8"/>
            <rFont val="Tahoma"/>
            <family val="2"/>
          </rPr>
          <t xml:space="preserve">Enter the amount that district would levy for Fund 10 if Src 691, Aid for Exempt Computer Property, did not exist. 
  </t>
        </r>
        <r>
          <rPr>
            <sz val="8"/>
            <rFont val="Tahoma"/>
            <family val="0"/>
          </rPr>
          <t xml:space="preserve">
</t>
        </r>
      </text>
    </comment>
    <comment ref="I37" authorId="1">
      <text>
        <r>
          <rPr>
            <b/>
            <sz val="8"/>
            <rFont val="Tahoma"/>
            <family val="0"/>
          </rPr>
          <t>Annual meeting approval is required for each year of a levy for a capital expansion fund.</t>
        </r>
        <r>
          <rPr>
            <sz val="8"/>
            <rFont val="Tahoma"/>
            <family val="0"/>
          </rPr>
          <t xml:space="preserve">
</t>
        </r>
      </text>
    </comment>
    <comment ref="I39" authorId="0">
      <text>
        <r>
          <rPr>
            <b/>
            <sz val="8"/>
            <rFont val="Tahoma"/>
            <family val="2"/>
          </rPr>
          <t>Enter the amount of Source 210 to be levied for repayment of Non-38 debt.</t>
        </r>
        <r>
          <rPr>
            <sz val="8"/>
            <rFont val="Tahoma"/>
            <family val="0"/>
          </rPr>
          <t xml:space="preserve">
</t>
        </r>
      </text>
    </comment>
    <comment ref="I41" authorId="0">
      <text>
        <r>
          <rPr>
            <b/>
            <sz val="8"/>
            <rFont val="Tahoma"/>
            <family val="2"/>
          </rPr>
          <t xml:space="preserve">Enter the amount district will levy to repay uncollected prior year taxes.
   </t>
        </r>
        <r>
          <rPr>
            <sz val="8"/>
            <rFont val="Tahoma"/>
            <family val="0"/>
          </rPr>
          <t xml:space="preserve">
</t>
        </r>
      </text>
    </comment>
    <comment ref="I42" authorId="0">
      <text>
        <r>
          <rPr>
            <b/>
            <sz val="8"/>
            <rFont val="Tahoma"/>
            <family val="2"/>
          </rPr>
          <t xml:space="preserve">Milwaukee Public Schools:  Enter amount of Source 220 for City paid Fund 30 debt (including  Fund 38).                     
Kenosha:  Enter amount deposited to new Capital Improvement Fund. </t>
        </r>
        <r>
          <rPr>
            <sz val="8"/>
            <rFont val="Tahoma"/>
            <family val="0"/>
          </rPr>
          <t xml:space="preserve">
</t>
        </r>
      </text>
    </comment>
    <comment ref="E44" authorId="1">
      <text>
        <r>
          <rPr>
            <b/>
            <sz val="8"/>
            <rFont val="Tahoma"/>
            <family val="0"/>
          </rPr>
          <t>Districts must estimate this value until actual certification in Oct, 2008.</t>
        </r>
        <r>
          <rPr>
            <sz val="8"/>
            <rFont val="Tahoma"/>
            <family val="0"/>
          </rPr>
          <t xml:space="preserve">
</t>
        </r>
      </text>
    </comment>
    <comment ref="E45" authorId="1">
      <text>
        <r>
          <rPr>
            <b/>
            <sz val="8"/>
            <rFont val="Tahoma"/>
            <family val="0"/>
          </rPr>
          <t>Districts must estimate this value until actual certification in Oct, 2008.</t>
        </r>
      </text>
    </comment>
    <comment ref="I40" authorId="2">
      <text>
        <r>
          <rPr>
            <b/>
            <sz val="8"/>
            <rFont val="Tahoma"/>
            <family val="2"/>
          </rPr>
          <t xml:space="preserve">Enter the amount of Source 210 to be levied in the Community Service Fund.
</t>
        </r>
      </text>
    </comment>
    <comment ref="I18" authorId="2">
      <text>
        <r>
          <rPr>
            <b/>
            <sz val="8"/>
            <rFont val="Tahoma"/>
            <family val="0"/>
          </rPr>
          <t>For assistance on Transfer of Territory, contact Jerry Landmark at 608/267-9209.</t>
        </r>
      </text>
    </comment>
    <comment ref="E12" authorId="0">
      <text>
        <r>
          <rPr>
            <b/>
            <sz val="8"/>
            <rFont val="Tahoma"/>
            <family val="2"/>
          </rPr>
          <t>Enter the amount of 2007-2008 Revenue Limit penalty, if any, from the bottom right of the 2007-2008 Revenue Limit Worksheet produced by DPI.</t>
        </r>
        <r>
          <rPr>
            <sz val="8"/>
            <rFont val="Tahoma"/>
            <family val="0"/>
          </rPr>
          <t xml:space="preserve">
</t>
        </r>
      </text>
    </comment>
    <comment ref="B22" authorId="2">
      <text>
        <r>
          <rPr>
            <b/>
            <sz val="8"/>
            <rFont val="Tahoma"/>
            <family val="2"/>
          </rPr>
          <t xml:space="preserve">All summer membership counts must be entered on a full time equivalency basis, rather than a head count.
</t>
        </r>
        <r>
          <rPr>
            <sz val="8"/>
            <rFont val="Tahoma"/>
            <family val="0"/>
          </rPr>
          <t xml:space="preserve">
</t>
        </r>
      </text>
    </comment>
    <comment ref="D29" authorId="2">
      <text>
        <r>
          <rPr>
            <b/>
            <sz val="8"/>
            <rFont val="Tahoma"/>
            <family val="2"/>
          </rPr>
          <t>You must estimate this number until actual data is available.
Districts in the Ch. 220 Inter Aid Program (Milwaukee suburbs) must count summer resident transfer students at 75% per fte.</t>
        </r>
      </text>
    </comment>
    <comment ref="E20" authorId="2">
      <text>
        <r>
          <rPr>
            <b/>
            <sz val="8"/>
            <rFont val="Tahoma"/>
            <family val="2"/>
          </rPr>
          <t>3-year average used in line 2 at right.</t>
        </r>
      </text>
    </comment>
    <comment ref="E27" authorId="2">
      <text>
        <r>
          <rPr>
            <b/>
            <sz val="8"/>
            <rFont val="Tahoma"/>
            <family val="2"/>
          </rPr>
          <t>3-year average used in line 6 at right.</t>
        </r>
      </text>
    </comment>
    <comment ref="J11" authorId="3">
      <text>
        <r>
          <rPr>
            <b/>
            <sz val="8"/>
            <rFont val="Tahoma"/>
            <family val="0"/>
          </rPr>
          <t>This new provision ensures that the 2008-09 Revenue Limit, No Exemptions (Line 7) is not less than the 2007-08 Base Revenue (Line 1).</t>
        </r>
        <r>
          <rPr>
            <sz val="8"/>
            <rFont val="Tahoma"/>
            <family val="0"/>
          </rPr>
          <t xml:space="preserve">
</t>
        </r>
        <r>
          <rPr>
            <b/>
            <sz val="8"/>
            <rFont val="Tahoma"/>
            <family val="2"/>
          </rPr>
          <t xml:space="preserve">NOTE: IN ORDER FOR THE SPREADSHEET FORMULA TO AUTOMATICALLY PLACE THE LINE 1 AMOUNT IN THIS CELL (IF YOU QUALIFY), A VALUE FOR THE FALL 2008 MEMBERSHIP MUST HAVE BEEN ENTERED IN LINE 6.
</t>
        </r>
        <r>
          <rPr>
            <b/>
            <u val="single"/>
            <sz val="8"/>
            <rFont val="Tahoma"/>
            <family val="2"/>
          </rPr>
          <t xml:space="preserve">Important note: </t>
        </r>
        <r>
          <rPr>
            <b/>
            <sz val="8"/>
            <rFont val="Tahoma"/>
            <family val="2"/>
          </rPr>
          <t xml:space="preserve">  Districts working on multi-year budget projections are to be advised that the “hold harmless” amount on Line 7 in the revenue limit calculation is a non-recurring exemption - that is, any additional amount added to the district’s current year computation as a result of Line 5 x Line 6 being less than Line 1 is to be backed out of the base in the subsequent year’s computation.
Please call a finance consultant should you have questions.
</t>
        </r>
      </text>
    </comment>
    <comment ref="I29" authorId="3">
      <text>
        <r>
          <rPr>
            <b/>
            <sz val="8"/>
            <rFont val="Tahoma"/>
            <family val="0"/>
          </rPr>
          <t>These amounts are based upon a Legislative Fiscal Bureau summary regarding Categorical Aid for High Poverty School Districts. Any questions should be directed to a School Finance Consultant.</t>
        </r>
      </text>
    </comment>
    <comment ref="E14" authorId="3">
      <text>
        <r>
          <rPr>
            <b/>
            <sz val="8"/>
            <rFont val="Tahoma"/>
            <family val="0"/>
          </rPr>
          <t xml:space="preserve">If the district received an additional amount in 07-08 on Line 7 (Line 7 was eligible to be increased to equal  Line 1 in the event Line 5 x Line 6 was less than Line 1), enter the </t>
        </r>
        <r>
          <rPr>
            <b/>
            <u val="single"/>
            <sz val="8"/>
            <rFont val="Tahoma"/>
            <family val="2"/>
          </rPr>
          <t>amount levied</t>
        </r>
        <r>
          <rPr>
            <b/>
            <sz val="8"/>
            <rFont val="Tahoma"/>
            <family val="0"/>
          </rPr>
          <t xml:space="preserve"> for this authority.</t>
        </r>
      </text>
    </comment>
  </commentList>
</comments>
</file>

<file path=xl/comments2.xml><?xml version="1.0" encoding="utf-8"?>
<comments xmlns="http://schemas.openxmlformats.org/spreadsheetml/2006/main">
  <authors>
    <author>Karen A. Kucharz</author>
  </authors>
  <commentList>
    <comment ref="C12" authorId="0">
      <text>
        <r>
          <rPr>
            <b/>
            <sz val="8"/>
            <rFont val="Tahoma"/>
            <family val="0"/>
          </rPr>
          <t>Karen A. Kucharz:</t>
        </r>
        <r>
          <rPr>
            <sz val="8"/>
            <rFont val="Tahoma"/>
            <family val="0"/>
          </rPr>
          <t xml:space="preserve">
Trevor's consolidation aid is outside the revenue limit, so although in the aid certification, it is not used here.
Shawano's base aid was in the certification but due to Shawano's special base calculation, Shawano does not appear here, but in a separate revenue computation Excel spreadsheet.
</t>
        </r>
      </text>
    </comment>
  </commentList>
</comments>
</file>

<file path=xl/sharedStrings.xml><?xml version="1.0" encoding="utf-8"?>
<sst xmlns="http://schemas.openxmlformats.org/spreadsheetml/2006/main" count="267" uniqueCount="212">
  <si>
    <t>DISTRICT:</t>
  </si>
  <si>
    <t xml:space="preserve">1.  </t>
  </si>
  <si>
    <t>(from left)</t>
  </si>
  <si>
    <t>=</t>
  </si>
  <si>
    <t xml:space="preserve">2.  </t>
  </si>
  <si>
    <t xml:space="preserve">3.  </t>
  </si>
  <si>
    <t>(with cents)</t>
  </si>
  <si>
    <t>+</t>
  </si>
  <si>
    <t xml:space="preserve">4.  </t>
  </si>
  <si>
    <t>5.</t>
  </si>
  <si>
    <t>6.</t>
  </si>
  <si>
    <t>-</t>
  </si>
  <si>
    <t>7.</t>
  </si>
  <si>
    <t>(rounded)</t>
  </si>
  <si>
    <t>8.</t>
  </si>
  <si>
    <t>A.</t>
  </si>
  <si>
    <t>B.</t>
  </si>
  <si>
    <t>C.</t>
  </si>
  <si>
    <t>D.</t>
  </si>
  <si>
    <t>E.</t>
  </si>
  <si>
    <t>9.</t>
  </si>
  <si>
    <r>
      <t>Summer fte</t>
    </r>
    <r>
      <rPr>
        <sz val="9"/>
        <rFont val="Arial"/>
        <family val="2"/>
      </rPr>
      <t>:</t>
    </r>
  </si>
  <si>
    <t>10.</t>
  </si>
  <si>
    <t>11.</t>
  </si>
  <si>
    <t>12.</t>
  </si>
  <si>
    <t>13.</t>
  </si>
  <si>
    <t>14.</t>
  </si>
  <si>
    <r>
      <t>Entries Required Below:</t>
    </r>
    <r>
      <rPr>
        <b/>
        <sz val="10"/>
        <rFont val="Arial"/>
        <family val="2"/>
      </rPr>
      <t xml:space="preserve"> </t>
    </r>
    <r>
      <rPr>
        <sz val="10"/>
        <rFont val="Arial"/>
        <family val="2"/>
      </rPr>
      <t xml:space="preserve"> </t>
    </r>
    <r>
      <rPr>
        <sz val="9"/>
        <rFont val="Arial"/>
        <family val="2"/>
      </rPr>
      <t>Amnts Needed by Purpose and Fund:</t>
    </r>
  </si>
  <si>
    <t>Line 10B:  Declining Enrollment Exemption   =</t>
  </si>
  <si>
    <r>
      <t>Non-Referendum Debt</t>
    </r>
    <r>
      <rPr>
        <sz val="9"/>
        <rFont val="Arial"/>
        <family val="2"/>
      </rPr>
      <t xml:space="preserve"> (inside limit)  Fnd 38 Src 210</t>
    </r>
  </si>
  <si>
    <r>
      <t xml:space="preserve">Capital Exp, </t>
    </r>
    <r>
      <rPr>
        <sz val="8"/>
        <rFont val="Arial"/>
        <family val="2"/>
      </rPr>
      <t>Annual Meeting Approved</t>
    </r>
    <r>
      <rPr>
        <sz val="10"/>
        <rFont val="Arial"/>
        <family val="2"/>
      </rPr>
      <t>:</t>
    </r>
    <r>
      <rPr>
        <sz val="9"/>
        <rFont val="Arial"/>
        <family val="2"/>
      </rPr>
      <t xml:space="preserve">  Fnd 41 Src 210</t>
    </r>
  </si>
  <si>
    <r>
      <t>Average FTE Loss  (</t>
    </r>
    <r>
      <rPr>
        <b/>
        <sz val="10"/>
        <rFont val="Arial"/>
        <family val="2"/>
      </rPr>
      <t xml:space="preserve">Line 2 - Line 6, </t>
    </r>
    <r>
      <rPr>
        <sz val="10"/>
        <rFont val="Arial"/>
        <family val="2"/>
      </rPr>
      <t>if  &gt; 0)</t>
    </r>
  </si>
  <si>
    <t xml:space="preserve">     =</t>
  </si>
  <si>
    <t>15.</t>
  </si>
  <si>
    <t>Total Revenue from Other Levies</t>
  </si>
  <si>
    <t>16.</t>
  </si>
  <si>
    <r>
      <t>Total Levy + Src 691, "Proposed Levy"</t>
    </r>
    <r>
      <rPr>
        <sz val="7"/>
        <rFont val="Arial"/>
        <family val="2"/>
      </rPr>
      <t xml:space="preserve">     </t>
    </r>
    <r>
      <rPr>
        <sz val="10"/>
        <rFont val="Arial"/>
        <family val="2"/>
      </rPr>
      <t>(Ln 14 + Ln 15)</t>
    </r>
  </si>
  <si>
    <t xml:space="preserve">Line 17:  State Aid for Exempt Computers    =    </t>
  </si>
  <si>
    <r>
      <t>Line 17 =</t>
    </r>
    <r>
      <rPr>
        <sz val="9"/>
        <rFont val="Arial"/>
        <family val="2"/>
      </rPr>
      <t xml:space="preserve">  </t>
    </r>
    <r>
      <rPr>
        <b/>
        <sz val="9"/>
        <rFont val="Arial"/>
        <family val="2"/>
      </rPr>
      <t xml:space="preserve">A    X   </t>
    </r>
    <r>
      <rPr>
        <b/>
        <sz val="9"/>
        <rFont val="Arial"/>
        <family val="2"/>
      </rPr>
      <t xml:space="preserve">(Line 16  /  C) </t>
    </r>
    <r>
      <rPr>
        <i/>
        <sz val="8"/>
        <rFont val="Arial"/>
        <family val="2"/>
      </rPr>
      <t>(to 8 decimals)</t>
    </r>
  </si>
  <si>
    <t>Round to Dollar</t>
  </si>
  <si>
    <t>17.</t>
  </si>
  <si>
    <r>
      <t xml:space="preserve">Est Src 691 </t>
    </r>
    <r>
      <rPr>
        <sz val="8"/>
        <rFont val="Arial"/>
        <family val="2"/>
      </rPr>
      <t xml:space="preserve">(Comp Aid) Based on Ln 16 &amp; Values Entered </t>
    </r>
  </si>
  <si>
    <t>18.</t>
  </si>
  <si>
    <t xml:space="preserve">Required </t>
  </si>
  <si>
    <t>19.</t>
  </si>
  <si>
    <t xml:space="preserve">     Computer aid replaces a portion of proposed Fund 10 Levy</t>
  </si>
  <si>
    <t>20.</t>
  </si>
  <si>
    <t>Src 691 = Computer Value X  (Proposed Levy / (TIF-Out Val + Computer Value))</t>
  </si>
  <si>
    <t xml:space="preserve">         Non-Recurring Exemption Amount:</t>
  </si>
  <si>
    <t>Other Non-Recurring Exemption</t>
  </si>
  <si>
    <r>
      <t>Gen Operations:</t>
    </r>
    <r>
      <rPr>
        <sz val="9"/>
        <rFont val="Arial"/>
        <family val="2"/>
      </rPr>
      <t xml:space="preserve"> Fnd 10 including Src 211 &amp; Src 691</t>
    </r>
  </si>
  <si>
    <t xml:space="preserve">Fund 30 Src 210 (38 + Non-38)   (Ln 14B +  Ln 15A)  </t>
  </si>
  <si>
    <r>
      <t xml:space="preserve">Prior Year Levy Chargeback </t>
    </r>
    <r>
      <rPr>
        <sz val="9"/>
        <rFont val="Arial"/>
        <family val="2"/>
      </rPr>
      <t>(Src 212)</t>
    </r>
  </si>
  <si>
    <t xml:space="preserve">Other Levy Revenue - Milwaukee &amp; Kenosha Only </t>
  </si>
  <si>
    <t xml:space="preserve">Not &gt;line 13   </t>
  </si>
  <si>
    <t xml:space="preserve"> </t>
  </si>
  <si>
    <t>(A+B+C+D):</t>
  </si>
  <si>
    <r>
      <t xml:space="preserve">Total Limited Revenue To Be Used </t>
    </r>
    <r>
      <rPr>
        <sz val="10"/>
        <rFont val="Arial"/>
        <family val="2"/>
      </rPr>
      <t>(A+B+C)</t>
    </r>
  </si>
  <si>
    <t>(to Budget Rpt)</t>
  </si>
  <si>
    <r>
      <t>Allowable Limited Revenue:</t>
    </r>
    <r>
      <rPr>
        <sz val="10"/>
        <rFont val="Arial"/>
        <family val="2"/>
      </rPr>
      <t xml:space="preserve">  (Line 11 - Line 12)  </t>
    </r>
  </si>
  <si>
    <r>
      <t xml:space="preserve">       (10, 38, 41 Levies + Src 691.  Src 691 is DOR Computer Aid.)</t>
    </r>
    <r>
      <rPr>
        <sz val="10"/>
        <rFont val="Arial"/>
        <family val="2"/>
      </rPr>
      <t xml:space="preserve"> </t>
    </r>
    <r>
      <rPr>
        <b/>
        <sz val="10"/>
        <rFont val="Arial"/>
        <family val="2"/>
      </rPr>
      <t xml:space="preserve">   </t>
    </r>
  </si>
  <si>
    <r>
      <t>Community Services</t>
    </r>
    <r>
      <rPr>
        <sz val="9"/>
        <rFont val="Arial"/>
        <family val="2"/>
      </rPr>
      <t xml:space="preserve"> (Fnd 80 Src 210)</t>
    </r>
  </si>
  <si>
    <t>(Proposed Fund 10)</t>
  </si>
  <si>
    <t>Referendum Apprvd Debt (Non Fund 38 Debt-Src 210)</t>
  </si>
  <si>
    <r>
      <t xml:space="preserve">  Line 19 = levy to be apportioned = DOR PC-401                 </t>
    </r>
    <r>
      <rPr>
        <sz val="9"/>
        <rFont val="Arial"/>
        <family val="2"/>
      </rPr>
      <t xml:space="preserve">Levy Rate = </t>
    </r>
  </si>
  <si>
    <r>
      <t>%</t>
    </r>
    <r>
      <rPr>
        <sz val="9"/>
        <rFont val="Arial"/>
        <family val="2"/>
      </rPr>
      <t xml:space="preserve"> (40,40,40)</t>
    </r>
    <r>
      <rPr>
        <sz val="10"/>
        <rFont val="Arial"/>
        <family val="2"/>
      </rPr>
      <t xml:space="preserve"> </t>
    </r>
  </si>
  <si>
    <t>Sept fte:</t>
  </si>
  <si>
    <t>Total fte</t>
  </si>
  <si>
    <t>Count Ch. 220 Inter-District Resident Transfer Pupils @ 75%.</t>
  </si>
  <si>
    <r>
      <t>Other</t>
    </r>
    <r>
      <rPr>
        <b/>
        <sz val="7"/>
        <rFont val="Arial"/>
        <family val="2"/>
      </rPr>
      <t xml:space="preserve"> </t>
    </r>
    <r>
      <rPr>
        <sz val="7"/>
        <rFont val="Arial"/>
        <family val="2"/>
      </rPr>
      <t>cells calculate after base levy entry.</t>
    </r>
  </si>
  <si>
    <t>CODE</t>
  </si>
  <si>
    <t>NAME</t>
  </si>
  <si>
    <t>BASEREV</t>
  </si>
  <si>
    <t>BASEAID</t>
  </si>
  <si>
    <t>COMAID_PY_FILE</t>
  </si>
  <si>
    <t>LEVY10C_PY</t>
  </si>
  <si>
    <t>LEVY38C_PY</t>
  </si>
  <si>
    <t>LEVY41C_PY</t>
  </si>
  <si>
    <t>AIDPENPY</t>
  </si>
  <si>
    <t>PYREFNON</t>
  </si>
  <si>
    <t>DECLINPY</t>
  </si>
  <si>
    <t>OTH_NONP</t>
  </si>
  <si>
    <t>SUMM05</t>
  </si>
  <si>
    <t>SUMM0540</t>
  </si>
  <si>
    <t>fte3rd05</t>
  </si>
  <si>
    <t>fte3f05s</t>
  </si>
  <si>
    <t>SUMM06</t>
  </si>
  <si>
    <t>SUMM0640</t>
  </si>
  <si>
    <t>fte3rd06</t>
  </si>
  <si>
    <t>fte3f06s</t>
  </si>
  <si>
    <t>Use arrow at right to select district.</t>
  </si>
  <si>
    <r>
      <t xml:space="preserve">    X   </t>
    </r>
    <r>
      <rPr>
        <sz val="10"/>
        <rFont val="Arial"/>
        <family val="2"/>
      </rPr>
      <t xml:space="preserve">  1.00</t>
    </r>
  </si>
  <si>
    <t>UNUSEDPY</t>
  </si>
  <si>
    <t>REFRCY</t>
  </si>
  <si>
    <t>REFNRCY</t>
  </si>
  <si>
    <t>CCPERMEM</t>
  </si>
  <si>
    <t>SUMM07</t>
  </si>
  <si>
    <t>SUMM0740</t>
  </si>
  <si>
    <t>fte3rd07</t>
  </si>
  <si>
    <t>fte3f07s</t>
  </si>
  <si>
    <t>service</t>
  </si>
  <si>
    <t>Reorg</t>
  </si>
  <si>
    <t>impex_cy</t>
  </si>
  <si>
    <t>Oth_nonc</t>
  </si>
  <si>
    <t>COMPVAL</t>
  </si>
  <si>
    <t>TIFOUTCY</t>
  </si>
  <si>
    <t>TIF_COMP</t>
  </si>
  <si>
    <t>EXCLMESS</t>
  </si>
  <si>
    <t>LEVY10C_CY</t>
  </si>
  <si>
    <t>simlevy38c_cy</t>
  </si>
  <si>
    <t>simlevy39c_cy</t>
  </si>
  <si>
    <t>LEVY41C_CY</t>
  </si>
  <si>
    <t>speclevy_cy</t>
  </si>
  <si>
    <t>LEVY80C_CY</t>
  </si>
  <si>
    <t>CHGBACK_CY</t>
  </si>
  <si>
    <t>LEVY48C_CY</t>
  </si>
  <si>
    <t>1.) trevor consolid</t>
  </si>
  <si>
    <t>2.) shawano aid</t>
  </si>
  <si>
    <t>OCTAID</t>
  </si>
  <si>
    <t>TRGAIDCY</t>
  </si>
  <si>
    <t>Total Aid to be Used in Computation (12A + 12B)</t>
  </si>
  <si>
    <t>State Aid to High Poverty Districts (not all dists)</t>
  </si>
  <si>
    <r>
      <t xml:space="preserve">        </t>
    </r>
    <r>
      <rPr>
        <i/>
        <u val="single"/>
        <sz val="9"/>
        <color indexed="10"/>
        <rFont val="Arial"/>
        <family val="2"/>
      </rPr>
      <t>Line 18</t>
    </r>
    <r>
      <rPr>
        <i/>
        <sz val="9"/>
        <color indexed="10"/>
        <rFont val="Arial"/>
        <family val="2"/>
      </rPr>
      <t xml:space="preserve"> (not 14A) is the </t>
    </r>
    <r>
      <rPr>
        <i/>
        <u val="single"/>
        <sz val="9"/>
        <color indexed="10"/>
        <rFont val="Arial"/>
        <family val="2"/>
      </rPr>
      <t>Fund 10 Levy</t>
    </r>
    <r>
      <rPr>
        <i/>
        <sz val="9"/>
        <color indexed="10"/>
        <rFont val="Arial"/>
        <family val="2"/>
      </rPr>
      <t xml:space="preserve"> certified by the Board.</t>
    </r>
  </si>
  <si>
    <t xml:space="preserve">Oct aid cert = </t>
  </si>
  <si>
    <t>DPI Reconciliation</t>
  </si>
  <si>
    <t>Fund 10, PI-401</t>
  </si>
  <si>
    <t>Fund 38, PI-401</t>
  </si>
  <si>
    <t>Fund 41, PI-401</t>
  </si>
  <si>
    <t>Chargeback, PI-401</t>
  </si>
  <si>
    <t>Fund 39, PI-401</t>
  </si>
  <si>
    <t>Fund 80, PI-401</t>
  </si>
  <si>
    <t>Fund 48/Other, PI-401</t>
  </si>
  <si>
    <t>Total, PI-401</t>
  </si>
  <si>
    <t>Computer Aid</t>
  </si>
  <si>
    <t>&lt;------- don't change</t>
  </si>
  <si>
    <t>Results</t>
  </si>
  <si>
    <r>
      <t xml:space="preserve">07-08 Fnd 10 Levy Cert </t>
    </r>
    <r>
      <rPr>
        <sz val="7"/>
        <rFont val="Arial"/>
        <family val="2"/>
      </rPr>
      <t>(07-08 ln 18, levy 10 Src 211)</t>
    </r>
  </si>
  <si>
    <r>
      <t>07-08 Fnd 38 Levy Cert</t>
    </r>
    <r>
      <rPr>
        <sz val="7"/>
        <rFont val="Arial"/>
        <family val="2"/>
      </rPr>
      <t xml:space="preserve"> (07-08 ln 14B, levy 38 Src 210)</t>
    </r>
  </si>
  <si>
    <r>
      <t xml:space="preserve">07-08 Fnd 41 Levy Cert </t>
    </r>
    <r>
      <rPr>
        <sz val="7"/>
        <rFont val="Arial"/>
        <family val="2"/>
      </rPr>
      <t>(07-08 ln 14C, levy 41 Src 210)</t>
    </r>
  </si>
  <si>
    <r>
      <t>07-08 Aid Penalty for Over Levy</t>
    </r>
    <r>
      <rPr>
        <sz val="7"/>
        <rFont val="Arial"/>
        <family val="2"/>
      </rPr>
      <t xml:space="preserve"> (07-08 "Results" Box)</t>
    </r>
  </si>
  <si>
    <t>07-08 Non-Recurring Ref to Exceed Limit</t>
  </si>
  <si>
    <t>07-08 Declining Enrollment</t>
  </si>
  <si>
    <t>07-08 Other Non-Recurring Exemption</t>
  </si>
  <si>
    <r>
      <t xml:space="preserve">Line 2: </t>
    </r>
    <r>
      <rPr>
        <sz val="10"/>
        <rFont val="Arial"/>
        <family val="2"/>
      </rPr>
      <t xml:space="preserve"> Base Avg:(05</t>
    </r>
    <r>
      <rPr>
        <sz val="9"/>
        <rFont val="Arial"/>
        <family val="2"/>
      </rPr>
      <t>+</t>
    </r>
    <r>
      <rPr>
        <sz val="10"/>
        <rFont val="Arial"/>
        <family val="2"/>
      </rPr>
      <t>.4ss)+(06+.4ss)+(07+.4ss) / 3 =</t>
    </r>
  </si>
  <si>
    <r>
      <t xml:space="preserve">Line 6:  </t>
    </r>
    <r>
      <rPr>
        <sz val="10"/>
        <rFont val="Arial"/>
        <family val="2"/>
      </rPr>
      <t>Curr Avg:(06</t>
    </r>
    <r>
      <rPr>
        <sz val="9"/>
        <rFont val="Arial"/>
        <family val="2"/>
      </rPr>
      <t>+</t>
    </r>
    <r>
      <rPr>
        <sz val="10"/>
        <rFont val="Arial"/>
        <family val="2"/>
      </rPr>
      <t>.4ss)+(07+.4ss)+(08+.4ss) / 3 =</t>
    </r>
  </si>
  <si>
    <t xml:space="preserve"> X  (Line 5, Maximum 2008-2009 Revenue per Memb)  =</t>
  </si>
  <si>
    <t>Enter Estimated 2008 Property Values</t>
  </si>
  <si>
    <r>
      <t>A.</t>
    </r>
    <r>
      <rPr>
        <sz val="9"/>
        <rFont val="Arial"/>
        <family val="2"/>
      </rPr>
      <t xml:space="preserve">  2008 Exempt Computer Property Valuation</t>
    </r>
  </si>
  <si>
    <r>
      <t>B.</t>
    </r>
    <r>
      <rPr>
        <sz val="9"/>
        <rFont val="Arial"/>
        <family val="2"/>
      </rPr>
      <t xml:space="preserve">  2008 TIF-Out Tax Apportionment Equalized Valuation</t>
    </r>
  </si>
  <si>
    <r>
      <t>C.</t>
    </r>
    <r>
      <rPr>
        <sz val="9"/>
        <rFont val="Arial"/>
        <family val="2"/>
      </rPr>
      <t xml:space="preserve">  2008 TIF-Out Value plus Exempt Computers  (A + B)</t>
    </r>
  </si>
  <si>
    <t>Line 1 Amnt May Not Exceed Line 9 of Final 07-08 Revenue Limit Worksheet.</t>
  </si>
  <si>
    <r>
      <t xml:space="preserve">07-08 Computer Aid Received </t>
    </r>
    <r>
      <rPr>
        <sz val="7"/>
        <rFont val="Arial"/>
        <family val="2"/>
      </rPr>
      <t>(Src 691)</t>
    </r>
  </si>
  <si>
    <t>2007-2008 Base Revenue (Funds 10, 38, 41)</t>
  </si>
  <si>
    <t>Base Sept Membership Avg  (05+.4ss, 06+.4ss, 07+.4ss/3)</t>
  </si>
  <si>
    <t>2007-2008 Base Revenue Per Member (Ln 1 / Ln2)</t>
  </si>
  <si>
    <t xml:space="preserve">2008-2009 Per Member Increase   (A + B)     </t>
  </si>
  <si>
    <t>2008-09 Maximum Revenue / Memb (Ln 3 + Ln 4)</t>
  </si>
  <si>
    <t xml:space="preserve">Unused 2007-2008 Recurring Levy Authority </t>
  </si>
  <si>
    <t>Federal Impact Aid Loss  (2006-07 to 2007-08)</t>
  </si>
  <si>
    <t xml:space="preserve">Total 2008-2009 Non-Recurring Exemptions  (A + B + C)  </t>
  </si>
  <si>
    <t>Non-Recurring Referenda, to Exceed 2008-09 Limit</t>
  </si>
  <si>
    <t>Declining Enrollment Exemptn for 08-09 (from left)</t>
  </si>
  <si>
    <t>2008-09 Revenue Limit With All Exemptions    (Ln 9 + Ln 10)</t>
  </si>
  <si>
    <t>Fnd 10 Src 211 (Ln 14A - Ln 17), 2008-09 Budget</t>
  </si>
  <si>
    <t xml:space="preserve">  Worksheet is available at:  http://dpi.wi.gov/sfs/buddev.html  </t>
  </si>
  <si>
    <r>
      <t>Total Fall, 2008 All Fund Tax Levy</t>
    </r>
    <r>
      <rPr>
        <b/>
        <sz val="10"/>
        <rFont val="Arial"/>
        <family val="2"/>
      </rPr>
      <t xml:space="preserve">  </t>
    </r>
    <r>
      <rPr>
        <sz val="9"/>
        <rFont val="Arial"/>
        <family val="2"/>
      </rPr>
      <t>(14B + 14C + 15 + 18)</t>
    </r>
  </si>
  <si>
    <t>07-08 Line 7 Hold Harmless Amount</t>
  </si>
  <si>
    <t>hipov_offset_py</t>
  </si>
  <si>
    <t>line7xtr_py</t>
  </si>
  <si>
    <t>adding in :</t>
  </si>
  <si>
    <t>BASE DATA IS CONSIDERED FINAL ONLY AFTER MAY, 2008 !!</t>
  </si>
  <si>
    <t>07-08 Levy for 07-08 Non-Recurring Exemptions.  Enter amnt used below.</t>
  </si>
  <si>
    <r>
      <t>September &amp; Summer FTE Membership Averages</t>
    </r>
    <r>
      <rPr>
        <u val="single"/>
        <sz val="11"/>
        <rFont val="Arial"/>
        <family val="2"/>
      </rPr>
      <t xml:space="preserve"> </t>
    </r>
  </si>
  <si>
    <r>
      <t xml:space="preserve">    </t>
    </r>
    <r>
      <rPr>
        <b/>
        <u val="single"/>
        <sz val="10"/>
        <rFont val="Arial"/>
        <family val="2"/>
      </rPr>
      <t>Line 1:  2007-2008 Base Revenue</t>
    </r>
    <r>
      <rPr>
        <b/>
        <sz val="10"/>
        <rFont val="Arial"/>
        <family val="2"/>
      </rPr>
      <t xml:space="preserve">  </t>
    </r>
  </si>
  <si>
    <t xml:space="preserve">08-09 Revenue Limit Worksheet </t>
  </si>
  <si>
    <t>hipov_cy</t>
  </si>
  <si>
    <t>SUMM08</t>
  </si>
  <si>
    <t>SUMM0840</t>
  </si>
  <si>
    <t>fte3rd08</t>
  </si>
  <si>
    <t>fte3f08s</t>
  </si>
  <si>
    <t>AVGMEMPY</t>
  </si>
  <si>
    <t>AVGMEMCY</t>
  </si>
  <si>
    <t>outside of revenue limit gen aid</t>
  </si>
  <si>
    <t>in its own revenue limit spreadsheet</t>
  </si>
  <si>
    <r>
      <t>07-08 General Aid Certification</t>
    </r>
    <r>
      <rPr>
        <sz val="7"/>
        <rFont val="Arial"/>
        <family val="2"/>
      </rPr>
      <t xml:space="preserve"> (07-08 line 12A)</t>
    </r>
  </si>
  <si>
    <r>
      <t>07-08 Hi Pov Aid</t>
    </r>
    <r>
      <rPr>
        <sz val="7"/>
        <rFont val="Arial"/>
        <family val="2"/>
      </rPr>
      <t xml:space="preserve"> (07-08 line 12B)</t>
    </r>
  </si>
  <si>
    <t>2008-09 Max Rev/Memb x Cur Memb Avg (Ln 5 x Ln 6)</t>
  </si>
  <si>
    <t>08-09 Revenue Limit from Per Pupil Incr + Memb</t>
  </si>
  <si>
    <t>Allowed Per Pupil Increase</t>
  </si>
  <si>
    <t>Low Rev Dist in CCDEB (Enter DPI Adjustment)</t>
  </si>
  <si>
    <r>
      <t>Hold Harm Non-Recurr Exemptn</t>
    </r>
    <r>
      <rPr>
        <sz val="7"/>
        <rFont val="Arial"/>
        <family val="2"/>
      </rPr>
      <t xml:space="preserve"> (Ensures Line 7 Not &lt; Line 1)</t>
    </r>
  </si>
  <si>
    <r>
      <t xml:space="preserve">Low Revenue Incr ((9000-(3+4A))-4C)  </t>
    </r>
    <r>
      <rPr>
        <b/>
        <sz val="9"/>
        <rFont val="Arial"/>
        <family val="2"/>
      </rPr>
      <t>Not &lt; 0</t>
    </r>
  </si>
  <si>
    <t>Current Membership Avg  (06+.4ss, 07+.4ss, 08+.4ss/3)</t>
  </si>
  <si>
    <t>Total Recurring Exemptions   (A+B+C+D+E)</t>
  </si>
  <si>
    <t>Prior Year Carryover  (100% of Amnt Entered Above)</t>
  </si>
  <si>
    <t>Transfer of Service    (if negative, include sign)</t>
  </si>
  <si>
    <t>Transfer of Territory   (if negative, include sign)</t>
  </si>
  <si>
    <t>Recurring Referenda to Exceed  (If 08-09 is first year)</t>
  </si>
  <si>
    <t>2008-2009 Limit with Recurring Exemptions (Ln 7+Ln 8)</t>
  </si>
  <si>
    <t>REMEMBER TO USE OCT 15 CERT WHEN SETTING THE LEVY.</t>
  </si>
  <si>
    <r>
      <t xml:space="preserve">OCTOBER 15 CERT </t>
    </r>
    <r>
      <rPr>
        <b/>
        <sz val="9"/>
        <color indexed="10"/>
        <rFont val="Arial"/>
        <family val="2"/>
      </rPr>
      <t>OF 2008-09 GENERAL AID</t>
    </r>
  </si>
  <si>
    <t>these should match</t>
  </si>
  <si>
    <t>For this spreadsheet:</t>
  </si>
  <si>
    <t>Trevor consolid not in above total +</t>
  </si>
  <si>
    <t>Shawano not in above total +</t>
  </si>
  <si>
    <t>Gresham not in above total +</t>
  </si>
  <si>
    <t>aid cert 2007</t>
  </si>
  <si>
    <t>In order for the reconciliation to work properly, the PI-401 must have
been filed with the Department. Numbers appearing in the green boxes
below are actual, district-submitted 2008-09 PI-401 data. 
To test if you might be overlevying, type levies in the GREEN boxes below. Then, oserve the comments in the Results area below.</t>
  </si>
  <si>
    <t>Gresham</t>
  </si>
  <si>
    <t>Shawano</t>
  </si>
  <si>
    <t>LINE 12 AID AMOUNT EXCLUDES $1,044,016 REORG BENEFIT.</t>
  </si>
  <si>
    <t>DPI DATA AS OF 5/20/09 1:00 PM</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</si>
</sst>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0.0"/>
    <numFmt numFmtId="166" formatCode="_(* #"/>
    <numFmt numFmtId="167" formatCode="#,##0.000"/>
    <numFmt numFmtId="168" formatCode="#,##0.0000"/>
    <numFmt numFmtId="169" formatCode="#,##0.00000"/>
    <numFmt numFmtId="170" formatCode="#,##0.000000"/>
    <numFmt numFmtId="171" formatCode="#,##0.0000000"/>
    <numFmt numFmtId="172" formatCode="#,##0.00000000"/>
    <numFmt numFmtId="173" formatCode="#,##0.000000000"/>
    <numFmt numFmtId="174" formatCode="&quot;$&quot;#,##0"/>
    <numFmt numFmtId="175" formatCode="0.000%"/>
    <numFmt numFmtId="176" formatCode="0.0000%"/>
    <numFmt numFmtId="177" formatCode="0.00000%"/>
    <numFmt numFmtId="178" formatCode="0.000000%"/>
    <numFmt numFmtId="179" formatCode="0.0000000%"/>
    <numFmt numFmtId="180" formatCode="0.00000000%"/>
    <numFmt numFmtId="181" formatCode="0.000000000%"/>
    <numFmt numFmtId="182" formatCode="&quot;$&quot;#,##0.0_);[Red]\(&quot;$&quot;#,##0.0\)"/>
    <numFmt numFmtId="183" formatCode="0.0000;[Red]0.0000"/>
    <numFmt numFmtId="184" formatCode="&quot;$&quot;#,##0.0000_);\(&quot;$&quot;#,##0.0000\)"/>
    <numFmt numFmtId="185" formatCode="&quot;$&quot;#,##0.0_);\(&quot;$&quot;#,##0.0\)"/>
    <numFmt numFmtId="186" formatCode="mmmm\ d\,\ yyyy"/>
    <numFmt numFmtId="187" formatCode="[$-409]dddd\,\ mmmm\ dd\,\ yyyy"/>
  </numFmts>
  <fonts count="86">
    <font>
      <sz val="10"/>
      <name val="Arial"/>
      <family val="0"/>
    </font>
    <font>
      <b/>
      <sz val="10"/>
      <name val="Arial"/>
      <family val="0"/>
    </font>
    <font>
      <i/>
      <sz val="10"/>
      <name val="Arial"/>
      <family val="0"/>
    </font>
    <font>
      <b/>
      <i/>
      <sz val="10"/>
      <name val="Arial"/>
      <family val="0"/>
    </font>
    <font>
      <sz val="9"/>
      <name val="Arial"/>
      <family val="2"/>
    </font>
    <font>
      <sz val="8"/>
      <name val="Arial"/>
      <family val="2"/>
    </font>
    <font>
      <sz val="10"/>
      <name val="Times New Roman"/>
      <family val="1"/>
    </font>
    <font>
      <sz val="11"/>
      <name val="Times New Roman"/>
      <family val="1"/>
    </font>
    <font>
      <b/>
      <sz val="11"/>
      <name val="Arial"/>
      <family val="2"/>
    </font>
    <font>
      <sz val="11"/>
      <name val="Arial"/>
      <family val="2"/>
    </font>
    <font>
      <b/>
      <sz val="9"/>
      <name val="Arial"/>
      <family val="2"/>
    </font>
    <font>
      <i/>
      <u val="single"/>
      <sz val="10"/>
      <name val="Arial"/>
      <family val="2"/>
    </font>
    <font>
      <b/>
      <sz val="8"/>
      <name val="Arial"/>
      <family val="2"/>
    </font>
    <font>
      <i/>
      <sz val="9"/>
      <name val="Arial"/>
      <family val="2"/>
    </font>
    <font>
      <sz val="7"/>
      <name val="Arial"/>
      <family val="2"/>
    </font>
    <font>
      <sz val="14"/>
      <name val="Arial"/>
      <family val="2"/>
    </font>
    <font>
      <sz val="10"/>
      <color indexed="10"/>
      <name val="Arial"/>
      <family val="2"/>
    </font>
    <font>
      <i/>
      <sz val="8"/>
      <name val="Arial"/>
      <family val="2"/>
    </font>
    <font>
      <i/>
      <sz val="10"/>
      <name val="Times New Roman"/>
      <family val="1"/>
    </font>
    <font>
      <b/>
      <u val="single"/>
      <sz val="9"/>
      <name val="Arial"/>
      <family val="2"/>
    </font>
    <font>
      <b/>
      <sz val="11"/>
      <name val="Times New Roman"/>
      <family val="1"/>
    </font>
    <font>
      <sz val="8"/>
      <name val="Times New Roman"/>
      <family val="1"/>
    </font>
    <font>
      <b/>
      <i/>
      <sz val="10"/>
      <name val="Times New Roman"/>
      <family val="1"/>
    </font>
    <font>
      <sz val="8"/>
      <color indexed="10"/>
      <name val="Arial"/>
      <family val="2"/>
    </font>
    <font>
      <b/>
      <sz val="8"/>
      <name val="Times New Roman"/>
      <family val="1"/>
    </font>
    <font>
      <sz val="10"/>
      <color indexed="10"/>
      <name val="Times New Roman"/>
      <family val="1"/>
    </font>
    <font>
      <sz val="9"/>
      <name val="Times New Roman"/>
      <family val="1"/>
    </font>
    <font>
      <sz val="8"/>
      <name val="Tahoma"/>
      <family val="0"/>
    </font>
    <font>
      <b/>
      <sz val="8"/>
      <name val="Tahoma"/>
      <family val="2"/>
    </font>
    <font>
      <b/>
      <u val="single"/>
      <sz val="8"/>
      <name val="Tahoma"/>
      <family val="2"/>
    </font>
    <font>
      <sz val="10"/>
      <color indexed="9"/>
      <name val="Arial"/>
      <family val="2"/>
    </font>
    <font>
      <b/>
      <sz val="10"/>
      <name val="Times New Roman"/>
      <family val="1"/>
    </font>
    <font>
      <sz val="7"/>
      <color indexed="10"/>
      <name val="Arial"/>
      <family val="2"/>
    </font>
    <font>
      <u val="single"/>
      <sz val="10"/>
      <color indexed="12"/>
      <name val="Arial"/>
      <family val="0"/>
    </font>
    <font>
      <u val="single"/>
      <sz val="10"/>
      <color indexed="36"/>
      <name val="Arial"/>
      <family val="0"/>
    </font>
    <font>
      <sz val="9"/>
      <color indexed="10"/>
      <name val="Times New Roman"/>
      <family val="1"/>
    </font>
    <font>
      <b/>
      <u val="single"/>
      <sz val="8"/>
      <name val="Arial"/>
      <family val="2"/>
    </font>
    <font>
      <b/>
      <sz val="11"/>
      <color indexed="8"/>
      <name val="Arial"/>
      <family val="2"/>
    </font>
    <font>
      <b/>
      <sz val="7"/>
      <name val="Arial"/>
      <family val="2"/>
    </font>
    <font>
      <b/>
      <sz val="9"/>
      <color indexed="9"/>
      <name val="Arial"/>
      <family val="2"/>
    </font>
    <font>
      <b/>
      <sz val="10"/>
      <color indexed="10"/>
      <name val="Arial"/>
      <family val="2"/>
    </font>
    <font>
      <i/>
      <sz val="9"/>
      <color indexed="10"/>
      <name val="Arial"/>
      <family val="2"/>
    </font>
    <font>
      <i/>
      <u val="single"/>
      <sz val="9"/>
      <color indexed="10"/>
      <name val="Arial"/>
      <family val="2"/>
    </font>
    <font>
      <b/>
      <sz val="10"/>
      <color indexed="9"/>
      <name val="Times New Roman"/>
      <family val="1"/>
    </font>
    <font>
      <b/>
      <i/>
      <u val="single"/>
      <sz val="9"/>
      <color indexed="10"/>
      <name val="Arial"/>
      <family val="2"/>
    </font>
    <font>
      <b/>
      <u val="single"/>
      <sz val="11"/>
      <name val="Arial"/>
      <family val="2"/>
    </font>
    <font>
      <u val="single"/>
      <sz val="11"/>
      <name val="Arial"/>
      <family val="2"/>
    </font>
    <font>
      <b/>
      <u val="single"/>
      <sz val="10"/>
      <name val="Arial"/>
      <family val="2"/>
    </font>
    <font>
      <b/>
      <sz val="9"/>
      <color indexed="10"/>
      <name val="Arial"/>
      <family val="2"/>
    </font>
    <font>
      <b/>
      <u val="single"/>
      <sz val="9"/>
      <color indexed="10"/>
      <name val="Arial"/>
      <family val="2"/>
    </font>
    <font>
      <b/>
      <sz val="7.5"/>
      <color indexed="10"/>
      <name val="Arial"/>
      <family val="2"/>
    </font>
    <font>
      <b/>
      <i/>
      <u val="single"/>
      <sz val="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8"/>
      <name val="MS Shell Dlg"/>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42"/>
        <bgColor indexed="64"/>
      </patternFill>
    </fill>
    <fill>
      <patternFill patternType="solid">
        <fgColor indexed="13"/>
        <bgColor indexed="64"/>
      </patternFill>
    </fill>
    <fill>
      <patternFill patternType="solid">
        <fgColor indexed="1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right style="thin"/>
      <top style="thin"/>
      <bottom style="thin"/>
    </border>
    <border>
      <left style="medium"/>
      <right>
        <color indexed="63"/>
      </right>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color indexed="63"/>
      </top>
      <bottom style="thin"/>
    </border>
    <border>
      <left style="thin"/>
      <right style="thin"/>
      <top>
        <color indexed="63"/>
      </top>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medium"/>
      <right style="medium"/>
      <top style="medium"/>
      <bottom style="medium"/>
    </border>
    <border>
      <left>
        <color indexed="63"/>
      </left>
      <right style="thin"/>
      <top>
        <color indexed="63"/>
      </top>
      <bottom style="thin"/>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medium"/>
    </border>
    <border>
      <left>
        <color indexed="63"/>
      </left>
      <right>
        <color indexed="63"/>
      </right>
      <top>
        <color indexed="63"/>
      </top>
      <bottom style="medium"/>
    </border>
    <border>
      <left>
        <color indexed="63"/>
      </left>
      <right style="thick"/>
      <top>
        <color indexed="63"/>
      </top>
      <bottom style="medium"/>
    </border>
    <border>
      <left>
        <color indexed="63"/>
      </left>
      <right>
        <color indexed="63"/>
      </right>
      <top>
        <color indexed="63"/>
      </top>
      <bottom style="thick"/>
    </border>
    <border>
      <left>
        <color indexed="63"/>
      </left>
      <right style="thick"/>
      <top>
        <color indexed="63"/>
      </top>
      <bottom style="thick"/>
    </border>
    <border>
      <left style="thick"/>
      <right>
        <color indexed="63"/>
      </right>
      <top>
        <color indexed="63"/>
      </top>
      <bottom style="thick"/>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color indexed="63"/>
      </right>
      <top style="medium"/>
      <bottom style="thick"/>
    </border>
    <border>
      <left>
        <color indexed="63"/>
      </left>
      <right>
        <color indexed="63"/>
      </right>
      <top style="medium"/>
      <bottom style="thick"/>
    </border>
    <border>
      <left>
        <color indexed="63"/>
      </left>
      <right style="thick"/>
      <top style="medium"/>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26" borderId="0" applyNumberFormat="0" applyBorder="0" applyAlignment="0" applyProtection="0"/>
    <xf numFmtId="0" fontId="72" fillId="27" borderId="1" applyNumberFormat="0" applyAlignment="0" applyProtection="0"/>
    <xf numFmtId="0" fontId="7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0" borderId="0" applyNumberFormat="0" applyFill="0" applyBorder="0" applyAlignment="0" applyProtection="0"/>
    <xf numFmtId="0" fontId="34" fillId="0" borderId="0" applyNumberFormat="0" applyFill="0" applyBorder="0" applyAlignment="0" applyProtection="0"/>
    <xf numFmtId="0" fontId="75" fillId="29" borderId="0" applyNumberFormat="0" applyBorder="0" applyAlignment="0" applyProtection="0"/>
    <xf numFmtId="0" fontId="76" fillId="0" borderId="3" applyNumberFormat="0" applyFill="0" applyAlignment="0" applyProtection="0"/>
    <xf numFmtId="0" fontId="77" fillId="0" borderId="4" applyNumberFormat="0" applyFill="0" applyAlignment="0" applyProtection="0"/>
    <xf numFmtId="0" fontId="78" fillId="0" borderId="5" applyNumberFormat="0" applyFill="0" applyAlignment="0" applyProtection="0"/>
    <xf numFmtId="0" fontId="78" fillId="0" borderId="0" applyNumberFormat="0" applyFill="0" applyBorder="0" applyAlignment="0" applyProtection="0"/>
    <xf numFmtId="0" fontId="33" fillId="0" borderId="0" applyNumberFormat="0" applyFill="0" applyBorder="0" applyAlignment="0" applyProtection="0"/>
    <xf numFmtId="0" fontId="79" fillId="30" borderId="1" applyNumberFormat="0" applyAlignment="0" applyProtection="0"/>
    <xf numFmtId="0" fontId="80" fillId="0" borderId="6" applyNumberFormat="0" applyFill="0" applyAlignment="0" applyProtection="0"/>
    <xf numFmtId="0" fontId="81" fillId="31" borderId="0" applyNumberFormat="0" applyBorder="0" applyAlignment="0" applyProtection="0"/>
    <xf numFmtId="0" fontId="0" fillId="32" borderId="7" applyNumberFormat="0" applyFont="0" applyAlignment="0" applyProtection="0"/>
    <xf numFmtId="0" fontId="82" fillId="27" borderId="8" applyNumberFormat="0" applyAlignment="0" applyProtection="0"/>
    <xf numFmtId="9" fontId="0" fillId="0" borderId="0" applyFont="0" applyFill="0" applyBorder="0" applyAlignment="0" applyProtection="0"/>
    <xf numFmtId="0" fontId="83" fillId="0" borderId="0" applyNumberFormat="0" applyFill="0" applyBorder="0" applyAlignment="0" applyProtection="0"/>
    <xf numFmtId="0" fontId="84" fillId="0" borderId="9" applyNumberFormat="0" applyFill="0" applyAlignment="0" applyProtection="0"/>
    <xf numFmtId="0" fontId="85" fillId="0" borderId="0" applyNumberFormat="0" applyFill="0" applyBorder="0" applyAlignment="0" applyProtection="0"/>
  </cellStyleXfs>
  <cellXfs count="226">
    <xf numFmtId="0" fontId="0" fillId="0" borderId="0" xfId="0" applyAlignment="1">
      <alignment/>
    </xf>
    <xf numFmtId="0" fontId="0" fillId="0" borderId="1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left" vertical="center"/>
      <protection/>
    </xf>
    <xf numFmtId="3" fontId="1" fillId="0" borderId="11" xfId="0" applyNumberFormat="1"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9" fillId="0" borderId="0" xfId="0" applyFont="1" applyFill="1" applyBorder="1" applyAlignment="1" applyProtection="1" quotePrefix="1">
      <alignment horizontal="center" vertical="center"/>
      <protection/>
    </xf>
    <xf numFmtId="0" fontId="0" fillId="0" borderId="0" xfId="0" applyFont="1" applyBorder="1" applyAlignment="1" applyProtection="1">
      <alignment vertical="center"/>
      <protection/>
    </xf>
    <xf numFmtId="0" fontId="5" fillId="0" borderId="0" xfId="0" applyFont="1" applyFill="1" applyBorder="1" applyAlignment="1" applyProtection="1">
      <alignment vertical="center"/>
      <protection/>
    </xf>
    <xf numFmtId="3" fontId="5" fillId="0" borderId="0" xfId="0" applyNumberFormat="1" applyFont="1" applyFill="1" applyBorder="1" applyAlignment="1" applyProtection="1">
      <alignment horizontal="center" vertical="center"/>
      <protection/>
    </xf>
    <xf numFmtId="0" fontId="6" fillId="0" borderId="0" xfId="0" applyFont="1" applyAlignment="1" applyProtection="1">
      <alignment vertical="center"/>
      <protection/>
    </xf>
    <xf numFmtId="0" fontId="10" fillId="0" borderId="13" xfId="0" applyFont="1" applyFill="1" applyBorder="1" applyAlignment="1" applyProtection="1">
      <alignment vertical="center"/>
      <protection/>
    </xf>
    <xf numFmtId="0" fontId="0" fillId="0" borderId="13" xfId="0" applyFont="1" applyFill="1" applyBorder="1" applyAlignment="1" applyProtection="1">
      <alignment vertical="center"/>
      <protection/>
    </xf>
    <xf numFmtId="3" fontId="5" fillId="0" borderId="0" xfId="0" applyNumberFormat="1"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14" fillId="0" borderId="0" xfId="0" applyFont="1" applyBorder="1" applyAlignment="1" applyProtection="1">
      <alignment vertical="center"/>
      <protection/>
    </xf>
    <xf numFmtId="3" fontId="0" fillId="0" borderId="0" xfId="0" applyNumberFormat="1" applyFont="1" applyFill="1" applyBorder="1" applyAlignment="1" applyProtection="1">
      <alignment vertical="center"/>
      <protection/>
    </xf>
    <xf numFmtId="0" fontId="15" fillId="0" borderId="0" xfId="0" applyFont="1" applyFill="1" applyBorder="1" applyAlignment="1" applyProtection="1" quotePrefix="1">
      <alignment horizontal="center" vertical="center"/>
      <protection/>
    </xf>
    <xf numFmtId="0" fontId="6" fillId="0" borderId="0" xfId="0" applyFont="1" applyFill="1" applyBorder="1" applyAlignment="1" applyProtection="1">
      <alignment vertical="center"/>
      <protection/>
    </xf>
    <xf numFmtId="0" fontId="6" fillId="0" borderId="12" xfId="0" applyFont="1" applyFill="1" applyBorder="1" applyAlignment="1" applyProtection="1">
      <alignment vertical="center"/>
      <protection/>
    </xf>
    <xf numFmtId="0" fontId="1" fillId="0" borderId="0" xfId="0" applyFont="1" applyFill="1" applyBorder="1" applyAlignment="1" applyProtection="1">
      <alignment vertical="center"/>
      <protection/>
    </xf>
    <xf numFmtId="3" fontId="0" fillId="0" borderId="11" xfId="0" applyNumberFormat="1" applyFont="1" applyFill="1" applyBorder="1" applyAlignment="1" applyProtection="1">
      <alignment vertical="center"/>
      <protection/>
    </xf>
    <xf numFmtId="0" fontId="15" fillId="0" borderId="10" xfId="0" applyFont="1" applyFill="1" applyBorder="1" applyAlignment="1" applyProtection="1" quotePrefix="1">
      <alignment horizontal="center" vertical="center"/>
      <protection/>
    </xf>
    <xf numFmtId="0" fontId="6"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6" fillId="0" borderId="12" xfId="0" applyFont="1" applyBorder="1" applyAlignment="1" applyProtection="1">
      <alignment vertical="center"/>
      <protection/>
    </xf>
    <xf numFmtId="0" fontId="1" fillId="0" borderId="13" xfId="0" applyFont="1" applyBorder="1" applyAlignment="1" applyProtection="1">
      <alignment vertical="center"/>
      <protection/>
    </xf>
    <xf numFmtId="0" fontId="4" fillId="0" borderId="0" xfId="0" applyFont="1" applyBorder="1" applyAlignment="1" applyProtection="1">
      <alignment vertical="center"/>
      <protection/>
    </xf>
    <xf numFmtId="0" fontId="4" fillId="0" borderId="12" xfId="0" applyFont="1" applyBorder="1" applyAlignment="1" applyProtection="1">
      <alignment vertical="center"/>
      <protection/>
    </xf>
    <xf numFmtId="3" fontId="1" fillId="0" borderId="11" xfId="0" applyNumberFormat="1" applyFont="1" applyFill="1" applyBorder="1" applyAlignment="1" applyProtection="1" quotePrefix="1">
      <alignment vertical="center"/>
      <protection/>
    </xf>
    <xf numFmtId="0" fontId="0" fillId="0" borderId="0" xfId="0" applyFont="1" applyBorder="1" applyAlignment="1" applyProtection="1">
      <alignment horizontal="left" vertical="center"/>
      <protection/>
    </xf>
    <xf numFmtId="0" fontId="17" fillId="0" borderId="0" xfId="0" applyFont="1" applyFill="1" applyBorder="1" applyAlignment="1" applyProtection="1">
      <alignment vertical="center"/>
      <protection/>
    </xf>
    <xf numFmtId="0" fontId="6" fillId="0" borderId="0" xfId="0" applyFont="1" applyFill="1" applyAlignment="1" applyProtection="1">
      <alignment vertical="center"/>
      <protection/>
    </xf>
    <xf numFmtId="0" fontId="4" fillId="0" borderId="13" xfId="0" applyFont="1" applyFill="1" applyBorder="1" applyAlignment="1" applyProtection="1">
      <alignment vertical="center"/>
      <protection/>
    </xf>
    <xf numFmtId="0" fontId="14" fillId="0" borderId="0" xfId="0" applyFont="1" applyFill="1" applyBorder="1" applyAlignment="1" applyProtection="1">
      <alignment vertical="center"/>
      <protection/>
    </xf>
    <xf numFmtId="3" fontId="0" fillId="0" borderId="10" xfId="0" applyNumberFormat="1" applyFont="1" applyFill="1" applyBorder="1" applyAlignment="1" applyProtection="1">
      <alignment vertical="center"/>
      <protection/>
    </xf>
    <xf numFmtId="3" fontId="0" fillId="0" borderId="14" xfId="0" applyNumberFormat="1" applyFont="1" applyFill="1" applyBorder="1" applyAlignment="1" applyProtection="1">
      <alignment vertical="center"/>
      <protection/>
    </xf>
    <xf numFmtId="0" fontId="0" fillId="0" borderId="0" xfId="0" applyFont="1" applyFill="1" applyBorder="1" applyAlignment="1" applyProtection="1" quotePrefix="1">
      <alignment horizontal="left" vertical="center"/>
      <protection/>
    </xf>
    <xf numFmtId="0" fontId="0" fillId="0" borderId="13" xfId="0" applyFont="1" applyFill="1" applyBorder="1" applyAlignment="1" applyProtection="1">
      <alignment horizontal="left" vertical="center"/>
      <protection/>
    </xf>
    <xf numFmtId="3" fontId="0" fillId="0" borderId="13" xfId="0" applyNumberFormat="1" applyFont="1" applyFill="1" applyBorder="1" applyAlignment="1" applyProtection="1">
      <alignment vertical="center"/>
      <protection/>
    </xf>
    <xf numFmtId="3" fontId="0" fillId="0" borderId="11" xfId="0" applyNumberFormat="1" applyFont="1" applyFill="1" applyBorder="1" applyAlignment="1" applyProtection="1" quotePrefix="1">
      <alignment horizontal="right" vertical="center"/>
      <protection/>
    </xf>
    <xf numFmtId="3" fontId="16" fillId="0" borderId="13" xfId="0" applyNumberFormat="1" applyFont="1" applyFill="1" applyBorder="1" applyAlignment="1" applyProtection="1">
      <alignment horizontal="left" vertical="center"/>
      <protection/>
    </xf>
    <xf numFmtId="0" fontId="6" fillId="0" borderId="13" xfId="0" applyFont="1" applyFill="1" applyBorder="1" applyAlignment="1" applyProtection="1">
      <alignment vertical="center"/>
      <protection/>
    </xf>
    <xf numFmtId="3" fontId="0" fillId="0" borderId="0" xfId="0" applyNumberFormat="1" applyFont="1" applyFill="1" applyBorder="1" applyAlignment="1" applyProtection="1">
      <alignment horizontal="center" vertical="center"/>
      <protection/>
    </xf>
    <xf numFmtId="0" fontId="1" fillId="0" borderId="13" xfId="0" applyFont="1" applyFill="1" applyBorder="1" applyAlignment="1" applyProtection="1">
      <alignment vertical="center"/>
      <protection/>
    </xf>
    <xf numFmtId="0" fontId="0" fillId="0" borderId="0" xfId="0" applyFont="1" applyFill="1" applyBorder="1" applyAlignment="1" applyProtection="1">
      <alignment horizontal="left" vertical="center"/>
      <protection/>
    </xf>
    <xf numFmtId="3" fontId="17" fillId="0" borderId="0" xfId="0" applyNumberFormat="1" applyFont="1" applyFill="1" applyBorder="1" applyAlignment="1" applyProtection="1">
      <alignment horizontal="left" vertical="center"/>
      <protection/>
    </xf>
    <xf numFmtId="3" fontId="0" fillId="0" borderId="14" xfId="0" applyNumberFormat="1" applyFont="1" applyFill="1" applyBorder="1" applyAlignment="1" applyProtection="1">
      <alignment horizontal="right" vertical="center"/>
      <protection/>
    </xf>
    <xf numFmtId="0" fontId="13" fillId="0" borderId="0" xfId="0" applyFont="1" applyFill="1" applyBorder="1" applyAlignment="1" applyProtection="1">
      <alignment vertical="center"/>
      <protection/>
    </xf>
    <xf numFmtId="0" fontId="1" fillId="0" borderId="0" xfId="0" applyFont="1" applyFill="1" applyBorder="1" applyAlignment="1" applyProtection="1" quotePrefix="1">
      <alignment horizontal="left" vertical="center"/>
      <protection/>
    </xf>
    <xf numFmtId="3" fontId="1" fillId="0" borderId="11" xfId="42" applyNumberFormat="1" applyFont="1" applyFill="1" applyBorder="1" applyAlignment="1" applyProtection="1">
      <alignment vertical="center"/>
      <protection/>
    </xf>
    <xf numFmtId="0" fontId="1" fillId="0" borderId="0" xfId="0" applyFont="1" applyFill="1" applyBorder="1" applyAlignment="1" applyProtection="1" quotePrefix="1">
      <alignment vertical="center"/>
      <protection/>
    </xf>
    <xf numFmtId="0" fontId="11" fillId="0" borderId="0" xfId="0" applyFont="1" applyFill="1" applyBorder="1" applyAlignment="1" applyProtection="1">
      <alignment vertical="center"/>
      <protection/>
    </xf>
    <xf numFmtId="0" fontId="8" fillId="0" borderId="0" xfId="0" applyFont="1" applyFill="1" applyBorder="1" applyAlignment="1" applyProtection="1">
      <alignment vertical="center"/>
      <protection/>
    </xf>
    <xf numFmtId="0" fontId="6" fillId="0" borderId="13" xfId="0" applyFont="1" applyBorder="1" applyAlignment="1" applyProtection="1">
      <alignment vertical="center"/>
      <protection/>
    </xf>
    <xf numFmtId="0" fontId="6" fillId="0" borderId="0" xfId="0" applyFont="1" applyBorder="1" applyAlignment="1" applyProtection="1">
      <alignment horizontal="left" vertical="center"/>
      <protection/>
    </xf>
    <xf numFmtId="0" fontId="18" fillId="0" borderId="0" xfId="0" applyFont="1" applyBorder="1" applyAlignment="1" applyProtection="1">
      <alignment horizontal="center" vertical="center"/>
      <protection/>
    </xf>
    <xf numFmtId="0" fontId="0" fillId="0" borderId="0" xfId="0" applyFont="1" applyBorder="1" applyAlignment="1" applyProtection="1" quotePrefix="1">
      <alignment vertical="center"/>
      <protection/>
    </xf>
    <xf numFmtId="0" fontId="10" fillId="0" borderId="12" xfId="0" applyFont="1" applyFill="1" applyBorder="1" applyAlignment="1" applyProtection="1">
      <alignment vertical="center"/>
      <protection/>
    </xf>
    <xf numFmtId="0" fontId="1" fillId="0" borderId="0" xfId="0" applyFont="1" applyFill="1" applyBorder="1" applyAlignment="1" applyProtection="1">
      <alignment horizontal="left" vertical="center"/>
      <protection/>
    </xf>
    <xf numFmtId="0" fontId="20" fillId="0" borderId="0" xfId="0" applyFont="1" applyFill="1" applyBorder="1" applyAlignment="1" applyProtection="1">
      <alignment horizontal="center" vertical="center"/>
      <protection/>
    </xf>
    <xf numFmtId="4" fontId="7" fillId="0" borderId="0" xfId="0" applyNumberFormat="1" applyFont="1" applyFill="1" applyBorder="1" applyAlignment="1" applyProtection="1">
      <alignment vertical="center"/>
      <protection/>
    </xf>
    <xf numFmtId="4" fontId="0" fillId="0" borderId="11" xfId="0" applyNumberFormat="1" applyFont="1" applyFill="1" applyBorder="1" applyAlignment="1" applyProtection="1">
      <alignment vertical="center"/>
      <protection/>
    </xf>
    <xf numFmtId="0" fontId="5" fillId="0" borderId="0" xfId="0" applyFont="1" applyBorder="1" applyAlignment="1" applyProtection="1">
      <alignment horizontal="center" vertical="center"/>
      <protection/>
    </xf>
    <xf numFmtId="0" fontId="10" fillId="0" borderId="0" xfId="0" applyFont="1" applyBorder="1" applyAlignment="1" applyProtection="1">
      <alignment vertical="center"/>
      <protection/>
    </xf>
    <xf numFmtId="0" fontId="21" fillId="0" borderId="0" xfId="0" applyFont="1" applyFill="1" applyBorder="1" applyAlignment="1" applyProtection="1">
      <alignment horizontal="center" vertical="center"/>
      <protection/>
    </xf>
    <xf numFmtId="0" fontId="24" fillId="0" borderId="0" xfId="0" applyFont="1" applyFill="1" applyBorder="1" applyAlignment="1" applyProtection="1">
      <alignment horizontal="center" vertical="center"/>
      <protection/>
    </xf>
    <xf numFmtId="0" fontId="21" fillId="0" borderId="0" xfId="0" applyFont="1" applyFill="1" applyBorder="1" applyAlignment="1" applyProtection="1" quotePrefix="1">
      <alignment horizontal="right" vertical="center"/>
      <protection/>
    </xf>
    <xf numFmtId="0" fontId="22" fillId="0" borderId="13" xfId="0" applyFont="1" applyBorder="1" applyAlignment="1" applyProtection="1">
      <alignment vertical="center"/>
      <protection/>
    </xf>
    <xf numFmtId="0" fontId="4" fillId="0" borderId="13" xfId="0" applyFont="1" applyBorder="1" applyAlignment="1" applyProtection="1">
      <alignment vertical="center"/>
      <protection/>
    </xf>
    <xf numFmtId="172" fontId="4" fillId="0" borderId="10" xfId="0" applyNumberFormat="1" applyFont="1" applyFill="1" applyBorder="1" applyAlignment="1" applyProtection="1">
      <alignment horizontal="center" vertical="center"/>
      <protection/>
    </xf>
    <xf numFmtId="0" fontId="4" fillId="0" borderId="0" xfId="0" applyFont="1" applyBorder="1" applyAlignment="1" applyProtection="1" quotePrefix="1">
      <alignment vertical="center"/>
      <protection/>
    </xf>
    <xf numFmtId="3" fontId="4" fillId="0" borderId="11" xfId="0" applyNumberFormat="1" applyFont="1" applyFill="1" applyBorder="1" applyAlignment="1" applyProtection="1">
      <alignment vertical="center"/>
      <protection/>
    </xf>
    <xf numFmtId="3" fontId="6" fillId="0" borderId="0" xfId="0" applyNumberFormat="1" applyFont="1" applyFill="1" applyAlignment="1" applyProtection="1">
      <alignment vertical="center"/>
      <protection/>
    </xf>
    <xf numFmtId="3" fontId="6" fillId="0" borderId="0" xfId="0" applyNumberFormat="1" applyFont="1" applyAlignment="1" applyProtection="1">
      <alignment vertical="center"/>
      <protection/>
    </xf>
    <xf numFmtId="3" fontId="14" fillId="0" borderId="10" xfId="0" applyNumberFormat="1" applyFont="1" applyBorder="1" applyAlignment="1" applyProtection="1">
      <alignment horizontal="center" vertical="center"/>
      <protection/>
    </xf>
    <xf numFmtId="3" fontId="23" fillId="0" borderId="10" xfId="0" applyNumberFormat="1" applyFont="1" applyBorder="1" applyAlignment="1" applyProtection="1">
      <alignment horizontal="center" vertical="center"/>
      <protection/>
    </xf>
    <xf numFmtId="0" fontId="1" fillId="0" borderId="15" xfId="0" applyFont="1" applyFill="1" applyBorder="1" applyAlignment="1" applyProtection="1">
      <alignment vertical="center"/>
      <protection/>
    </xf>
    <xf numFmtId="0" fontId="0" fillId="0" borderId="13" xfId="0" applyFont="1" applyBorder="1" applyAlignment="1" applyProtection="1">
      <alignment vertical="center"/>
      <protection/>
    </xf>
    <xf numFmtId="0" fontId="0" fillId="0" borderId="0" xfId="0" applyFont="1" applyBorder="1" applyAlignment="1" applyProtection="1" quotePrefix="1">
      <alignment horizontal="left" vertical="center"/>
      <protection/>
    </xf>
    <xf numFmtId="0" fontId="0" fillId="0" borderId="0" xfId="0" applyFont="1" applyFill="1" applyBorder="1" applyAlignment="1" applyProtection="1" quotePrefix="1">
      <alignment vertical="center"/>
      <protection/>
    </xf>
    <xf numFmtId="3" fontId="32" fillId="0" borderId="10" xfId="0" applyNumberFormat="1" applyFont="1" applyFill="1" applyBorder="1" applyAlignment="1" applyProtection="1">
      <alignment horizontal="right" vertical="center"/>
      <protection/>
    </xf>
    <xf numFmtId="3" fontId="0" fillId="0" borderId="11" xfId="0" applyNumberFormat="1" applyFont="1" applyBorder="1" applyAlignment="1" applyProtection="1">
      <alignment vertical="center"/>
      <protection/>
    </xf>
    <xf numFmtId="3" fontId="0" fillId="0" borderId="16" xfId="0" applyNumberFormat="1" applyFont="1" applyBorder="1" applyAlignment="1" applyProtection="1">
      <alignment vertical="center"/>
      <protection/>
    </xf>
    <xf numFmtId="4" fontId="0" fillId="0" borderId="16" xfId="0" applyNumberFormat="1" applyFont="1" applyBorder="1" applyAlignment="1" applyProtection="1">
      <alignment vertical="center"/>
      <protection/>
    </xf>
    <xf numFmtId="0" fontId="4" fillId="0" borderId="0" xfId="0" applyFont="1" applyBorder="1" applyAlignment="1" applyProtection="1">
      <alignment horizontal="right" vertical="center"/>
      <protection/>
    </xf>
    <xf numFmtId="0" fontId="4" fillId="0" borderId="0" xfId="0" applyFont="1" applyAlignment="1" applyProtection="1">
      <alignment horizontal="right" vertical="center"/>
      <protection/>
    </xf>
    <xf numFmtId="0" fontId="4" fillId="0" borderId="0" xfId="0" applyFont="1" applyFill="1" applyBorder="1" applyAlignment="1" applyProtection="1">
      <alignment horizontal="right" vertical="center"/>
      <protection/>
    </xf>
    <xf numFmtId="4" fontId="0" fillId="0" borderId="11" xfId="0" applyNumberFormat="1" applyFont="1" applyBorder="1" applyAlignment="1" applyProtection="1">
      <alignment vertical="center"/>
      <protection/>
    </xf>
    <xf numFmtId="3" fontId="0" fillId="0" borderId="11" xfId="0" applyNumberFormat="1" applyFont="1" applyFill="1" applyBorder="1" applyAlignment="1" applyProtection="1" quotePrefix="1">
      <alignment vertical="center"/>
      <protection/>
    </xf>
    <xf numFmtId="0" fontId="31" fillId="0" borderId="14" xfId="0" applyFont="1" applyFill="1" applyBorder="1" applyAlignment="1" applyProtection="1">
      <alignment horizontal="center" vertical="center"/>
      <protection/>
    </xf>
    <xf numFmtId="3" fontId="14" fillId="0" borderId="10" xfId="0" applyNumberFormat="1" applyFont="1" applyFill="1" applyBorder="1" applyAlignment="1" applyProtection="1">
      <alignment vertical="center"/>
      <protection/>
    </xf>
    <xf numFmtId="3" fontId="0" fillId="0" borderId="17" xfId="0" applyNumberFormat="1" applyFont="1" applyFill="1" applyBorder="1" applyAlignment="1" applyProtection="1">
      <alignment vertical="center"/>
      <protection/>
    </xf>
    <xf numFmtId="0" fontId="14" fillId="0" borderId="0" xfId="0" applyFont="1" applyFill="1" applyAlignment="1" applyProtection="1">
      <alignment vertical="center"/>
      <protection/>
    </xf>
    <xf numFmtId="0" fontId="14" fillId="0" borderId="13" xfId="0" applyFont="1" applyFill="1" applyBorder="1" applyAlignment="1" applyProtection="1">
      <alignment vertical="center"/>
      <protection/>
    </xf>
    <xf numFmtId="3" fontId="0" fillId="0" borderId="18" xfId="0" applyNumberFormat="1" applyFont="1" applyBorder="1" applyAlignment="1" applyProtection="1">
      <alignment vertical="center"/>
      <protection/>
    </xf>
    <xf numFmtId="3" fontId="0" fillId="0" borderId="19" xfId="0" applyNumberFormat="1" applyFont="1" applyBorder="1" applyAlignment="1" applyProtection="1">
      <alignment vertical="center"/>
      <protection/>
    </xf>
    <xf numFmtId="0" fontId="25" fillId="0" borderId="20" xfId="0" applyFont="1" applyFill="1" applyBorder="1" applyAlignment="1" applyProtection="1">
      <alignment vertical="center"/>
      <protection/>
    </xf>
    <xf numFmtId="3" fontId="0" fillId="0" borderId="15" xfId="0" applyNumberFormat="1" applyFont="1" applyFill="1" applyBorder="1" applyAlignment="1" applyProtection="1">
      <alignment vertical="center"/>
      <protection/>
    </xf>
    <xf numFmtId="3" fontId="6" fillId="0" borderId="21" xfId="0" applyNumberFormat="1" applyFont="1" applyFill="1" applyBorder="1" applyAlignment="1" applyProtection="1">
      <alignment vertical="center"/>
      <protection/>
    </xf>
    <xf numFmtId="3" fontId="14" fillId="0" borderId="22" xfId="0" applyNumberFormat="1" applyFont="1" applyFill="1" applyBorder="1" applyAlignment="1" applyProtection="1">
      <alignment horizontal="center" vertical="center"/>
      <protection/>
    </xf>
    <xf numFmtId="0" fontId="1" fillId="0" borderId="0" xfId="0" applyFont="1" applyBorder="1" applyAlignment="1" applyProtection="1" quotePrefix="1">
      <alignment vertical="center"/>
      <protection/>
    </xf>
    <xf numFmtId="3" fontId="14" fillId="0" borderId="16" xfId="0" applyNumberFormat="1" applyFont="1" applyBorder="1" applyAlignment="1" applyProtection="1">
      <alignment horizontal="center" vertical="center"/>
      <protection/>
    </xf>
    <xf numFmtId="0" fontId="21" fillId="0" borderId="0" xfId="0" applyFont="1" applyAlignment="1" applyProtection="1">
      <alignment vertical="center"/>
      <protection/>
    </xf>
    <xf numFmtId="0" fontId="21" fillId="0" borderId="15" xfId="0" applyFont="1" applyBorder="1" applyAlignment="1" applyProtection="1">
      <alignment vertical="center"/>
      <protection/>
    </xf>
    <xf numFmtId="0" fontId="21" fillId="0" borderId="15" xfId="0" applyFont="1" applyFill="1" applyBorder="1" applyAlignment="1" applyProtection="1">
      <alignment vertical="center"/>
      <protection/>
    </xf>
    <xf numFmtId="3" fontId="21" fillId="0" borderId="15" xfId="0" applyNumberFormat="1" applyFont="1" applyFill="1" applyBorder="1" applyAlignment="1" applyProtection="1">
      <alignment vertical="center"/>
      <protection/>
    </xf>
    <xf numFmtId="0" fontId="35" fillId="0" borderId="0" xfId="0" applyFont="1" applyFill="1" applyBorder="1" applyAlignment="1" applyProtection="1">
      <alignment vertical="center"/>
      <protection/>
    </xf>
    <xf numFmtId="0" fontId="10" fillId="0" borderId="0" xfId="0" applyFont="1" applyFill="1" applyBorder="1" applyAlignment="1" applyProtection="1">
      <alignment vertical="center"/>
      <protection/>
    </xf>
    <xf numFmtId="3" fontId="0" fillId="0" borderId="13" xfId="0" applyNumberFormat="1" applyFont="1" applyFill="1" applyBorder="1" applyAlignment="1" applyProtection="1">
      <alignment horizontal="center" vertical="center"/>
      <protection/>
    </xf>
    <xf numFmtId="3" fontId="0" fillId="0" borderId="23" xfId="0" applyNumberFormat="1" applyFont="1" applyFill="1" applyBorder="1" applyAlignment="1" applyProtection="1">
      <alignment horizontal="center" vertical="center"/>
      <protection/>
    </xf>
    <xf numFmtId="0" fontId="26" fillId="0" borderId="15" xfId="0" applyFont="1" applyFill="1" applyBorder="1" applyAlignment="1" applyProtection="1">
      <alignment vertical="center"/>
      <protection/>
    </xf>
    <xf numFmtId="0" fontId="5" fillId="0" borderId="0" xfId="0" applyFont="1" applyFill="1" applyAlignment="1" applyProtection="1">
      <alignment vertical="center"/>
      <protection/>
    </xf>
    <xf numFmtId="0" fontId="5" fillId="0" borderId="0" xfId="0" applyFont="1" applyAlignment="1" applyProtection="1">
      <alignment vertical="center"/>
      <protection/>
    </xf>
    <xf numFmtId="3" fontId="30" fillId="0" borderId="17" xfId="0" applyNumberFormat="1" applyFont="1" applyFill="1" applyBorder="1" applyAlignment="1" applyProtection="1">
      <alignment vertical="center"/>
      <protection/>
    </xf>
    <xf numFmtId="4" fontId="0" fillId="0" borderId="24" xfId="0" applyNumberFormat="1" applyFont="1" applyFill="1" applyBorder="1" applyAlignment="1" applyProtection="1">
      <alignment horizontal="right" vertical="center"/>
      <protection locked="0"/>
    </xf>
    <xf numFmtId="0" fontId="12" fillId="0" borderId="25" xfId="0" applyFont="1" applyBorder="1" applyAlignment="1" applyProtection="1">
      <alignment horizontal="right" vertical="center"/>
      <protection/>
    </xf>
    <xf numFmtId="3" fontId="0" fillId="33" borderId="11" xfId="0" applyNumberFormat="1" applyFont="1" applyFill="1" applyBorder="1" applyAlignment="1" applyProtection="1">
      <alignment vertical="center"/>
      <protection locked="0"/>
    </xf>
    <xf numFmtId="3" fontId="0" fillId="33" borderId="14" xfId="0" applyNumberFormat="1" applyFont="1" applyFill="1" applyBorder="1" applyAlignment="1" applyProtection="1">
      <alignment vertical="center"/>
      <protection locked="0"/>
    </xf>
    <xf numFmtId="3" fontId="0" fillId="33" borderId="17" xfId="0" applyNumberFormat="1" applyFont="1" applyFill="1" applyBorder="1" applyAlignment="1" applyProtection="1">
      <alignment vertical="center"/>
      <protection locked="0"/>
    </xf>
    <xf numFmtId="4" fontId="0" fillId="33" borderId="11" xfId="0" applyNumberFormat="1" applyFont="1" applyFill="1" applyBorder="1" applyAlignment="1" applyProtection="1">
      <alignment horizontal="right" vertical="center"/>
      <protection locked="0"/>
    </xf>
    <xf numFmtId="0" fontId="0" fillId="0" borderId="0" xfId="0" applyNumberFormat="1" applyFill="1" applyAlignment="1" quotePrefix="1">
      <alignment/>
    </xf>
    <xf numFmtId="0" fontId="0" fillId="0" borderId="0" xfId="0" applyNumberFormat="1" applyFill="1" applyAlignment="1">
      <alignment/>
    </xf>
    <xf numFmtId="0" fontId="0" fillId="0" borderId="0" xfId="0" applyFill="1" applyAlignment="1">
      <alignment/>
    </xf>
    <xf numFmtId="0" fontId="0" fillId="0" borderId="0" xfId="0" applyNumberFormat="1" applyFont="1" applyFill="1" applyAlignment="1">
      <alignment/>
    </xf>
    <xf numFmtId="0" fontId="0" fillId="0" borderId="0" xfId="0" applyNumberFormat="1" applyAlignment="1" quotePrefix="1">
      <alignment/>
    </xf>
    <xf numFmtId="3" fontId="0" fillId="0" borderId="0" xfId="0" applyNumberFormat="1" applyFill="1" applyAlignment="1">
      <alignment/>
    </xf>
    <xf numFmtId="0" fontId="0" fillId="0" borderId="0" xfId="0" applyFill="1" applyAlignment="1" quotePrefix="1">
      <alignment/>
    </xf>
    <xf numFmtId="0" fontId="0" fillId="0" borderId="0" xfId="0" applyFont="1" applyFill="1" applyAlignment="1" applyProtection="1">
      <alignment vertical="center"/>
      <protection/>
    </xf>
    <xf numFmtId="0" fontId="4" fillId="0" borderId="0" xfId="0" applyFont="1" applyFill="1" applyAlignment="1" applyProtection="1">
      <alignment vertical="center"/>
      <protection/>
    </xf>
    <xf numFmtId="0" fontId="4" fillId="0" borderId="0" xfId="0" applyFont="1" applyFill="1" applyAlignment="1" applyProtection="1">
      <alignment horizontal="center" vertical="center"/>
      <protection/>
    </xf>
    <xf numFmtId="3" fontId="0" fillId="0" borderId="14" xfId="0" applyNumberFormat="1" applyFont="1" applyFill="1" applyBorder="1" applyAlignment="1" applyProtection="1">
      <alignment vertical="center"/>
      <protection locked="0"/>
    </xf>
    <xf numFmtId="0" fontId="0" fillId="33" borderId="14" xfId="0" applyFont="1" applyFill="1" applyBorder="1" applyAlignment="1" applyProtection="1">
      <alignment horizontal="right" vertical="center"/>
      <protection locked="0"/>
    </xf>
    <xf numFmtId="0" fontId="0" fillId="33" borderId="11" xfId="0" applyFont="1" applyFill="1" applyBorder="1" applyAlignment="1" applyProtection="1">
      <alignment horizontal="right" vertical="center"/>
      <protection locked="0"/>
    </xf>
    <xf numFmtId="0" fontId="40" fillId="0" borderId="0" xfId="0" applyFont="1" applyFill="1" applyBorder="1" applyAlignment="1" applyProtection="1">
      <alignment vertical="center"/>
      <protection/>
    </xf>
    <xf numFmtId="0" fontId="41" fillId="0" borderId="0" xfId="0" applyFont="1" applyFill="1" applyBorder="1" applyAlignment="1" applyProtection="1">
      <alignment vertical="center"/>
      <protection/>
    </xf>
    <xf numFmtId="0" fontId="6" fillId="0" borderId="26" xfId="0" applyFont="1" applyBorder="1" applyAlignment="1" applyProtection="1">
      <alignment vertical="center"/>
      <protection/>
    </xf>
    <xf numFmtId="0" fontId="6" fillId="0" borderId="27" xfId="0" applyFont="1" applyBorder="1" applyAlignment="1" applyProtection="1">
      <alignment vertical="center"/>
      <protection/>
    </xf>
    <xf numFmtId="0" fontId="31" fillId="0" borderId="26" xfId="0" applyFont="1" applyBorder="1" applyAlignment="1" applyProtection="1">
      <alignment vertical="center"/>
      <protection/>
    </xf>
    <xf numFmtId="4" fontId="6" fillId="34" borderId="22" xfId="0" applyNumberFormat="1" applyFont="1" applyFill="1" applyBorder="1" applyAlignment="1" applyProtection="1">
      <alignment vertical="center"/>
      <protection/>
    </xf>
    <xf numFmtId="4" fontId="6" fillId="34" borderId="23" xfId="0" applyNumberFormat="1" applyFont="1" applyFill="1" applyBorder="1" applyAlignment="1" applyProtection="1">
      <alignment vertical="center"/>
      <protection/>
    </xf>
    <xf numFmtId="4" fontId="6" fillId="34" borderId="16" xfId="0" applyNumberFormat="1" applyFont="1" applyFill="1" applyBorder="1" applyAlignment="1" applyProtection="1">
      <alignment vertical="center"/>
      <protection/>
    </xf>
    <xf numFmtId="4" fontId="6" fillId="0" borderId="0" xfId="0" applyNumberFormat="1" applyFont="1" applyBorder="1" applyAlignment="1" applyProtection="1">
      <alignment vertical="center"/>
      <protection/>
    </xf>
    <xf numFmtId="3" fontId="6" fillId="0" borderId="0" xfId="0" applyNumberFormat="1" applyFont="1" applyFill="1" applyBorder="1" applyAlignment="1" applyProtection="1">
      <alignment vertical="center"/>
      <protection/>
    </xf>
    <xf numFmtId="0" fontId="31" fillId="0" borderId="26" xfId="0" applyFont="1" applyFill="1" applyBorder="1" applyAlignment="1" applyProtection="1">
      <alignment vertical="center"/>
      <protection/>
    </xf>
    <xf numFmtId="0" fontId="6" fillId="0" borderId="27" xfId="0" applyFont="1" applyFill="1" applyBorder="1" applyAlignment="1" applyProtection="1">
      <alignment vertical="center"/>
      <protection/>
    </xf>
    <xf numFmtId="0" fontId="31" fillId="0" borderId="28" xfId="0" applyFont="1" applyFill="1" applyBorder="1" applyAlignment="1" applyProtection="1">
      <alignment vertical="center"/>
      <protection/>
    </xf>
    <xf numFmtId="4" fontId="25" fillId="0" borderId="29" xfId="0" applyNumberFormat="1" applyFont="1" applyFill="1" applyBorder="1" applyAlignment="1" applyProtection="1">
      <alignment vertical="center"/>
      <protection/>
    </xf>
    <xf numFmtId="0" fontId="25" fillId="0" borderId="29" xfId="0" applyFont="1" applyFill="1" applyBorder="1" applyAlignment="1" applyProtection="1">
      <alignment vertical="center"/>
      <protection/>
    </xf>
    <xf numFmtId="0" fontId="6" fillId="0" borderId="30" xfId="0" applyFont="1" applyFill="1" applyBorder="1" applyAlignment="1" applyProtection="1">
      <alignment vertical="center"/>
      <protection/>
    </xf>
    <xf numFmtId="0" fontId="31" fillId="0" borderId="26" xfId="0" applyFont="1" applyFill="1" applyBorder="1" applyAlignment="1" applyProtection="1">
      <alignment horizontal="left" vertical="center"/>
      <protection/>
    </xf>
    <xf numFmtId="3" fontId="31" fillId="0" borderId="0" xfId="0" applyNumberFormat="1" applyFont="1" applyFill="1" applyBorder="1" applyAlignment="1" applyProtection="1">
      <alignment horizontal="right" vertical="center"/>
      <protection/>
    </xf>
    <xf numFmtId="3" fontId="31" fillId="0" borderId="26" xfId="0" applyNumberFormat="1" applyFont="1" applyFill="1" applyBorder="1" applyAlignment="1" applyProtection="1">
      <alignment horizontal="left" vertical="center"/>
      <protection/>
    </xf>
    <xf numFmtId="3" fontId="31" fillId="0" borderId="0" xfId="0" applyNumberFormat="1" applyFont="1" applyFill="1" applyBorder="1" applyAlignment="1" applyProtection="1">
      <alignment vertical="center" wrapText="1"/>
      <protection/>
    </xf>
    <xf numFmtId="3" fontId="31" fillId="0" borderId="27" xfId="0" applyNumberFormat="1" applyFont="1" applyFill="1" applyBorder="1" applyAlignment="1" applyProtection="1">
      <alignment vertical="center"/>
      <protection/>
    </xf>
    <xf numFmtId="3" fontId="31" fillId="0" borderId="0" xfId="0" applyNumberFormat="1" applyFont="1" applyFill="1" applyBorder="1" applyAlignment="1" applyProtection="1">
      <alignment vertical="center"/>
      <protection/>
    </xf>
    <xf numFmtId="0" fontId="6" fillId="0" borderId="26" xfId="0" applyFont="1" applyFill="1" applyBorder="1" applyAlignment="1" applyProtection="1">
      <alignment vertical="center"/>
      <protection/>
    </xf>
    <xf numFmtId="0" fontId="6" fillId="0" borderId="31" xfId="0" applyFont="1" applyFill="1" applyBorder="1" applyAlignment="1" applyProtection="1">
      <alignment vertical="center"/>
      <protection/>
    </xf>
    <xf numFmtId="0" fontId="6" fillId="0" borderId="32" xfId="0" applyFont="1" applyFill="1" applyBorder="1" applyAlignment="1" applyProtection="1">
      <alignment vertical="center"/>
      <protection/>
    </xf>
    <xf numFmtId="0" fontId="19" fillId="0" borderId="0" xfId="0" applyFont="1" applyFill="1" applyBorder="1" applyAlignment="1" applyProtection="1">
      <alignment vertical="center"/>
      <protection/>
    </xf>
    <xf numFmtId="0" fontId="5" fillId="0" borderId="0" xfId="0" applyFont="1" applyAlignment="1" applyProtection="1" quotePrefix="1">
      <alignment vertical="center"/>
      <protection/>
    </xf>
    <xf numFmtId="0" fontId="6" fillId="0" borderId="0" xfId="0" applyFont="1" applyAlignment="1" applyProtection="1" quotePrefix="1">
      <alignment horizontal="center" vertical="center"/>
      <protection/>
    </xf>
    <xf numFmtId="3" fontId="0" fillId="0" borderId="0" xfId="0" applyNumberFormat="1" applyFont="1" applyFill="1" applyAlignment="1">
      <alignment/>
    </xf>
    <xf numFmtId="3" fontId="0" fillId="33" borderId="11" xfId="0" applyNumberFormat="1" applyFont="1" applyFill="1" applyBorder="1" applyAlignment="1" applyProtection="1">
      <alignment vertical="center"/>
      <protection/>
    </xf>
    <xf numFmtId="0" fontId="15" fillId="0" borderId="0" xfId="0" applyFont="1" applyAlignment="1" applyProtection="1" quotePrefix="1">
      <alignment horizontal="center" vertical="center"/>
      <protection/>
    </xf>
    <xf numFmtId="4" fontId="0" fillId="0" borderId="16" xfId="0" applyNumberFormat="1" applyFont="1" applyFill="1" applyBorder="1" applyAlignment="1" applyProtection="1">
      <alignment horizontal="right" vertical="center"/>
      <protection/>
    </xf>
    <xf numFmtId="3" fontId="0" fillId="35" borderId="11" xfId="0" applyNumberFormat="1" applyFont="1" applyFill="1" applyBorder="1" applyAlignment="1" applyProtection="1">
      <alignment vertical="center"/>
      <protection locked="0"/>
    </xf>
    <xf numFmtId="3" fontId="0" fillId="35" borderId="11" xfId="0" applyNumberFormat="1" applyFont="1" applyFill="1" applyBorder="1" applyAlignment="1" applyProtection="1">
      <alignment vertical="center"/>
      <protection/>
    </xf>
    <xf numFmtId="3" fontId="0" fillId="35" borderId="16" xfId="0" applyNumberFormat="1" applyFont="1" applyFill="1" applyBorder="1" applyAlignment="1" applyProtection="1">
      <alignment vertical="center"/>
      <protection locked="0"/>
    </xf>
    <xf numFmtId="3" fontId="0" fillId="33" borderId="17" xfId="0" applyNumberFormat="1" applyFont="1" applyFill="1" applyBorder="1" applyAlignment="1" applyProtection="1">
      <alignment vertical="center"/>
      <protection/>
    </xf>
    <xf numFmtId="3" fontId="0" fillId="33" borderId="14" xfId="0" applyNumberFormat="1" applyFont="1" applyFill="1" applyBorder="1" applyAlignment="1" applyProtection="1">
      <alignment vertical="center"/>
      <protection/>
    </xf>
    <xf numFmtId="3" fontId="0" fillId="35" borderId="22" xfId="0" applyNumberFormat="1" applyFont="1" applyFill="1" applyBorder="1" applyAlignment="1" applyProtection="1">
      <alignment vertical="center"/>
      <protection locked="0"/>
    </xf>
    <xf numFmtId="0" fontId="49" fillId="0" borderId="0" xfId="0" applyFont="1" applyFill="1" applyBorder="1" applyAlignment="1" applyProtection="1">
      <alignment horizontal="left" vertical="center"/>
      <protection/>
    </xf>
    <xf numFmtId="0" fontId="50" fillId="0" borderId="0" xfId="0" applyFont="1" applyAlignment="1">
      <alignment vertical="center"/>
    </xf>
    <xf numFmtId="3" fontId="4" fillId="0" borderId="0" xfId="0" applyNumberFormat="1" applyFont="1" applyAlignment="1" applyProtection="1">
      <alignment vertical="center"/>
      <protection/>
    </xf>
    <xf numFmtId="3" fontId="0" fillId="0" borderId="16" xfId="0" applyNumberFormat="1" applyFont="1" applyFill="1" applyBorder="1" applyAlignment="1" applyProtection="1">
      <alignment vertical="center"/>
      <protection/>
    </xf>
    <xf numFmtId="3" fontId="5" fillId="0" borderId="10" xfId="0" applyNumberFormat="1" applyFont="1" applyFill="1" applyBorder="1" applyAlignment="1" applyProtection="1">
      <alignment horizontal="center" vertical="center"/>
      <protection/>
    </xf>
    <xf numFmtId="0" fontId="0" fillId="0" borderId="0" xfId="0" applyNumberFormat="1" applyAlignment="1" quotePrefix="1">
      <alignment horizontal="right"/>
    </xf>
    <xf numFmtId="3" fontId="0" fillId="0" borderId="17" xfId="0" applyNumberFormat="1" applyFont="1" applyFill="1" applyBorder="1" applyAlignment="1" applyProtection="1">
      <alignment vertical="center"/>
      <protection locked="0"/>
    </xf>
    <xf numFmtId="3" fontId="51" fillId="0" borderId="0" xfId="0" applyNumberFormat="1" applyFont="1" applyFill="1" applyAlignment="1">
      <alignment/>
    </xf>
    <xf numFmtId="0" fontId="0" fillId="0" borderId="0" xfId="0" applyFont="1" applyFill="1" applyAlignment="1">
      <alignment/>
    </xf>
    <xf numFmtId="0" fontId="0" fillId="0" borderId="0" xfId="0" applyFont="1" applyFill="1" applyAlignment="1">
      <alignment/>
    </xf>
    <xf numFmtId="14" fontId="5" fillId="0" borderId="19" xfId="0" applyNumberFormat="1" applyFont="1" applyBorder="1" applyAlignment="1" applyProtection="1">
      <alignment vertical="center"/>
      <protection/>
    </xf>
    <xf numFmtId="0" fontId="0" fillId="0" borderId="0" xfId="0" applyNumberFormat="1" applyAlignment="1">
      <alignment/>
    </xf>
    <xf numFmtId="0" fontId="37" fillId="34" borderId="14" xfId="0" applyFont="1" applyFill="1" applyBorder="1" applyAlignment="1" applyProtection="1">
      <alignment horizontal="center" vertical="center"/>
      <protection/>
    </xf>
    <xf numFmtId="0" fontId="37" fillId="34" borderId="20" xfId="0" applyFont="1" applyFill="1" applyBorder="1" applyAlignment="1" applyProtection="1">
      <alignment horizontal="center" vertical="center"/>
      <protection/>
    </xf>
    <xf numFmtId="0" fontId="37" fillId="34" borderId="17" xfId="0" applyFont="1" applyFill="1" applyBorder="1" applyAlignment="1" applyProtection="1">
      <alignment horizontal="center" vertical="center"/>
      <protection/>
    </xf>
    <xf numFmtId="0" fontId="5" fillId="0" borderId="13"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12" fillId="0" borderId="13" xfId="0" applyFont="1" applyFill="1" applyBorder="1" applyAlignment="1" applyProtection="1">
      <alignment horizontal="center"/>
      <protection/>
    </xf>
    <xf numFmtId="0" fontId="12" fillId="0" borderId="0" xfId="0" applyFont="1" applyFill="1" applyBorder="1" applyAlignment="1" applyProtection="1">
      <alignment horizontal="center"/>
      <protection/>
    </xf>
    <xf numFmtId="0" fontId="45" fillId="0" borderId="13" xfId="0" applyFont="1" applyBorder="1" applyAlignment="1" applyProtection="1">
      <alignment horizontal="center" vertical="center"/>
      <protection/>
    </xf>
    <xf numFmtId="0" fontId="45" fillId="0" borderId="0" xfId="0" applyFont="1" applyBorder="1" applyAlignment="1" applyProtection="1">
      <alignment horizontal="center" vertical="center"/>
      <protection/>
    </xf>
    <xf numFmtId="0" fontId="0" fillId="0" borderId="0" xfId="0" applyFont="1" applyFill="1" applyBorder="1" applyAlignment="1" applyProtection="1">
      <alignment vertical="center"/>
      <protection locked="0"/>
    </xf>
    <xf numFmtId="0" fontId="0" fillId="0" borderId="10" xfId="0" applyFont="1" applyFill="1" applyBorder="1" applyAlignment="1" applyProtection="1">
      <alignment vertical="center"/>
      <protection locked="0"/>
    </xf>
    <xf numFmtId="0" fontId="39" fillId="36" borderId="0" xfId="0" applyFont="1" applyFill="1" applyAlignment="1">
      <alignment horizontal="center"/>
    </xf>
    <xf numFmtId="0" fontId="44" fillId="34" borderId="14" xfId="0" applyFont="1" applyFill="1" applyBorder="1" applyAlignment="1" applyProtection="1">
      <alignment horizontal="center" vertical="center"/>
      <protection/>
    </xf>
    <xf numFmtId="0" fontId="44" fillId="34" borderId="20" xfId="0" applyFont="1" applyFill="1" applyBorder="1" applyAlignment="1" applyProtection="1">
      <alignment horizontal="center" vertical="center"/>
      <protection/>
    </xf>
    <xf numFmtId="0" fontId="44" fillId="34" borderId="17" xfId="0" applyFont="1" applyFill="1" applyBorder="1" applyAlignment="1" applyProtection="1">
      <alignment horizontal="center" vertical="center"/>
      <protection/>
    </xf>
    <xf numFmtId="3" fontId="31" fillId="0" borderId="26" xfId="0" applyNumberFormat="1" applyFont="1" applyFill="1" applyBorder="1" applyAlignment="1" applyProtection="1">
      <alignment horizontal="left" vertical="center" wrapText="1"/>
      <protection/>
    </xf>
    <xf numFmtId="3" fontId="31" fillId="0" borderId="0" xfId="0" applyNumberFormat="1" applyFont="1" applyFill="1" applyBorder="1" applyAlignment="1" applyProtection="1">
      <alignment horizontal="left" vertical="center" wrapText="1"/>
      <protection/>
    </xf>
    <xf numFmtId="3" fontId="31" fillId="0" borderId="33" xfId="0" applyNumberFormat="1" applyFont="1" applyFill="1" applyBorder="1" applyAlignment="1" applyProtection="1">
      <alignment horizontal="left" vertical="center" wrapText="1"/>
      <protection/>
    </xf>
    <xf numFmtId="3" fontId="31" fillId="0" borderId="31" xfId="0" applyNumberFormat="1" applyFont="1" applyFill="1" applyBorder="1" applyAlignment="1" applyProtection="1">
      <alignment horizontal="left" vertical="center" wrapText="1"/>
      <protection/>
    </xf>
    <xf numFmtId="0" fontId="43" fillId="36" borderId="0" xfId="0" applyFont="1" applyFill="1" applyAlignment="1" applyProtection="1">
      <alignment horizontal="center" vertical="center"/>
      <protection/>
    </xf>
    <xf numFmtId="0" fontId="36" fillId="0" borderId="13" xfId="0" applyFont="1" applyBorder="1" applyAlignment="1" applyProtection="1">
      <alignment horizontal="center" vertical="center"/>
      <protection/>
    </xf>
    <xf numFmtId="0" fontId="36" fillId="0" borderId="0" xfId="0" applyFont="1" applyBorder="1" applyAlignment="1" applyProtection="1">
      <alignment horizontal="center" vertical="center"/>
      <protection/>
    </xf>
    <xf numFmtId="0" fontId="31" fillId="34" borderId="34" xfId="0" applyFont="1" applyFill="1" applyBorder="1" applyAlignment="1" applyProtection="1">
      <alignment horizontal="center" vertical="center"/>
      <protection/>
    </xf>
    <xf numFmtId="0" fontId="31" fillId="34" borderId="35" xfId="0" applyFont="1" applyFill="1" applyBorder="1" applyAlignment="1" applyProtection="1">
      <alignment horizontal="center" vertical="center"/>
      <protection/>
    </xf>
    <xf numFmtId="0" fontId="31" fillId="34" borderId="36" xfId="0" applyFont="1" applyFill="1" applyBorder="1" applyAlignment="1" applyProtection="1">
      <alignment horizontal="center" vertical="center"/>
      <protection/>
    </xf>
    <xf numFmtId="0" fontId="31" fillId="34" borderId="37" xfId="0" applyFont="1" applyFill="1" applyBorder="1" applyAlignment="1" applyProtection="1">
      <alignment horizontal="center" vertical="center"/>
      <protection/>
    </xf>
    <xf numFmtId="0" fontId="31" fillId="34" borderId="38" xfId="0" applyFont="1" applyFill="1" applyBorder="1" applyAlignment="1" applyProtection="1">
      <alignment horizontal="center" vertical="center"/>
      <protection/>
    </xf>
    <xf numFmtId="0" fontId="31" fillId="34" borderId="39" xfId="0" applyFont="1" applyFill="1" applyBorder="1" applyAlignment="1" applyProtection="1">
      <alignment horizontal="center" vertical="center"/>
      <protection/>
    </xf>
    <xf numFmtId="0" fontId="44" fillId="0" borderId="0" xfId="0" applyFont="1" applyFill="1" applyAlignment="1" applyProtection="1">
      <alignment horizontal="center" vertical="center"/>
      <protection/>
    </xf>
    <xf numFmtId="0" fontId="31" fillId="34" borderId="40" xfId="0" applyFont="1" applyFill="1" applyBorder="1" applyAlignment="1" applyProtection="1">
      <alignment horizontal="center" vertical="center" wrapText="1"/>
      <protection/>
    </xf>
    <xf numFmtId="0" fontId="0" fillId="0" borderId="41" xfId="0" applyBorder="1" applyAlignment="1">
      <alignment vertical="center"/>
    </xf>
    <xf numFmtId="0" fontId="0" fillId="0" borderId="42" xfId="0" applyBorder="1" applyAlignment="1">
      <alignment vertical="center"/>
    </xf>
    <xf numFmtId="0" fontId="0" fillId="0" borderId="26" xfId="0" applyBorder="1" applyAlignment="1">
      <alignment vertical="center"/>
    </xf>
    <xf numFmtId="0" fontId="0" fillId="0" borderId="0" xfId="0" applyBorder="1" applyAlignment="1">
      <alignment vertical="center"/>
    </xf>
    <xf numFmtId="0" fontId="0" fillId="0" borderId="27" xfId="0" applyBorder="1" applyAlignment="1">
      <alignment vertical="center"/>
    </xf>
    <xf numFmtId="0" fontId="0" fillId="0" borderId="33"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1" fillId="0" borderId="0" xfId="0" applyFont="1" applyFill="1" applyAlignment="1">
      <alignment horizontal="left"/>
    </xf>
    <xf numFmtId="0" fontId="0" fillId="0" borderId="0" xfId="0" applyFont="1" applyFill="1" applyAlignment="1">
      <alignment horizontal="left"/>
    </xf>
    <xf numFmtId="0" fontId="0" fillId="0" borderId="0" xfId="0" applyFill="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50"/>
  <sheetViews>
    <sheetView tabSelected="1" zoomScalePageLayoutView="0" workbookViewId="0" topLeftCell="A1">
      <selection activeCell="A4" sqref="A4"/>
    </sheetView>
  </sheetViews>
  <sheetFormatPr defaultColWidth="9.140625" defaultRowHeight="12.75"/>
  <cols>
    <col min="1" max="1" width="11.28125" style="10" customWidth="1"/>
    <col min="2" max="2" width="12.8515625" style="10" customWidth="1"/>
    <col min="3" max="3" width="13.28125" style="10" customWidth="1"/>
    <col min="4" max="4" width="10.8515625" style="10" customWidth="1"/>
    <col min="5" max="5" width="14.421875" style="10" customWidth="1"/>
    <col min="6" max="6" width="2.57421875" style="10" customWidth="1"/>
    <col min="7" max="7" width="3.421875" style="10" customWidth="1"/>
    <col min="8" max="8" width="48.28125" style="33" customWidth="1"/>
    <col min="9" max="9" width="12.421875" style="74" customWidth="1"/>
    <col min="10" max="10" width="13.421875" style="75" customWidth="1"/>
    <col min="11" max="11" width="9.140625" style="10" customWidth="1"/>
    <col min="12" max="12" width="20.7109375" style="10" customWidth="1"/>
    <col min="13" max="13" width="14.7109375" style="10" customWidth="1"/>
    <col min="14" max="14" width="12.421875" style="10" customWidth="1"/>
    <col min="15" max="15" width="9.7109375" style="10" customWidth="1"/>
    <col min="16" max="16384" width="9.140625" style="10" customWidth="1"/>
  </cols>
  <sheetData>
    <row r="1" spans="1:13" ht="15" customHeight="1">
      <c r="A1" s="60" t="s">
        <v>0</v>
      </c>
      <c r="B1" s="194"/>
      <c r="C1" s="195"/>
      <c r="D1"/>
      <c r="E1"/>
      <c r="F1"/>
      <c r="H1" s="185" t="s">
        <v>174</v>
      </c>
      <c r="I1" s="186"/>
      <c r="J1" s="187"/>
      <c r="L1"/>
      <c r="M1"/>
    </row>
    <row r="2" spans="1:13" ht="15.75" customHeight="1">
      <c r="A2" s="197" t="s">
        <v>170</v>
      </c>
      <c r="B2" s="198"/>
      <c r="C2" s="198"/>
      <c r="D2" s="198"/>
      <c r="E2" s="199"/>
      <c r="G2" s="80" t="s">
        <v>1</v>
      </c>
      <c r="H2" s="14" t="s">
        <v>152</v>
      </c>
      <c r="I2" s="9" t="s">
        <v>2</v>
      </c>
      <c r="J2" s="83">
        <f>IF(E4&gt;0,MAX(E4,0),"")</f>
      </c>
      <c r="L2"/>
      <c r="M2"/>
    </row>
    <row r="3" spans="1:13" ht="13.5" customHeight="1">
      <c r="A3" s="196" t="s">
        <v>211</v>
      </c>
      <c r="B3" s="196"/>
      <c r="C3" s="196"/>
      <c r="D3" s="35" t="s">
        <v>69</v>
      </c>
      <c r="E3" s="8"/>
      <c r="F3" s="7"/>
      <c r="G3" s="80" t="s">
        <v>4</v>
      </c>
      <c r="H3" s="14" t="s">
        <v>153</v>
      </c>
      <c r="I3" s="9" t="s">
        <v>2</v>
      </c>
      <c r="J3" s="84">
        <f>E20</f>
        <v>0</v>
      </c>
      <c r="L3"/>
      <c r="M3"/>
    </row>
    <row r="4" spans="1:10" ht="12.75" customHeight="1">
      <c r="A4" s="45" t="s">
        <v>173</v>
      </c>
      <c r="B4" s="2"/>
      <c r="C4" s="5"/>
      <c r="D4" s="6" t="s">
        <v>3</v>
      </c>
      <c r="E4" s="4">
        <f>INDEX(BASEREV,DATA!A1)</f>
        <v>0</v>
      </c>
      <c r="F4" s="7"/>
      <c r="G4" s="80" t="s">
        <v>5</v>
      </c>
      <c r="H4" s="14" t="s">
        <v>154</v>
      </c>
      <c r="I4" s="9" t="s">
        <v>6</v>
      </c>
      <c r="J4" s="85">
        <f>IF(E4&gt;0,ROUND((J2/J3),2),"")</f>
      </c>
    </row>
    <row r="5" spans="1:15" ht="13.5" customHeight="1" thickBot="1">
      <c r="A5" s="190" t="s">
        <v>150</v>
      </c>
      <c r="B5" s="191"/>
      <c r="C5" s="191"/>
      <c r="D5" s="191"/>
      <c r="E5" s="191"/>
      <c r="F5" s="109"/>
      <c r="G5" s="80" t="s">
        <v>8</v>
      </c>
      <c r="H5" s="14" t="s">
        <v>155</v>
      </c>
      <c r="I5" s="13" t="s">
        <v>55</v>
      </c>
      <c r="J5" s="85">
        <f>IF(E4&gt;0,MAX(I6,I6+I7-I8),"")</f>
      </c>
      <c r="L5" s="204" t="str">
        <f>A3</f>
        <v>DPI DATA AS OF 5/20/09 1:00 PM</v>
      </c>
      <c r="M5" s="204"/>
      <c r="N5" s="204"/>
      <c r="O5" s="204"/>
    </row>
    <row r="6" spans="1:15" ht="12" customHeight="1" thickBot="1" thickTop="1">
      <c r="A6" s="8" t="s">
        <v>184</v>
      </c>
      <c r="B6" s="2"/>
      <c r="C6" s="2"/>
      <c r="D6" s="6" t="s">
        <v>7</v>
      </c>
      <c r="E6" s="167">
        <f>INDEX(BASEAID,DATA!A1)</f>
        <v>0</v>
      </c>
      <c r="F6" s="7"/>
      <c r="G6" s="86" t="s">
        <v>15</v>
      </c>
      <c r="H6" s="14" t="s">
        <v>188</v>
      </c>
      <c r="I6" s="116">
        <v>274.68</v>
      </c>
      <c r="J6" s="115"/>
      <c r="L6" s="207" t="s">
        <v>124</v>
      </c>
      <c r="M6" s="208"/>
      <c r="N6" s="208"/>
      <c r="O6" s="209"/>
    </row>
    <row r="7" spans="1:15" ht="12" customHeight="1" thickTop="1">
      <c r="A7" s="8" t="s">
        <v>151</v>
      </c>
      <c r="B7" s="2"/>
      <c r="C7" s="2"/>
      <c r="D7" s="6" t="s">
        <v>7</v>
      </c>
      <c r="E7" s="167">
        <f>INDEX(COMAID_PY_FILE,DATA!A1)</f>
        <v>0</v>
      </c>
      <c r="F7" s="7"/>
      <c r="G7" s="86" t="s">
        <v>16</v>
      </c>
      <c r="H7" s="14" t="s">
        <v>191</v>
      </c>
      <c r="I7" s="166">
        <f>IF(E4&gt;0,MAX(0,(ROUND((9000-(J4+I6)),2))),"")</f>
      </c>
      <c r="J7" s="96"/>
      <c r="L7" s="214" t="s">
        <v>207</v>
      </c>
      <c r="M7" s="215"/>
      <c r="N7" s="215"/>
      <c r="O7" s="216"/>
    </row>
    <row r="8" spans="1:15" ht="12" customHeight="1">
      <c r="A8" s="161" t="s">
        <v>185</v>
      </c>
      <c r="D8" s="162" t="s">
        <v>7</v>
      </c>
      <c r="E8" s="168">
        <f>INDEX(hipov_offset_py,DATA!A1)</f>
        <v>0</v>
      </c>
      <c r="F8" s="16"/>
      <c r="G8" s="86" t="s">
        <v>17</v>
      </c>
      <c r="H8" s="14" t="s">
        <v>189</v>
      </c>
      <c r="I8" s="121">
        <f>INDEX(ccpermem,DATA!A1)</f>
        <v>0</v>
      </c>
      <c r="J8" s="97"/>
      <c r="L8" s="217"/>
      <c r="M8" s="218"/>
      <c r="N8" s="218"/>
      <c r="O8" s="219"/>
    </row>
    <row r="9" spans="1:15" ht="12" customHeight="1">
      <c r="A9" s="8" t="s">
        <v>136</v>
      </c>
      <c r="B9" s="14"/>
      <c r="C9" s="14"/>
      <c r="D9" s="6" t="s">
        <v>7</v>
      </c>
      <c r="E9" s="167">
        <f>INDEX(LEVY10C_PY,DATA!A1)</f>
        <v>0</v>
      </c>
      <c r="F9" s="7"/>
      <c r="G9" s="80" t="s">
        <v>9</v>
      </c>
      <c r="H9" s="14" t="s">
        <v>156</v>
      </c>
      <c r="I9" s="17"/>
      <c r="J9" s="89">
        <f>IF(E4&gt;0,J4+J5,"")</f>
      </c>
      <c r="L9" s="217"/>
      <c r="M9" s="218"/>
      <c r="N9" s="218"/>
      <c r="O9" s="219"/>
    </row>
    <row r="10" spans="1:15" ht="12" customHeight="1">
      <c r="A10" s="8" t="s">
        <v>137</v>
      </c>
      <c r="B10" s="14"/>
      <c r="C10" s="14"/>
      <c r="D10" s="6" t="s">
        <v>7</v>
      </c>
      <c r="E10" s="167">
        <f>INDEX(LEVY38C_PY,DATA!A1)</f>
        <v>0</v>
      </c>
      <c r="F10" s="7"/>
      <c r="G10" s="80" t="s">
        <v>10</v>
      </c>
      <c r="H10" s="14" t="s">
        <v>192</v>
      </c>
      <c r="I10" s="9" t="s">
        <v>2</v>
      </c>
      <c r="J10" s="90">
        <f>E27</f>
        <v>0</v>
      </c>
      <c r="L10" s="217"/>
      <c r="M10" s="218"/>
      <c r="N10" s="218"/>
      <c r="O10" s="219"/>
    </row>
    <row r="11" spans="1:15" ht="12" customHeight="1">
      <c r="A11" s="8" t="s">
        <v>138</v>
      </c>
      <c r="B11" s="14"/>
      <c r="C11" s="14"/>
      <c r="D11" s="6" t="s">
        <v>7</v>
      </c>
      <c r="E11" s="167">
        <f>INDEX(LEVY41C_PY,DATA!A1)</f>
        <v>0</v>
      </c>
      <c r="F11" s="7"/>
      <c r="G11" s="80" t="s">
        <v>12</v>
      </c>
      <c r="H11" s="14" t="s">
        <v>187</v>
      </c>
      <c r="I11" s="9" t="s">
        <v>13</v>
      </c>
      <c r="J11" s="22" t="e">
        <f>ROUND(I12+I13,0)</f>
        <v>#VALUE!</v>
      </c>
      <c r="L11" s="217"/>
      <c r="M11" s="218"/>
      <c r="N11" s="218"/>
      <c r="O11" s="219"/>
    </row>
    <row r="12" spans="1:15" ht="12" customHeight="1">
      <c r="A12" s="8" t="s">
        <v>139</v>
      </c>
      <c r="B12" s="14"/>
      <c r="C12" s="14"/>
      <c r="D12" s="18" t="s">
        <v>11</v>
      </c>
      <c r="E12" s="167">
        <f>INDEX(AIDPENPY,DATA!A1)</f>
        <v>0</v>
      </c>
      <c r="F12" s="7"/>
      <c r="G12" s="87" t="s">
        <v>15</v>
      </c>
      <c r="H12" s="130" t="s">
        <v>186</v>
      </c>
      <c r="I12" s="22" t="e">
        <f>J9*J10</f>
        <v>#VALUE!</v>
      </c>
      <c r="J12" s="175"/>
      <c r="L12" s="217"/>
      <c r="M12" s="218"/>
      <c r="N12" s="218"/>
      <c r="O12" s="219"/>
    </row>
    <row r="13" spans="1:15" ht="12" customHeight="1" thickBot="1">
      <c r="A13" s="160" t="s">
        <v>171</v>
      </c>
      <c r="B13" s="19"/>
      <c r="C13" s="19"/>
      <c r="D13" s="19"/>
      <c r="E13" s="112"/>
      <c r="F13" s="7"/>
      <c r="G13" s="87" t="s">
        <v>16</v>
      </c>
      <c r="H13" s="130" t="s">
        <v>190</v>
      </c>
      <c r="I13" s="176" t="e">
        <f>IF(AND(E4&gt;0,D31&gt;0,(J9*J10)&lt;E4),E4-I12,0)</f>
        <v>#VALUE!</v>
      </c>
      <c r="J13" s="175"/>
      <c r="L13" s="220"/>
      <c r="M13" s="221"/>
      <c r="N13" s="221"/>
      <c r="O13" s="222"/>
    </row>
    <row r="14" spans="1:15" ht="12" customHeight="1" thickTop="1">
      <c r="A14" s="161" t="s">
        <v>166</v>
      </c>
      <c r="D14" s="165" t="s">
        <v>11</v>
      </c>
      <c r="E14" s="168">
        <f>INDEX(line7xtr_py,DATA!A1)</f>
        <v>0</v>
      </c>
      <c r="F14" s="7"/>
      <c r="G14" s="80" t="s">
        <v>14</v>
      </c>
      <c r="H14" s="14" t="s">
        <v>193</v>
      </c>
      <c r="I14" s="9" t="s">
        <v>13</v>
      </c>
      <c r="J14" s="83">
        <f>IF(E4&gt;0,I16+I17+I18+I19+I20,"")</f>
      </c>
      <c r="L14" s="137"/>
      <c r="M14" s="24"/>
      <c r="N14" s="24"/>
      <c r="O14" s="138"/>
    </row>
    <row r="15" spans="1:15" ht="12" customHeight="1">
      <c r="A15" s="8" t="s">
        <v>140</v>
      </c>
      <c r="B15" s="14"/>
      <c r="C15" s="14"/>
      <c r="D15" s="18" t="s">
        <v>11</v>
      </c>
      <c r="E15" s="169">
        <f>INDEX(PYREFNON,DATA!A1)</f>
        <v>0</v>
      </c>
      <c r="F15" s="7"/>
      <c r="G15" s="7"/>
      <c r="H15" s="14" t="s">
        <v>157</v>
      </c>
      <c r="I15" s="167">
        <f>INDEX(UNUSEDPY,DATA!A1)</f>
        <v>0</v>
      </c>
      <c r="J15" s="113"/>
      <c r="L15" s="139" t="s">
        <v>125</v>
      </c>
      <c r="M15" s="140">
        <f>INDEX(LEVY10C_CY,DATA!A1)</f>
        <v>0</v>
      </c>
      <c r="N15" s="24"/>
      <c r="O15" s="138"/>
    </row>
    <row r="16" spans="1:15" ht="12" customHeight="1">
      <c r="A16" s="8" t="s">
        <v>141</v>
      </c>
      <c r="B16" s="14"/>
      <c r="C16" s="14"/>
      <c r="D16" s="18" t="s">
        <v>11</v>
      </c>
      <c r="E16" s="169">
        <f>INDEX(DECLINPY,DATA!A1)</f>
        <v>0</v>
      </c>
      <c r="F16" s="7"/>
      <c r="G16" s="86" t="s">
        <v>15</v>
      </c>
      <c r="H16" s="14" t="s">
        <v>194</v>
      </c>
      <c r="I16" s="22">
        <f>IF(E4&gt;0,ROUND((1*I15),0),"")</f>
      </c>
      <c r="J16" s="113"/>
      <c r="L16" s="139" t="s">
        <v>126</v>
      </c>
      <c r="M16" s="141">
        <f>INDEX(simlevy38c_cy,DATA!A1)</f>
        <v>0</v>
      </c>
      <c r="N16" s="24"/>
      <c r="O16" s="138"/>
    </row>
    <row r="17" spans="1:15" ht="13.5" customHeight="1">
      <c r="A17" s="8" t="s">
        <v>142</v>
      </c>
      <c r="B17" s="14"/>
      <c r="C17" s="14"/>
      <c r="D17" s="23" t="s">
        <v>11</v>
      </c>
      <c r="E17" s="169">
        <f>INDEX(OTH_NONP,DATA!A1)</f>
        <v>0</v>
      </c>
      <c r="F17" s="24"/>
      <c r="G17" s="86" t="s">
        <v>16</v>
      </c>
      <c r="H17" s="14" t="s">
        <v>195</v>
      </c>
      <c r="I17" s="167">
        <f>INDEX(SERVICE,DATA!A1)</f>
        <v>0</v>
      </c>
      <c r="J17" s="113"/>
      <c r="L17" s="139" t="s">
        <v>127</v>
      </c>
      <c r="M17" s="142">
        <f>INDEX(LEVY41C_CY,DATA!A1)</f>
        <v>0</v>
      </c>
      <c r="N17" s="24"/>
      <c r="O17" s="138"/>
    </row>
    <row r="18" spans="1:15" ht="13.5" customHeight="1">
      <c r="A18" s="192" t="s">
        <v>172</v>
      </c>
      <c r="B18" s="193"/>
      <c r="C18" s="193"/>
      <c r="D18" s="193"/>
      <c r="E18" s="193"/>
      <c r="F18" s="2"/>
      <c r="G18" s="86" t="s">
        <v>17</v>
      </c>
      <c r="H18" s="14" t="s">
        <v>196</v>
      </c>
      <c r="I18" s="169">
        <f>INDEX(REORG,DATA!A1)</f>
        <v>0</v>
      </c>
      <c r="J18" s="113"/>
      <c r="L18" s="139"/>
      <c r="M18" s="143">
        <f>SUM(M15:M17)</f>
        <v>0</v>
      </c>
      <c r="N18" s="24"/>
      <c r="O18" s="138"/>
    </row>
    <row r="19" spans="1:15" ht="12" customHeight="1">
      <c r="A19" s="188" t="s">
        <v>68</v>
      </c>
      <c r="B19" s="189"/>
      <c r="C19" s="189"/>
      <c r="D19" s="189"/>
      <c r="E19" s="24"/>
      <c r="F19" s="7"/>
      <c r="G19" s="86" t="s">
        <v>18</v>
      </c>
      <c r="H19" s="14" t="s">
        <v>158</v>
      </c>
      <c r="I19" s="169">
        <f>INDEX(impex_cy,DATA!A1)</f>
        <v>0</v>
      </c>
      <c r="J19" s="113"/>
      <c r="L19" s="139"/>
      <c r="M19" s="24"/>
      <c r="N19" s="24"/>
      <c r="O19" s="138"/>
    </row>
    <row r="20" spans="1:15" ht="12" customHeight="1">
      <c r="A20" s="27" t="s">
        <v>143</v>
      </c>
      <c r="B20" s="28"/>
      <c r="C20" s="29"/>
      <c r="D20" s="7"/>
      <c r="E20" s="30">
        <f>INDEX(avgmempy,DATA!A1)</f>
        <v>0</v>
      </c>
      <c r="F20" s="31"/>
      <c r="G20" s="86" t="s">
        <v>19</v>
      </c>
      <c r="H20" s="14" t="s">
        <v>197</v>
      </c>
      <c r="I20" s="167">
        <f>INDEX(REFRCY,DATA!A1)</f>
        <v>0</v>
      </c>
      <c r="J20" s="114"/>
      <c r="L20" s="139" t="s">
        <v>128</v>
      </c>
      <c r="M20" s="140">
        <f>INDEX(CHGBACK_CY,DATA!A1)</f>
        <v>0</v>
      </c>
      <c r="N20" s="24"/>
      <c r="O20" s="138"/>
    </row>
    <row r="21" spans="1:15" s="33" customFormat="1" ht="12" customHeight="1">
      <c r="A21" s="12"/>
      <c r="B21" s="21">
        <v>2005</v>
      </c>
      <c r="C21" s="78">
        <v>2006</v>
      </c>
      <c r="D21" s="21">
        <v>2007</v>
      </c>
      <c r="E21" s="32"/>
      <c r="F21" s="2"/>
      <c r="G21" s="38" t="s">
        <v>20</v>
      </c>
      <c r="H21" s="14" t="s">
        <v>198</v>
      </c>
      <c r="I21" s="177" t="s">
        <v>13</v>
      </c>
      <c r="J21" s="22" t="e">
        <f>ROUND((IF(AND(E4&gt;0,D31&gt;0),J11+J14,"")),0)</f>
        <v>#VALUE!</v>
      </c>
      <c r="L21" s="139" t="s">
        <v>129</v>
      </c>
      <c r="M21" s="141">
        <f>INDEX(simlevy39c_cy,DATA!A1)</f>
        <v>0</v>
      </c>
      <c r="N21" s="24"/>
      <c r="O21" s="138"/>
    </row>
    <row r="22" spans="1:15" s="33" customFormat="1" ht="12" customHeight="1">
      <c r="A22" s="34" t="s">
        <v>21</v>
      </c>
      <c r="B22" s="133">
        <f>INDEX(SUMM05,DATA!A1)</f>
        <v>0</v>
      </c>
      <c r="C22" s="134">
        <f>INDEX(SUMM06,DATA!A1)</f>
        <v>0</v>
      </c>
      <c r="D22" s="120">
        <f>INDEX(SUMM07,DATA!A1)</f>
        <v>0</v>
      </c>
      <c r="E22"/>
      <c r="F22" s="2"/>
      <c r="G22" s="81" t="s">
        <v>22</v>
      </c>
      <c r="H22" s="14" t="s">
        <v>159</v>
      </c>
      <c r="I22" s="9" t="s">
        <v>13</v>
      </c>
      <c r="J22" s="22" t="e">
        <f>ROUND((IF(AND(E4&gt;0,D31&gt;0),SUM(I23:I25),"")),0)</f>
        <v>#VALUE!</v>
      </c>
      <c r="L22" s="139" t="s">
        <v>130</v>
      </c>
      <c r="M22" s="141">
        <f>INDEX(LEVY80C_CY,DATA!A1)</f>
        <v>0</v>
      </c>
      <c r="N22" s="24"/>
      <c r="O22" s="138"/>
    </row>
    <row r="23" spans="1:15" s="33" customFormat="1" ht="12" customHeight="1">
      <c r="A23" s="12" t="s">
        <v>65</v>
      </c>
      <c r="B23" s="37">
        <f>IF(D9&gt;0,ROUND((0.4*B22),0),"")</f>
        <v>0</v>
      </c>
      <c r="C23" s="37">
        <f>ROUND((0.4*C22),0)</f>
        <v>0</v>
      </c>
      <c r="D23" s="22">
        <f>ROUND((0.4*D22),0)</f>
        <v>0</v>
      </c>
      <c r="E23" s="35" t="s">
        <v>55</v>
      </c>
      <c r="F23" s="2"/>
      <c r="G23" s="88" t="s">
        <v>15</v>
      </c>
      <c r="H23" s="14" t="s">
        <v>160</v>
      </c>
      <c r="I23" s="167">
        <f>INDEX(REFNRCY,DATA!A1)</f>
        <v>0</v>
      </c>
      <c r="J23" s="40"/>
      <c r="L23" s="139" t="s">
        <v>131</v>
      </c>
      <c r="M23" s="142">
        <f>INDEX(speclevy_cy,DATA!A1)</f>
        <v>0</v>
      </c>
      <c r="N23" s="24"/>
      <c r="O23" s="138"/>
    </row>
    <row r="24" spans="1:15" s="33" customFormat="1" ht="12" customHeight="1">
      <c r="A24" s="39" t="s">
        <v>66</v>
      </c>
      <c r="B24" s="119">
        <f>INDEX(fte3rd05,DATA!A1)</f>
        <v>0</v>
      </c>
      <c r="C24" s="118">
        <f>INDEX(fte3rd06,DATA!A1)</f>
        <v>0</v>
      </c>
      <c r="D24" s="170">
        <f>INDEX(fte3rd07,DATA!A1)</f>
        <v>0</v>
      </c>
      <c r="E24"/>
      <c r="F24" s="2"/>
      <c r="G24" s="88" t="s">
        <v>16</v>
      </c>
      <c r="H24" s="14" t="s">
        <v>161</v>
      </c>
      <c r="I24" s="22">
        <f>IF(E20=E27,"",E34)</f>
      </c>
      <c r="J24" s="42"/>
      <c r="L24" s="139"/>
      <c r="M24" s="144" t="s">
        <v>55</v>
      </c>
      <c r="N24" s="24"/>
      <c r="O24" s="138"/>
    </row>
    <row r="25" spans="1:15" s="33" customFormat="1" ht="12" customHeight="1">
      <c r="A25" s="110" t="s">
        <v>67</v>
      </c>
      <c r="B25" s="41">
        <f>B23+B24</f>
        <v>0</v>
      </c>
      <c r="C25" s="41">
        <f>C23+C24</f>
        <v>0</v>
      </c>
      <c r="D25" s="41">
        <f>D23+D24</f>
        <v>0</v>
      </c>
      <c r="E25" s="35" t="s">
        <v>55</v>
      </c>
      <c r="F25" s="2"/>
      <c r="G25" s="88" t="s">
        <v>17</v>
      </c>
      <c r="H25" s="14" t="s">
        <v>49</v>
      </c>
      <c r="I25" s="167"/>
      <c r="L25" s="145" t="s">
        <v>132</v>
      </c>
      <c r="M25" s="143">
        <f>M18+M20+M21+M22+M23</f>
        <v>0</v>
      </c>
      <c r="N25" s="19"/>
      <c r="O25" s="146"/>
    </row>
    <row r="26" spans="1:15" s="33" customFormat="1" ht="12" customHeight="1">
      <c r="A26" s="43"/>
      <c r="B26" s="2"/>
      <c r="C26" s="44"/>
      <c r="D26" s="2"/>
      <c r="E26" s="2"/>
      <c r="F26" s="2"/>
      <c r="G26" s="38" t="s">
        <v>23</v>
      </c>
      <c r="H26" s="14" t="s">
        <v>162</v>
      </c>
      <c r="I26" s="17"/>
      <c r="J26" s="22">
        <f>IF(AND(E4&gt;0,D31&gt;0),MAX((J21+J22),0),"")</f>
      </c>
      <c r="L26" s="145"/>
      <c r="M26" s="19"/>
      <c r="N26" s="19"/>
      <c r="O26" s="146"/>
    </row>
    <row r="27" spans="1:15" s="33" customFormat="1" ht="11.25" customHeight="1" thickBot="1">
      <c r="A27" s="45" t="s">
        <v>144</v>
      </c>
      <c r="B27" s="2"/>
      <c r="C27" s="5"/>
      <c r="D27" s="2"/>
      <c r="E27" s="30">
        <f>IF(D31&gt;0,ROUND(((B32+C32+D32)/2),0),0)</f>
        <v>0</v>
      </c>
      <c r="F27" s="46"/>
      <c r="G27" s="38" t="s">
        <v>24</v>
      </c>
      <c r="H27" s="130" t="s">
        <v>120</v>
      </c>
      <c r="I27" s="17"/>
      <c r="J27" s="22">
        <f>I28+I29</f>
        <v>0</v>
      </c>
      <c r="L27" s="147" t="s">
        <v>133</v>
      </c>
      <c r="M27" s="148" t="e">
        <f>ROUND((ROUND(($M$25/$E$45),8))*$E$44,0)</f>
        <v>#DIV/0!</v>
      </c>
      <c r="N27" s="149" t="s">
        <v>134</v>
      </c>
      <c r="O27" s="150"/>
    </row>
    <row r="28" spans="1:15" s="33" customFormat="1" ht="12" customHeight="1" thickBot="1">
      <c r="A28" s="12"/>
      <c r="B28" s="21">
        <v>2006</v>
      </c>
      <c r="C28" s="78">
        <v>2007</v>
      </c>
      <c r="D28" s="21">
        <v>2008</v>
      </c>
      <c r="E28" s="47"/>
      <c r="F28" s="2"/>
      <c r="G28" s="131" t="s">
        <v>15</v>
      </c>
      <c r="H28" s="173" t="s">
        <v>200</v>
      </c>
      <c r="I28" s="132">
        <f>INDEX(TRGAIDCY,DATA!A1)</f>
        <v>0</v>
      </c>
      <c r="J28" s="43"/>
      <c r="L28" s="210" t="s">
        <v>135</v>
      </c>
      <c r="M28" s="211"/>
      <c r="N28" s="211"/>
      <c r="O28" s="212"/>
    </row>
    <row r="29" spans="1:15" s="33" customFormat="1" ht="12" customHeight="1" thickTop="1">
      <c r="A29" s="34" t="s">
        <v>21</v>
      </c>
      <c r="B29" s="171">
        <f aca="true" t="shared" si="0" ref="B29:C32">C22</f>
        <v>0</v>
      </c>
      <c r="C29" s="164">
        <f t="shared" si="0"/>
        <v>0</v>
      </c>
      <c r="D29" s="179">
        <f>INDEX(summ08,DATA!A1)</f>
        <v>0</v>
      </c>
      <c r="E29" s="35" t="s">
        <v>55</v>
      </c>
      <c r="F29" s="2"/>
      <c r="G29" s="131" t="s">
        <v>16</v>
      </c>
      <c r="H29" s="130" t="s">
        <v>121</v>
      </c>
      <c r="I29" s="37">
        <f>INDEX(HIPOV,DATA!A1)</f>
        <v>0</v>
      </c>
      <c r="J29" s="43"/>
      <c r="L29" s="151">
        <f>IF($M$25&gt;0,IF(($M$18)&gt;($J$31-$M$27),"You have overlevied by:",0),"")</f>
      </c>
      <c r="M29" s="24"/>
      <c r="N29" s="152">
        <f>IF($M$25&gt;0,IF(($M$18)&gt;($J$31-$M$27),(($J$31-($M$18+$M$27))*-1),0),"")</f>
      </c>
      <c r="O29" s="138"/>
    </row>
    <row r="30" spans="1:15" s="33" customFormat="1" ht="12" customHeight="1">
      <c r="A30" s="12" t="s">
        <v>65</v>
      </c>
      <c r="B30" s="48">
        <f t="shared" si="0"/>
        <v>0</v>
      </c>
      <c r="C30" s="22">
        <f t="shared" si="0"/>
        <v>0</v>
      </c>
      <c r="D30" s="93">
        <f>ROUND((0.4*D29),0)</f>
        <v>0</v>
      </c>
      <c r="E30" s="35" t="s">
        <v>55</v>
      </c>
      <c r="F30" s="2"/>
      <c r="G30" s="129"/>
      <c r="H30" s="174">
        <f>INDEX(EXCLMESS,DATA!A1)</f>
        <v>0</v>
      </c>
      <c r="I30" s="129"/>
      <c r="J30" s="43"/>
      <c r="L30" s="151">
        <f>IF($M$25&gt;0,IF((($M$18+$M$27)&lt;=$J$31)*AND(($M$18)&lt;($J$31-$M$27)),"You have underlevied by:",0),"")</f>
      </c>
      <c r="M30" s="56"/>
      <c r="N30" s="152">
        <f>IF($M$25&gt;0,IF(($J$33&lt;=$J$31)*AND(($M$18)&lt;($J$31-$M$27)),($J$31-($M$18+$M$27)),0),"")</f>
      </c>
      <c r="O30" s="138"/>
    </row>
    <row r="31" spans="1:15" s="33" customFormat="1" ht="12" customHeight="1">
      <c r="A31" s="39" t="s">
        <v>66</v>
      </c>
      <c r="B31" s="171">
        <f t="shared" si="0"/>
        <v>0</v>
      </c>
      <c r="C31" s="164">
        <f t="shared" si="0"/>
        <v>0</v>
      </c>
      <c r="D31" s="179">
        <f>INDEX(fte3rd08,DATA!A1)</f>
        <v>0</v>
      </c>
      <c r="E31" s="95" t="s">
        <v>55</v>
      </c>
      <c r="F31" s="2"/>
      <c r="G31" s="50" t="s">
        <v>25</v>
      </c>
      <c r="H31" s="21" t="s">
        <v>59</v>
      </c>
      <c r="I31" s="17"/>
      <c r="J31" s="51">
        <f>IF(AND(E4&gt;0,D31),MAX((J26-J27),0),"")</f>
      </c>
      <c r="L31" s="151">
        <f>IF($M$25&gt;0,IF(($M$18)=($J$31-$M$27),"You have levied to your maximum.",0),"")</f>
      </c>
      <c r="M31" s="24"/>
      <c r="N31" s="24"/>
      <c r="O31" s="138"/>
    </row>
    <row r="32" spans="1:15" s="33" customFormat="1" ht="12" customHeight="1">
      <c r="A32" s="111" t="s">
        <v>67</v>
      </c>
      <c r="B32" s="37">
        <f t="shared" si="0"/>
        <v>0</v>
      </c>
      <c r="C32" s="41">
        <f t="shared" si="0"/>
        <v>0</v>
      </c>
      <c r="D32" s="41">
        <f>D30+D31</f>
        <v>0</v>
      </c>
      <c r="E32" s="94" t="s">
        <v>55</v>
      </c>
      <c r="F32" s="2"/>
      <c r="G32" s="46"/>
      <c r="H32" s="8" t="s">
        <v>60</v>
      </c>
      <c r="I32" s="17"/>
      <c r="J32" s="98">
        <f>IF(J33&gt;J31,"EXCEEDS LIMIT","")</f>
      </c>
      <c r="L32" s="137"/>
      <c r="M32" s="24"/>
      <c r="N32" s="24"/>
      <c r="O32" s="138"/>
    </row>
    <row r="33" spans="1:15" ht="12" customHeight="1">
      <c r="A33" s="213" t="str">
        <f>IF(D31=0,"Please enter a projected Fall, 2008 Membership number.","")</f>
        <v>Please enter a projected Fall, 2008 Membership number.</v>
      </c>
      <c r="B33" s="213"/>
      <c r="C33" s="213"/>
      <c r="D33" s="213"/>
      <c r="E33" s="213"/>
      <c r="F33" s="7"/>
      <c r="G33" s="50" t="s">
        <v>26</v>
      </c>
      <c r="H33" s="21" t="s">
        <v>57</v>
      </c>
      <c r="I33" s="91" t="s">
        <v>54</v>
      </c>
      <c r="J33" s="4">
        <f>IF(E4&gt;0,I35+I36+I37,"")</f>
      </c>
      <c r="L33" s="153">
        <f>IF($M$25&gt;0,IF(((($N$30&gt;0)*AND($J$22=0))),"All of your underlevy is eligible for carryover.",0),"")</f>
      </c>
      <c r="M33" s="24"/>
      <c r="N33" s="24"/>
      <c r="O33" s="138"/>
    </row>
    <row r="34" spans="1:15" ht="12" customHeight="1">
      <c r="A34" s="45" t="s">
        <v>28</v>
      </c>
      <c r="B34" s="53"/>
      <c r="C34" s="20"/>
      <c r="D34" s="54"/>
      <c r="E34" s="4">
        <f>IF(E39&gt;0,E39,"")</f>
      </c>
      <c r="F34" s="7"/>
      <c r="G34" s="2"/>
      <c r="H34" s="3" t="s">
        <v>27</v>
      </c>
      <c r="I34" s="99"/>
      <c r="J34" s="100"/>
      <c r="L34" s="137"/>
      <c r="O34" s="138"/>
    </row>
    <row r="35" spans="1:15" ht="12" customHeight="1">
      <c r="A35" s="55"/>
      <c r="B35" s="56"/>
      <c r="C35" s="57"/>
      <c r="D35" s="24"/>
      <c r="E35" s="24"/>
      <c r="F35" s="58"/>
      <c r="G35" s="88" t="s">
        <v>15</v>
      </c>
      <c r="H35" s="2" t="s">
        <v>50</v>
      </c>
      <c r="I35" s="172" t="e">
        <f>M15+M27</f>
        <v>#DIV/0!</v>
      </c>
      <c r="J35" s="101" t="s">
        <v>62</v>
      </c>
      <c r="L35" s="200">
        <f>IF($M$25&gt;0,IF((($N$30&gt;0)*AND($J$22&gt;0)*AND($N$30&gt;$J$22)),"Because you had a non-recurring exemption this year, the eligible carryover would be the underlevy minus Line 10:",0),"")</f>
      </c>
      <c r="M35" s="201"/>
      <c r="N35" s="154"/>
      <c r="O35" s="138"/>
    </row>
    <row r="36" spans="1:15" ht="12" customHeight="1">
      <c r="A36" s="12" t="s">
        <v>31</v>
      </c>
      <c r="B36" s="19"/>
      <c r="C36" s="59"/>
      <c r="D36" s="17"/>
      <c r="E36" s="22">
        <f>IF(E20&gt;E27,(E20-E27),"")</f>
      </c>
      <c r="F36" s="58"/>
      <c r="G36" s="86" t="s">
        <v>16</v>
      </c>
      <c r="H36" s="2" t="s">
        <v>29</v>
      </c>
      <c r="I36" s="167">
        <f>M16</f>
        <v>0</v>
      </c>
      <c r="J36" s="76" t="s">
        <v>58</v>
      </c>
      <c r="L36" s="200"/>
      <c r="M36" s="201"/>
      <c r="N36" s="154"/>
      <c r="O36" s="146"/>
    </row>
    <row r="37" spans="1:15" ht="12" customHeight="1">
      <c r="A37" s="12"/>
      <c r="B37" s="24"/>
      <c r="C37" s="60" t="s">
        <v>91</v>
      </c>
      <c r="D37" s="61" t="s">
        <v>32</v>
      </c>
      <c r="E37" s="22">
        <f>IF(E20&gt;E27,ROUND((1*E36),0),"")</f>
      </c>
      <c r="F37" s="7"/>
      <c r="G37" s="86" t="s">
        <v>17</v>
      </c>
      <c r="H37" s="2" t="s">
        <v>30</v>
      </c>
      <c r="I37" s="167">
        <f>M17</f>
        <v>0</v>
      </c>
      <c r="J37" s="76" t="s">
        <v>58</v>
      </c>
      <c r="L37" s="200"/>
      <c r="M37" s="201"/>
      <c r="N37" s="154"/>
      <c r="O37" s="146"/>
    </row>
    <row r="38" spans="1:15" ht="12" customHeight="1">
      <c r="A38" s="11" t="s">
        <v>145</v>
      </c>
      <c r="B38" s="19"/>
      <c r="C38" s="15"/>
      <c r="D38" s="62"/>
      <c r="E38" s="63">
        <f>IF((E20&gt;E27),J9,"")</f>
      </c>
      <c r="F38" s="7"/>
      <c r="G38" s="58" t="s">
        <v>33</v>
      </c>
      <c r="H38" s="2" t="s">
        <v>34</v>
      </c>
      <c r="I38" s="44" t="s">
        <v>56</v>
      </c>
      <c r="J38" s="22">
        <f>IF(E4&gt;0,I39+I40+I41+I42,"")</f>
      </c>
      <c r="L38" s="200"/>
      <c r="M38" s="201"/>
      <c r="N38" s="154"/>
      <c r="O38" s="155"/>
    </row>
    <row r="39" spans="1:15" ht="12" customHeight="1">
      <c r="A39" s="12" t="s">
        <v>48</v>
      </c>
      <c r="B39" s="19"/>
      <c r="C39" s="5"/>
      <c r="D39" s="36"/>
      <c r="E39" s="22">
        <f>IF((E20&gt;E27),ROUND((E37*E38),0),"")</f>
      </c>
      <c r="F39" s="79"/>
      <c r="G39" s="86" t="s">
        <v>15</v>
      </c>
      <c r="H39" s="14" t="s">
        <v>63</v>
      </c>
      <c r="I39" s="167">
        <f>M21</f>
        <v>0</v>
      </c>
      <c r="J39" s="77">
        <f>IF(I39="","Entry Required","")</f>
      </c>
      <c r="L39" s="200"/>
      <c r="M39" s="201"/>
      <c r="N39" s="156">
        <f>IF($M$25&gt;0,IF(((($N$30&gt;0)*AND($J$22&gt;0)*AND($N$30&gt;$J$22))),($N$30-$J$22),0),"")</f>
      </c>
      <c r="O39" s="146"/>
    </row>
    <row r="40" spans="1:15" ht="12" customHeight="1">
      <c r="A40" s="55"/>
      <c r="B40" s="24"/>
      <c r="C40" s="24"/>
      <c r="D40" s="24"/>
      <c r="E40" s="24"/>
      <c r="F40" s="7"/>
      <c r="G40" s="87" t="s">
        <v>16</v>
      </c>
      <c r="H40" s="1" t="s">
        <v>61</v>
      </c>
      <c r="I40" s="167">
        <f>M22</f>
        <v>0</v>
      </c>
      <c r="J40" s="76" t="s">
        <v>58</v>
      </c>
      <c r="L40" s="157"/>
      <c r="M40" s="33"/>
      <c r="N40" s="33"/>
      <c r="O40" s="146"/>
    </row>
    <row r="41" spans="1:15" ht="12" customHeight="1">
      <c r="A41" s="45" t="s">
        <v>37</v>
      </c>
      <c r="B41" s="24"/>
      <c r="C41" s="25"/>
      <c r="D41" s="64"/>
      <c r="E41" s="4" t="e">
        <f>IF(E4&lt;&gt;"",ROUND(E44*(ROUND((J43/E46),8)),0),"")</f>
        <v>#VALUE!</v>
      </c>
      <c r="F41" s="24"/>
      <c r="G41" s="86" t="s">
        <v>17</v>
      </c>
      <c r="H41" s="2" t="s">
        <v>52</v>
      </c>
      <c r="I41" s="169">
        <f>M20</f>
        <v>0</v>
      </c>
      <c r="J41" s="76" t="s">
        <v>58</v>
      </c>
      <c r="L41" s="200">
        <f>IF($M$25&gt;0,IF((($N$30&gt;0)*AND($J$22&gt;0)*AND($N$30&lt;$J$22)),"Because your underlevy is less than your non-recurring exemptions, there is no carryover.",0),"")</f>
      </c>
      <c r="M41" s="201"/>
      <c r="N41" s="156"/>
      <c r="O41" s="155"/>
    </row>
    <row r="42" spans="1:15" ht="12" customHeight="1">
      <c r="A42" s="55"/>
      <c r="B42" s="65" t="s">
        <v>38</v>
      </c>
      <c r="C42" s="20"/>
      <c r="D42" s="19"/>
      <c r="E42" s="66" t="s">
        <v>39</v>
      </c>
      <c r="F42" s="24"/>
      <c r="G42" s="86" t="s">
        <v>18</v>
      </c>
      <c r="H42" s="2" t="s">
        <v>53</v>
      </c>
      <c r="I42" s="167">
        <f>M23</f>
        <v>0</v>
      </c>
      <c r="J42" s="76" t="s">
        <v>58</v>
      </c>
      <c r="L42" s="200"/>
      <c r="M42" s="201"/>
      <c r="N42" s="156"/>
      <c r="O42" s="155"/>
    </row>
    <row r="43" spans="1:15" ht="12" customHeight="1">
      <c r="A43" s="205" t="s">
        <v>146</v>
      </c>
      <c r="B43" s="206"/>
      <c r="C43" s="206"/>
      <c r="D43" s="108" t="str">
        <f>IF((AND(E44&lt;&gt;"",E45&gt;0,E45&gt;E44)),"","         Entry Incomplete or Incorrect")</f>
        <v>         Entry Incomplete or Incorrect</v>
      </c>
      <c r="E43" s="24"/>
      <c r="F43" s="24"/>
      <c r="G43" s="58" t="s">
        <v>35</v>
      </c>
      <c r="H43" s="2" t="s">
        <v>36</v>
      </c>
      <c r="I43" s="92"/>
      <c r="J43" s="22">
        <f>IF(E4&gt;0,J33+J38,"")</f>
      </c>
      <c r="L43" s="200"/>
      <c r="M43" s="201"/>
      <c r="N43" s="24"/>
      <c r="O43" s="138"/>
    </row>
    <row r="44" spans="1:15" s="33" customFormat="1" ht="12" customHeight="1">
      <c r="A44" s="11" t="s">
        <v>147</v>
      </c>
      <c r="B44" s="19"/>
      <c r="C44" s="20"/>
      <c r="D44" s="67" t="s">
        <v>43</v>
      </c>
      <c r="E44" s="167">
        <f>INDEX(compval,DATA!A1)</f>
        <v>0</v>
      </c>
      <c r="F44" s="68" t="s">
        <v>7</v>
      </c>
      <c r="G44" s="58" t="s">
        <v>40</v>
      </c>
      <c r="H44" s="46" t="s">
        <v>41</v>
      </c>
      <c r="I44" s="22" t="e">
        <f>E41</f>
        <v>#VALUE!</v>
      </c>
      <c r="J44" s="76" t="s">
        <v>58</v>
      </c>
      <c r="L44" s="200"/>
      <c r="M44" s="201"/>
      <c r="N44" s="19"/>
      <c r="O44" s="146"/>
    </row>
    <row r="45" spans="1:15" s="33" customFormat="1" ht="12" customHeight="1" thickBot="1">
      <c r="A45" s="11" t="s">
        <v>148</v>
      </c>
      <c r="B45" s="19"/>
      <c r="C45" s="20"/>
      <c r="D45" s="19"/>
      <c r="E45" s="167">
        <f>INDEX(tifoutcy,DATA!A1)</f>
        <v>0</v>
      </c>
      <c r="F45" s="68" t="s">
        <v>7</v>
      </c>
      <c r="G45" s="102" t="s">
        <v>42</v>
      </c>
      <c r="H45" s="21" t="s">
        <v>163</v>
      </c>
      <c r="I45" s="22" t="e">
        <f>IF((E4&gt;0)*AND(E41&lt;&gt;""),I35-I44,"")</f>
        <v>#VALUE!</v>
      </c>
      <c r="J45" s="103" t="s">
        <v>58</v>
      </c>
      <c r="L45" s="202"/>
      <c r="M45" s="203"/>
      <c r="N45" s="158"/>
      <c r="O45" s="159"/>
    </row>
    <row r="46" spans="1:10" s="33" customFormat="1" ht="11.25" customHeight="1" thickTop="1">
      <c r="A46" s="11" t="s">
        <v>149</v>
      </c>
      <c r="B46" s="19"/>
      <c r="C46" s="20"/>
      <c r="D46" s="19"/>
      <c r="E46" s="22">
        <f>IF((AND(E44&lt;&gt;"",E45&lt;&gt;"",E45&gt;E44)),E44+E45,"")</f>
      </c>
      <c r="F46" s="68" t="s">
        <v>3</v>
      </c>
      <c r="G46" s="136" t="s">
        <v>122</v>
      </c>
      <c r="H46" s="135"/>
      <c r="I46" s="36"/>
      <c r="J46" s="82" t="str">
        <f>IF(E46="","Enter Line 17 A&amp;B Values","")</f>
        <v>Enter Line 17 A&amp;B Values</v>
      </c>
    </row>
    <row r="47" spans="1:10" ht="12" customHeight="1">
      <c r="A47" s="69" t="s">
        <v>45</v>
      </c>
      <c r="B47" s="24"/>
      <c r="C47" s="26"/>
      <c r="D47" s="24"/>
      <c r="E47" s="24"/>
      <c r="F47" s="24"/>
      <c r="G47" s="52" t="s">
        <v>44</v>
      </c>
      <c r="H47" s="54" t="s">
        <v>165</v>
      </c>
      <c r="I47" s="36"/>
      <c r="J47" s="4" t="e">
        <f>IF((E4&gt;0)*AND(E41&lt;&gt;""),I36+I37+J38+I45,"")</f>
        <v>#VALUE!</v>
      </c>
    </row>
    <row r="48" spans="1:10" ht="11.25" customHeight="1">
      <c r="A48" s="70" t="s">
        <v>47</v>
      </c>
      <c r="B48" s="24"/>
      <c r="C48" s="26"/>
      <c r="D48" s="24"/>
      <c r="E48" s="24"/>
      <c r="F48" s="24"/>
      <c r="G48" s="19"/>
      <c r="H48" s="49" t="s">
        <v>64</v>
      </c>
      <c r="I48" s="17"/>
      <c r="J48" s="71" t="e">
        <f>IF(E45&lt;&gt;"",(J47/E45),"")</f>
        <v>#VALUE!</v>
      </c>
    </row>
    <row r="49" spans="1:10" ht="11.25" customHeight="1">
      <c r="A49" s="70"/>
      <c r="B49" s="24"/>
      <c r="C49" s="24"/>
      <c r="D49" s="24"/>
      <c r="E49" s="24"/>
      <c r="F49" s="24"/>
      <c r="G49" s="72" t="s">
        <v>46</v>
      </c>
      <c r="H49" s="14" t="s">
        <v>51</v>
      </c>
      <c r="I49" s="73">
        <f>IF(E4&gt;0,I36+I39,"")</f>
      </c>
      <c r="J49" s="76" t="s">
        <v>58</v>
      </c>
    </row>
    <row r="50" spans="1:10" ht="11.25" customHeight="1">
      <c r="A50" s="183">
        <f ca="1">NOW()</f>
        <v>39953.6548125</v>
      </c>
      <c r="B50" s="105"/>
      <c r="C50" s="105"/>
      <c r="D50" s="105"/>
      <c r="E50" s="105"/>
      <c r="F50" s="105"/>
      <c r="G50" s="105"/>
      <c r="H50" s="106"/>
      <c r="I50" s="107"/>
      <c r="J50" s="117" t="s">
        <v>164</v>
      </c>
    </row>
    <row r="51" s="104" customFormat="1" ht="11.25"/>
  </sheetData>
  <sheetProtection selectLockedCells="1"/>
  <mergeCells count="15">
    <mergeCell ref="L35:M39"/>
    <mergeCell ref="L41:M45"/>
    <mergeCell ref="L5:O5"/>
    <mergeCell ref="A43:C43"/>
    <mergeCell ref="L6:O6"/>
    <mergeCell ref="L28:O28"/>
    <mergeCell ref="A33:E33"/>
    <mergeCell ref="L7:O13"/>
    <mergeCell ref="H1:J1"/>
    <mergeCell ref="A19:D19"/>
    <mergeCell ref="A5:E5"/>
    <mergeCell ref="A18:E18"/>
    <mergeCell ref="B1:C1"/>
    <mergeCell ref="A3:C3"/>
    <mergeCell ref="A2:E2"/>
  </mergeCells>
  <printOptions/>
  <pageMargins left="0.17" right="0.17" top="0" bottom="0.17" header="0.18" footer="0.17"/>
  <pageSetup fitToHeight="2" horizontalDpi="300" verticalDpi="300" orientation="landscape" scale="95" r:id="rId3"/>
  <ignoredErrors>
    <ignoredError sqref="I13" evalError="1"/>
  </ignoredErrors>
  <legacyDrawing r:id="rId2"/>
</worksheet>
</file>

<file path=xl/worksheets/sheet2.xml><?xml version="1.0" encoding="utf-8"?>
<worksheet xmlns="http://schemas.openxmlformats.org/spreadsheetml/2006/main" xmlns:r="http://schemas.openxmlformats.org/officeDocument/2006/relationships">
  <dimension ref="A1:BC23"/>
  <sheetViews>
    <sheetView zoomScalePageLayoutView="0" workbookViewId="0" topLeftCell="A1">
      <selection activeCell="A3" sqref="A3"/>
    </sheetView>
  </sheetViews>
  <sheetFormatPr defaultColWidth="7.7109375" defaultRowHeight="12.75"/>
  <cols>
    <col min="1" max="1" width="6.28125" style="124" bestFit="1" customWidth="1"/>
    <col min="2" max="2" width="30.7109375" style="124" bestFit="1" customWidth="1"/>
    <col min="3" max="3" width="15.7109375" style="124" bestFit="1" customWidth="1"/>
    <col min="4" max="4" width="12.7109375" style="124" bestFit="1" customWidth="1"/>
    <col min="5" max="5" width="31.140625" style="124" bestFit="1" customWidth="1"/>
    <col min="6" max="8" width="12.7109375" style="124" bestFit="1" customWidth="1"/>
    <col min="9" max="9" width="10.421875" style="124" bestFit="1" customWidth="1"/>
    <col min="10" max="10" width="11.28125" style="124" bestFit="1" customWidth="1"/>
    <col min="11" max="11" width="10.140625" style="124" bestFit="1" customWidth="1"/>
    <col min="12" max="12" width="11.00390625" style="124" bestFit="1" customWidth="1"/>
    <col min="13" max="13" width="8.7109375" style="124" bestFit="1" customWidth="1"/>
    <col min="14" max="14" width="10.7109375" style="124" bestFit="1" customWidth="1"/>
    <col min="15" max="16" width="7.57421875" style="124" bestFit="1" customWidth="1"/>
    <col min="17" max="17" width="8.7109375" style="124" bestFit="1" customWidth="1"/>
    <col min="18" max="18" width="10.7109375" style="124" bestFit="1" customWidth="1"/>
    <col min="19" max="20" width="7.57421875" style="124" bestFit="1" customWidth="1"/>
    <col min="21" max="21" width="8.7109375" style="124" bestFit="1" customWidth="1"/>
    <col min="22" max="22" width="10.7109375" style="124" bestFit="1" customWidth="1"/>
    <col min="23" max="24" width="7.57421875" style="124" bestFit="1" customWidth="1"/>
    <col min="25" max="25" width="11.28125" style="124" bestFit="1" customWidth="1"/>
    <col min="26" max="26" width="9.140625" style="124" bestFit="1" customWidth="1"/>
    <col min="27" max="27" width="10.140625" style="124" bestFit="1" customWidth="1"/>
    <col min="28" max="28" width="13.140625" style="124" bestFit="1" customWidth="1"/>
    <col min="29" max="29" width="19.00390625" style="124" bestFit="1" customWidth="1"/>
    <col min="30" max="30" width="10.140625" style="124" bestFit="1" customWidth="1"/>
    <col min="31" max="31" width="11.8515625" style="124" bestFit="1" customWidth="1"/>
    <col min="32" max="32" width="8.7109375" style="124" bestFit="1" customWidth="1"/>
    <col min="33" max="33" width="10.7109375" style="124" bestFit="1" customWidth="1"/>
    <col min="34" max="35" width="7.57421875" style="124" bestFit="1" customWidth="1"/>
    <col min="36" max="36" width="10.140625" style="124" bestFit="1" customWidth="1"/>
    <col min="37" max="37" width="5.8515625" style="124" bestFit="1" customWidth="1"/>
    <col min="38" max="39" width="9.00390625" style="124" bestFit="1" customWidth="1"/>
    <col min="40" max="40" width="12.7109375" style="124" bestFit="1" customWidth="1"/>
    <col min="41" max="42" width="14.8515625" style="124" bestFit="1" customWidth="1"/>
    <col min="43" max="43" width="64.140625" style="124" bestFit="1" customWidth="1"/>
    <col min="44" max="44" width="12.7109375" style="124" bestFit="1" customWidth="1"/>
    <col min="45" max="46" width="13.28125" style="124" bestFit="1" customWidth="1"/>
    <col min="47" max="47" width="12.7109375" style="124" bestFit="1" customWidth="1"/>
    <col min="48" max="48" width="11.140625" style="124" bestFit="1" customWidth="1"/>
    <col min="49" max="49" width="12.7109375" style="124" bestFit="1" customWidth="1"/>
    <col min="50" max="50" width="13.8515625" style="124" bestFit="1" customWidth="1"/>
    <col min="51" max="51" width="12.7109375" style="124" bestFit="1" customWidth="1"/>
    <col min="52" max="53" width="12.00390625" style="124" bestFit="1" customWidth="1"/>
    <col min="54" max="54" width="13.7109375" style="124" bestFit="1" customWidth="1"/>
    <col min="55" max="55" width="10.00390625" style="124" bestFit="1" customWidth="1"/>
    <col min="56" max="16384" width="7.7109375" style="124" customWidth="1"/>
  </cols>
  <sheetData>
    <row r="1" spans="1:55" ht="12.75">
      <c r="A1" s="122">
        <v>1</v>
      </c>
      <c r="B1" s="126" t="s">
        <v>71</v>
      </c>
      <c r="C1" s="126" t="s">
        <v>72</v>
      </c>
      <c r="D1" s="126" t="s">
        <v>73</v>
      </c>
      <c r="E1" s="126" t="s">
        <v>74</v>
      </c>
      <c r="F1" s="126" t="s">
        <v>75</v>
      </c>
      <c r="G1" s="126" t="s">
        <v>76</v>
      </c>
      <c r="H1" s="126" t="s">
        <v>77</v>
      </c>
      <c r="I1" s="126" t="s">
        <v>78</v>
      </c>
      <c r="J1" s="126" t="s">
        <v>79</v>
      </c>
      <c r="K1" s="126" t="s">
        <v>80</v>
      </c>
      <c r="L1" s="126" t="s">
        <v>81</v>
      </c>
      <c r="M1" s="126" t="s">
        <v>82</v>
      </c>
      <c r="N1" s="126" t="s">
        <v>83</v>
      </c>
      <c r="O1" s="126" t="s">
        <v>84</v>
      </c>
      <c r="P1" s="126" t="s">
        <v>85</v>
      </c>
      <c r="Q1" s="126" t="s">
        <v>86</v>
      </c>
      <c r="R1" s="126" t="s">
        <v>87</v>
      </c>
      <c r="S1" s="126" t="s">
        <v>88</v>
      </c>
      <c r="T1" s="126" t="s">
        <v>89</v>
      </c>
      <c r="U1" s="126" t="s">
        <v>96</v>
      </c>
      <c r="V1" s="126" t="s">
        <v>97</v>
      </c>
      <c r="W1" s="126" t="s">
        <v>98</v>
      </c>
      <c r="X1" s="126" t="s">
        <v>99</v>
      </c>
      <c r="Y1" s="126" t="s">
        <v>92</v>
      </c>
      <c r="Z1" s="126" t="s">
        <v>93</v>
      </c>
      <c r="AA1" s="126" t="s">
        <v>94</v>
      </c>
      <c r="AB1" s="126" t="s">
        <v>118</v>
      </c>
      <c r="AC1" s="126" t="s">
        <v>119</v>
      </c>
      <c r="AD1" s="126" t="s">
        <v>175</v>
      </c>
      <c r="AE1" s="126" t="s">
        <v>95</v>
      </c>
      <c r="AF1" s="126" t="s">
        <v>176</v>
      </c>
      <c r="AG1" s="126" t="s">
        <v>177</v>
      </c>
      <c r="AH1" s="126" t="s">
        <v>178</v>
      </c>
      <c r="AI1" s="126" t="s">
        <v>179</v>
      </c>
      <c r="AJ1" s="126" t="s">
        <v>100</v>
      </c>
      <c r="AK1" s="126" t="s">
        <v>101</v>
      </c>
      <c r="AL1" s="126" t="s">
        <v>102</v>
      </c>
      <c r="AM1" s="126" t="s">
        <v>103</v>
      </c>
      <c r="AN1" s="126" t="s">
        <v>104</v>
      </c>
      <c r="AO1" s="126" t="s">
        <v>105</v>
      </c>
      <c r="AP1" s="126" t="s">
        <v>106</v>
      </c>
      <c r="AQ1" s="126" t="s">
        <v>107</v>
      </c>
      <c r="AR1" s="126" t="s">
        <v>108</v>
      </c>
      <c r="AS1" s="126" t="s">
        <v>109</v>
      </c>
      <c r="AT1" s="126" t="s">
        <v>110</v>
      </c>
      <c r="AU1" s="126" t="s">
        <v>111</v>
      </c>
      <c r="AV1" s="126" t="s">
        <v>112</v>
      </c>
      <c r="AW1" s="126" t="s">
        <v>113</v>
      </c>
      <c r="AX1" s="126" t="s">
        <v>114</v>
      </c>
      <c r="AY1" s="126" t="s">
        <v>115</v>
      </c>
      <c r="AZ1" s="126" t="s">
        <v>180</v>
      </c>
      <c r="BA1" s="126" t="s">
        <v>181</v>
      </c>
      <c r="BB1" s="126" t="s">
        <v>167</v>
      </c>
      <c r="BC1" s="126" t="s">
        <v>168</v>
      </c>
    </row>
    <row r="2" spans="1:55" ht="12.75">
      <c r="A2" s="123" t="s">
        <v>70</v>
      </c>
      <c r="B2" s="125" t="s">
        <v>90</v>
      </c>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c r="AF2" s="178"/>
      <c r="AG2" s="178"/>
      <c r="AH2" s="178"/>
      <c r="AI2" s="178"/>
      <c r="AJ2" s="178"/>
      <c r="AK2" s="178"/>
      <c r="AL2" s="178"/>
      <c r="AM2" s="178"/>
      <c r="AN2" s="178"/>
      <c r="AO2" s="178"/>
      <c r="AP2" s="178"/>
      <c r="AQ2" s="178"/>
      <c r="AR2" s="178"/>
      <c r="AS2" s="178"/>
      <c r="AT2" s="178"/>
      <c r="AU2" s="178"/>
      <c r="AV2" s="178"/>
      <c r="AW2" s="178"/>
      <c r="AX2" s="178"/>
      <c r="AY2" s="178"/>
      <c r="AZ2" s="178"/>
      <c r="BA2" s="178"/>
      <c r="BB2" s="178"/>
      <c r="BC2" s="178"/>
    </row>
    <row r="3" spans="1:55" ht="12.75">
      <c r="A3" s="126">
        <v>2415</v>
      </c>
      <c r="B3" s="126" t="s">
        <v>208</v>
      </c>
      <c r="C3" s="126">
        <v>2749835</v>
      </c>
      <c r="D3" s="126">
        <v>0</v>
      </c>
      <c r="E3" s="126">
        <v>0</v>
      </c>
      <c r="F3" s="126">
        <v>0</v>
      </c>
      <c r="G3" s="126">
        <v>0</v>
      </c>
      <c r="H3" s="126">
        <v>0</v>
      </c>
      <c r="I3" s="126">
        <v>0</v>
      </c>
      <c r="J3" s="126">
        <v>0</v>
      </c>
      <c r="K3" s="126">
        <v>0</v>
      </c>
      <c r="L3" s="126">
        <v>0</v>
      </c>
      <c r="M3" s="184">
        <v>0</v>
      </c>
      <c r="N3" s="184">
        <v>0</v>
      </c>
      <c r="O3" s="184">
        <v>0</v>
      </c>
      <c r="P3" s="184">
        <v>0</v>
      </c>
      <c r="Q3" s="126">
        <v>0</v>
      </c>
      <c r="R3" s="126">
        <v>0</v>
      </c>
      <c r="S3" s="126">
        <v>0</v>
      </c>
      <c r="T3" s="126">
        <v>0</v>
      </c>
      <c r="U3" s="126">
        <v>0</v>
      </c>
      <c r="V3" s="126">
        <v>0</v>
      </c>
      <c r="W3" s="126">
        <v>313</v>
      </c>
      <c r="X3" s="126">
        <v>313</v>
      </c>
      <c r="Y3" s="126">
        <v>1818739</v>
      </c>
      <c r="Z3" s="126">
        <v>0</v>
      </c>
      <c r="AA3" s="126">
        <v>0</v>
      </c>
      <c r="AB3" s="126">
        <v>1974134</v>
      </c>
      <c r="AC3" s="126">
        <v>1974134</v>
      </c>
      <c r="AD3" s="126">
        <v>0</v>
      </c>
      <c r="AE3" s="126">
        <v>0</v>
      </c>
      <c r="AF3" s="126">
        <v>13</v>
      </c>
      <c r="AG3" s="126">
        <v>5</v>
      </c>
      <c r="AH3" s="126">
        <v>298</v>
      </c>
      <c r="AI3" s="126">
        <v>303</v>
      </c>
      <c r="AJ3" s="126">
        <v>27991</v>
      </c>
      <c r="AK3" s="126">
        <v>0</v>
      </c>
      <c r="AL3" s="184">
        <v>0</v>
      </c>
      <c r="AM3" s="126">
        <v>0</v>
      </c>
      <c r="AN3" s="126">
        <v>162400</v>
      </c>
      <c r="AO3" s="126">
        <v>132557516</v>
      </c>
      <c r="AP3" s="126">
        <v>132719916</v>
      </c>
      <c r="AQ3" s="126" t="s">
        <v>199</v>
      </c>
      <c r="AR3" s="126">
        <v>1022921</v>
      </c>
      <c r="AS3" s="126">
        <v>0</v>
      </c>
      <c r="AT3" s="126">
        <v>0</v>
      </c>
      <c r="AU3" s="126">
        <v>0</v>
      </c>
      <c r="AV3" s="126">
        <v>0</v>
      </c>
      <c r="AW3" s="126">
        <v>0</v>
      </c>
      <c r="AX3" s="126">
        <v>0</v>
      </c>
      <c r="AY3" s="126">
        <v>0</v>
      </c>
      <c r="AZ3" s="126">
        <v>313</v>
      </c>
      <c r="BA3" s="126">
        <v>307.5</v>
      </c>
      <c r="BB3" s="126">
        <v>0</v>
      </c>
      <c r="BC3" s="126">
        <v>0</v>
      </c>
    </row>
    <row r="4" spans="1:55" ht="12.75">
      <c r="A4" s="126">
        <v>5264</v>
      </c>
      <c r="B4" s="126" t="s">
        <v>209</v>
      </c>
      <c r="C4" s="126">
        <v>23126512</v>
      </c>
      <c r="D4" s="126">
        <v>16502781</v>
      </c>
      <c r="E4" s="126">
        <v>30582</v>
      </c>
      <c r="F4" s="126">
        <v>6593149</v>
      </c>
      <c r="G4" s="126">
        <v>0</v>
      </c>
      <c r="H4" s="126">
        <v>0</v>
      </c>
      <c r="I4" s="126">
        <v>0</v>
      </c>
      <c r="J4" s="126">
        <v>0</v>
      </c>
      <c r="K4" s="126">
        <v>0</v>
      </c>
      <c r="L4" s="126">
        <v>0</v>
      </c>
      <c r="M4" s="126">
        <v>0</v>
      </c>
      <c r="N4" s="126">
        <v>0</v>
      </c>
      <c r="O4" s="126">
        <v>0</v>
      </c>
      <c r="P4" s="126">
        <v>0</v>
      </c>
      <c r="Q4" s="126">
        <v>0</v>
      </c>
      <c r="R4" s="126">
        <v>0</v>
      </c>
      <c r="S4" s="126">
        <v>0</v>
      </c>
      <c r="T4" s="126">
        <v>0</v>
      </c>
      <c r="U4" s="126">
        <v>141</v>
      </c>
      <c r="V4" s="126">
        <v>56</v>
      </c>
      <c r="W4" s="126">
        <v>2461</v>
      </c>
      <c r="X4" s="126">
        <v>2517</v>
      </c>
      <c r="Y4" s="126">
        <v>0</v>
      </c>
      <c r="Z4" s="126">
        <v>0</v>
      </c>
      <c r="AA4" s="126">
        <v>0</v>
      </c>
      <c r="AB4" s="126">
        <v>14933913</v>
      </c>
      <c r="AC4" s="126">
        <v>14933913</v>
      </c>
      <c r="AD4" s="126">
        <v>0</v>
      </c>
      <c r="AE4" s="126">
        <v>0</v>
      </c>
      <c r="AF4" s="126">
        <v>133</v>
      </c>
      <c r="AG4" s="126">
        <v>53</v>
      </c>
      <c r="AH4" s="126">
        <v>2396</v>
      </c>
      <c r="AI4" s="126">
        <v>2449</v>
      </c>
      <c r="AJ4" s="126">
        <v>0</v>
      </c>
      <c r="AK4" s="126">
        <v>0</v>
      </c>
      <c r="AL4" s="126">
        <v>0</v>
      </c>
      <c r="AM4" s="126">
        <v>0</v>
      </c>
      <c r="AN4" s="126">
        <v>4269700</v>
      </c>
      <c r="AO4" s="126">
        <v>1334710693</v>
      </c>
      <c r="AP4" s="126">
        <v>1338980393</v>
      </c>
      <c r="AQ4" s="126" t="s">
        <v>210</v>
      </c>
      <c r="AR4" s="126">
        <v>7805563</v>
      </c>
      <c r="AS4" s="126">
        <v>0</v>
      </c>
      <c r="AT4" s="126">
        <v>2790661</v>
      </c>
      <c r="AU4" s="126">
        <v>0</v>
      </c>
      <c r="AV4" s="126">
        <v>0</v>
      </c>
      <c r="AW4" s="126">
        <v>157418</v>
      </c>
      <c r="AX4" s="126">
        <v>0</v>
      </c>
      <c r="AY4" s="126">
        <v>0</v>
      </c>
      <c r="AZ4" s="126">
        <v>2517</v>
      </c>
      <c r="BA4" s="126">
        <v>2483</v>
      </c>
      <c r="BB4" s="126">
        <v>0</v>
      </c>
      <c r="BC4" s="126">
        <v>0</v>
      </c>
    </row>
    <row r="5" spans="1:55" ht="12.75">
      <c r="A5" s="126"/>
      <c r="B5" s="126"/>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6"/>
      <c r="AN5" s="126"/>
      <c r="AO5" s="126"/>
      <c r="AP5" s="126"/>
      <c r="AR5" s="126"/>
      <c r="AS5" s="126"/>
      <c r="AT5" s="126"/>
      <c r="AU5" s="126"/>
      <c r="AV5" s="126"/>
      <c r="AW5" s="126"/>
      <c r="AX5" s="126"/>
      <c r="AY5" s="126"/>
      <c r="AZ5" s="126"/>
      <c r="BA5" s="126"/>
      <c r="BB5" s="126"/>
      <c r="BC5" s="126"/>
    </row>
    <row r="6" spans="1:55" ht="12.75">
      <c r="A6" s="126"/>
      <c r="B6" s="126"/>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26"/>
      <c r="AL6" s="126"/>
      <c r="AM6" s="126"/>
      <c r="AN6" s="126"/>
      <c r="AO6" s="126"/>
      <c r="AP6" s="126"/>
      <c r="AR6" s="126"/>
      <c r="AS6" s="126"/>
      <c r="AT6" s="126"/>
      <c r="AU6" s="126"/>
      <c r="AV6" s="126"/>
      <c r="AW6" s="126"/>
      <c r="AX6" s="126"/>
      <c r="AY6" s="126"/>
      <c r="AZ6" s="126"/>
      <c r="BA6" s="126"/>
      <c r="BB6" s="126"/>
      <c r="BC6" s="126"/>
    </row>
    <row r="7" spans="3:55" s="127" customFormat="1" ht="12.75">
      <c r="C7" s="127">
        <f aca="true" t="shared" si="0" ref="C7:AH7">SUM(C3:C4)</f>
        <v>25876347</v>
      </c>
      <c r="D7" s="127">
        <f t="shared" si="0"/>
        <v>16502781</v>
      </c>
      <c r="E7" s="127">
        <f t="shared" si="0"/>
        <v>30582</v>
      </c>
      <c r="F7" s="127">
        <f t="shared" si="0"/>
        <v>6593149</v>
      </c>
      <c r="G7" s="127">
        <f t="shared" si="0"/>
        <v>0</v>
      </c>
      <c r="H7" s="127">
        <f t="shared" si="0"/>
        <v>0</v>
      </c>
      <c r="I7" s="127">
        <f t="shared" si="0"/>
        <v>0</v>
      </c>
      <c r="J7" s="127">
        <f t="shared" si="0"/>
        <v>0</v>
      </c>
      <c r="K7" s="127">
        <f t="shared" si="0"/>
        <v>0</v>
      </c>
      <c r="L7" s="127">
        <f t="shared" si="0"/>
        <v>0</v>
      </c>
      <c r="M7" s="127">
        <f t="shared" si="0"/>
        <v>0</v>
      </c>
      <c r="N7" s="127">
        <f t="shared" si="0"/>
        <v>0</v>
      </c>
      <c r="O7" s="127">
        <f t="shared" si="0"/>
        <v>0</v>
      </c>
      <c r="P7" s="127">
        <f t="shared" si="0"/>
        <v>0</v>
      </c>
      <c r="Q7" s="127">
        <f t="shared" si="0"/>
        <v>0</v>
      </c>
      <c r="R7" s="127">
        <f t="shared" si="0"/>
        <v>0</v>
      </c>
      <c r="S7" s="127">
        <f t="shared" si="0"/>
        <v>0</v>
      </c>
      <c r="T7" s="127">
        <f t="shared" si="0"/>
        <v>0</v>
      </c>
      <c r="U7" s="127">
        <f t="shared" si="0"/>
        <v>141</v>
      </c>
      <c r="V7" s="127">
        <f t="shared" si="0"/>
        <v>56</v>
      </c>
      <c r="W7" s="127">
        <f t="shared" si="0"/>
        <v>2774</v>
      </c>
      <c r="X7" s="127">
        <f t="shared" si="0"/>
        <v>2830</v>
      </c>
      <c r="Y7" s="127">
        <f t="shared" si="0"/>
        <v>1818739</v>
      </c>
      <c r="Z7" s="127">
        <f t="shared" si="0"/>
        <v>0</v>
      </c>
      <c r="AA7" s="127">
        <f t="shared" si="0"/>
        <v>0</v>
      </c>
      <c r="AB7" s="127">
        <f t="shared" si="0"/>
        <v>16908047</v>
      </c>
      <c r="AC7" s="127">
        <f t="shared" si="0"/>
        <v>16908047</v>
      </c>
      <c r="AD7" s="127">
        <f t="shared" si="0"/>
        <v>0</v>
      </c>
      <c r="AE7" s="127">
        <f t="shared" si="0"/>
        <v>0</v>
      </c>
      <c r="AF7" s="127">
        <f t="shared" si="0"/>
        <v>146</v>
      </c>
      <c r="AG7" s="127">
        <f t="shared" si="0"/>
        <v>58</v>
      </c>
      <c r="AH7" s="127">
        <f t="shared" si="0"/>
        <v>2694</v>
      </c>
      <c r="AI7" s="127">
        <f aca="true" t="shared" si="1" ref="AI7:BC7">SUM(AI3:AI4)</f>
        <v>2752</v>
      </c>
      <c r="AJ7" s="127">
        <f t="shared" si="1"/>
        <v>27991</v>
      </c>
      <c r="AK7" s="127">
        <f t="shared" si="1"/>
        <v>0</v>
      </c>
      <c r="AL7" s="127">
        <f t="shared" si="1"/>
        <v>0</v>
      </c>
      <c r="AM7" s="127">
        <f t="shared" si="1"/>
        <v>0</v>
      </c>
      <c r="AN7" s="127">
        <f t="shared" si="1"/>
        <v>4432100</v>
      </c>
      <c r="AO7" s="127">
        <f t="shared" si="1"/>
        <v>1467268209</v>
      </c>
      <c r="AP7" s="127">
        <f t="shared" si="1"/>
        <v>1471700309</v>
      </c>
      <c r="AQ7" s="127">
        <f t="shared" si="1"/>
        <v>0</v>
      </c>
      <c r="AR7" s="127">
        <f t="shared" si="1"/>
        <v>8828484</v>
      </c>
      <c r="AS7" s="127">
        <f t="shared" si="1"/>
        <v>0</v>
      </c>
      <c r="AT7" s="127">
        <f t="shared" si="1"/>
        <v>2790661</v>
      </c>
      <c r="AU7" s="127">
        <f t="shared" si="1"/>
        <v>0</v>
      </c>
      <c r="AV7" s="127">
        <f t="shared" si="1"/>
        <v>0</v>
      </c>
      <c r="AW7" s="127">
        <f t="shared" si="1"/>
        <v>157418</v>
      </c>
      <c r="AX7" s="127">
        <f t="shared" si="1"/>
        <v>0</v>
      </c>
      <c r="AY7" s="127">
        <f t="shared" si="1"/>
        <v>0</v>
      </c>
      <c r="AZ7" s="127">
        <f t="shared" si="1"/>
        <v>2830</v>
      </c>
      <c r="BA7" s="127">
        <f t="shared" si="1"/>
        <v>2790.5</v>
      </c>
      <c r="BB7" s="127">
        <f t="shared" si="1"/>
        <v>0</v>
      </c>
      <c r="BC7" s="127">
        <f t="shared" si="1"/>
        <v>0</v>
      </c>
    </row>
    <row r="8" spans="2:28" ht="12.75">
      <c r="B8"/>
      <c r="AB8" s="127">
        <f>AB7-AC7</f>
        <v>0</v>
      </c>
    </row>
    <row r="9" spans="2:26" ht="12.75">
      <c r="B9"/>
      <c r="Z9" s="181" t="s">
        <v>55</v>
      </c>
    </row>
    <row r="10" spans="2:30" ht="12.75">
      <c r="B10"/>
      <c r="AD10" s="127"/>
    </row>
    <row r="11" spans="2:30" ht="12.75">
      <c r="B11"/>
      <c r="AA11" s="223" t="s">
        <v>202</v>
      </c>
      <c r="AB11" s="223"/>
      <c r="AC11" s="127"/>
      <c r="AD11" s="127"/>
    </row>
    <row r="12" spans="2:30" ht="12.75">
      <c r="B12"/>
      <c r="C12" s="124" t="s">
        <v>169</v>
      </c>
      <c r="AA12" s="224" t="s">
        <v>203</v>
      </c>
      <c r="AB12" s="225"/>
      <c r="AC12" s="127">
        <v>423932</v>
      </c>
      <c r="AD12" s="127" t="s">
        <v>55</v>
      </c>
    </row>
    <row r="13" spans="2:30" ht="12.75">
      <c r="B13"/>
      <c r="C13" s="128" t="s">
        <v>116</v>
      </c>
      <c r="D13" s="127">
        <v>392512</v>
      </c>
      <c r="E13" s="124" t="s">
        <v>182</v>
      </c>
      <c r="AA13" s="224" t="s">
        <v>204</v>
      </c>
      <c r="AB13" s="225"/>
      <c r="AC13" s="127">
        <v>15977929</v>
      </c>
      <c r="AD13" s="127"/>
    </row>
    <row r="14" spans="2:29" ht="12.75">
      <c r="B14"/>
      <c r="C14" s="124" t="s">
        <v>117</v>
      </c>
      <c r="D14" s="163">
        <v>16502781</v>
      </c>
      <c r="E14" s="124" t="s">
        <v>183</v>
      </c>
      <c r="AA14" s="224" t="s">
        <v>205</v>
      </c>
      <c r="AB14" s="225"/>
      <c r="AC14" s="127">
        <v>1974134</v>
      </c>
    </row>
    <row r="15" spans="4:30" ht="12.75">
      <c r="D15" s="127">
        <f>SUM(D7:D14)</f>
        <v>33398074</v>
      </c>
      <c r="AC15" s="180">
        <f>SUM(AC7:AC14)</f>
        <v>35284042</v>
      </c>
      <c r="AD15" s="127"/>
    </row>
    <row r="16" spans="5:30" ht="12.75">
      <c r="E16" s="127" t="s">
        <v>55</v>
      </c>
      <c r="AC16" s="127"/>
      <c r="AD16" s="127"/>
    </row>
    <row r="17" spans="3:30" ht="12.75">
      <c r="C17" s="182" t="s">
        <v>206</v>
      </c>
      <c r="D17" s="124">
        <v>4624131929</v>
      </c>
      <c r="E17" s="127"/>
      <c r="AC17" s="180" t="s">
        <v>201</v>
      </c>
      <c r="AD17" s="127"/>
    </row>
    <row r="19" spans="4:29" ht="12.75">
      <c r="D19" s="127"/>
      <c r="AB19" s="124" t="s">
        <v>123</v>
      </c>
      <c r="AC19" s="180">
        <v>4697979938</v>
      </c>
    </row>
    <row r="20" spans="4:30" ht="12.75">
      <c r="D20" s="127"/>
      <c r="AD20" s="128"/>
    </row>
    <row r="21" spans="4:7" ht="12.75">
      <c r="D21" s="127"/>
      <c r="G21" s="127"/>
    </row>
    <row r="23" ht="12.75">
      <c r="D23" s="127"/>
    </row>
  </sheetData>
  <sheetProtection/>
  <mergeCells count="4">
    <mergeCell ref="AA11:AB11"/>
    <mergeCell ref="AA12:AB12"/>
    <mergeCell ref="AA13:AB13"/>
    <mergeCell ref="AA14:AB14"/>
  </mergeCells>
  <conditionalFormatting sqref="AJ2:AJ4">
    <cfRule type="cellIs" priority="1" dxfId="0" operator="lessThan" stopIfTrue="1">
      <formula>0</formula>
    </cfRule>
  </conditionalFormatting>
  <printOptions/>
  <pageMargins left="0.22" right="0.21" top="1" bottom="1" header="0.5" footer="0.5"/>
  <pageSetup horizontalDpi="600" verticalDpi="600" orientation="landscape"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Dept of Public Instruction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Revenue Limit Executable Worksheet</dc:title>
  <dc:subject>Revenue Limits</dc:subject>
  <dc:creator>School Finance Consultant</dc:creator>
  <cp:keywords>school finance,revenue limit, revenue cap</cp:keywords>
  <dc:description>This is the executable version of the 2008-09 Revenue Limit computation - with pre-populated fields.</dc:description>
  <cp:lastModifiedBy>Department of Public Instruction</cp:lastModifiedBy>
  <cp:lastPrinted>2008-10-22T17:56:00Z</cp:lastPrinted>
  <dcterms:created xsi:type="dcterms:W3CDTF">1999-03-24T13:46:58Z</dcterms:created>
  <dcterms:modified xsi:type="dcterms:W3CDTF">2009-05-20T20:42:55Z</dcterms:modified>
  <cp:category>School Finance</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-1529925886</vt:i4>
  </property>
  <property fmtid="{D5CDD505-2E9C-101B-9397-08002B2CF9AE}" pid="3" name="_EmailSubject">
    <vt:lpwstr/>
  </property>
  <property fmtid="{D5CDD505-2E9C-101B-9397-08002B2CF9AE}" pid="4" name="_AuthorEmail">
    <vt:lpwstr>Karen.KucharzRobbe@dpi.wi.gov</vt:lpwstr>
  </property>
  <property fmtid="{D5CDD505-2E9C-101B-9397-08002B2CF9AE}" pid="5" name="_AuthorEmailDisplayName">
    <vt:lpwstr>Kucharz Robbe, Karen A.   DPI</vt:lpwstr>
  </property>
  <property fmtid="{D5CDD505-2E9C-101B-9397-08002B2CF9AE}" pid="6" name="_PreviousAdHocReviewCycleID">
    <vt:i4>1493064760</vt:i4>
  </property>
  <property fmtid="{D5CDD505-2E9C-101B-9397-08002B2CF9AE}" pid="7" name="_ReviewingToolsShownOnce">
    <vt:lpwstr/>
  </property>
</Properties>
</file>